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CRO-SIGNATURE_doc_authenticat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<sst xmlns="http://schemas.openxmlformats.org/spreadsheetml/2006/main" count="39631" uniqueCount="14488">
  <si>
    <t xml:space="preserve">index</t>
  </si>
  <si>
    <t xml:space="preserve">filename</t>
  </si>
  <si>
    <t xml:space="preserve">rev_count</t>
  </si>
  <si>
    <t xml:space="preserve">field_index</t>
  </si>
  <si>
    <t xml:space="preserve">chrono_rank</t>
  </si>
  <si>
    <t xml:space="preserve">itv_dss</t>
  </si>
  <si>
    <t xml:space="preserve">field_name</t>
  </si>
  <si>
    <t xml:space="preserve">signer_name</t>
  </si>
  <si>
    <t xml:space="preserve">filename_ts</t>
  </si>
  <si>
    <t xml:space="preserve">sign_time_cst_cdt</t>
  </si>
  <si>
    <t xml:space="preserve">xmp_last_modified_date</t>
  </si>
  <si>
    <t xml:space="preserve">signed_bytes</t>
  </si>
  <si>
    <t xml:space="preserve">size_bytes</t>
  </si>
  <si>
    <t xml:space="preserve">v_obj</t>
  </si>
  <si>
    <t xml:space="preserve">total_sig_bytes</t>
  </si>
  <si>
    <t xml:space="preserve">coverage_pct</t>
  </si>
  <si>
    <t xml:space="preserve">edits_after_sig_flag</t>
  </si>
  <si>
    <t xml:space="preserve">sig_crypto_valid_flag</t>
  </si>
  <si>
    <t xml:space="preserve">sig_subfilter</t>
  </si>
  <si>
    <t xml:space="preserve">sig_crypto_status</t>
  </si>
  <si>
    <t xml:space="preserve">no</t>
  </si>
  <si>
    <t xml:space="preserve">Signature_c45a4452-1ba4-442f-b978-1d6a5065b3e3</t>
  </si>
  <si>
    <t xml:space="preserve">Minnesota Court Records Online (MCRO) Watermark</t>
  </si>
  <si>
    <t xml:space="preserve">2024-04-30 09:35:46-05:00</t>
  </si>
  <si>
    <t xml:space="preserve">2024:04:30 09:35:46-05:00</t>
  </si>
  <si>
    <t xml:space="preserve">[0 - 185266], [201652 - 207899]</t>
  </si>
  <si>
    <t xml:space="preserve">125 0 obj</t>
  </si>
  <si>
    <t xml:space="preserve">yes</t>
  </si>
  <si>
    <t xml:space="preserve">/adbe.pkcs7.detached</t>
  </si>
  <si>
    <t xml:space="preserve">Signature is Valid.</t>
  </si>
  <si>
    <t xml:space="preserve">Signature_441a4eb9-579e-41ce-ab6c-5b9352a7f2b7</t>
  </si>
  <si>
    <t xml:space="preserve">2024-04-30 09:36:04-05:00</t>
  </si>
  <si>
    <t xml:space="preserve">2024:04:30 09:36:04-05:00</t>
  </si>
  <si>
    <t xml:space="preserve">[0 - 430601], [446987 - 452809]</t>
  </si>
  <si>
    <t xml:space="preserve">382 0 obj</t>
  </si>
  <si>
    <t xml:space="preserve">Signature_824d5b10-4911-431e-a072-43e7fe040c94</t>
  </si>
  <si>
    <t xml:space="preserve">2024-04-30 09:36:06-05:00</t>
  </si>
  <si>
    <t xml:space="preserve">2024:04:30 09:36:06-05:00</t>
  </si>
  <si>
    <t xml:space="preserve">[0 - 328468], [344854 - 347493]</t>
  </si>
  <si>
    <t xml:space="preserve">196 0 obj</t>
  </si>
  <si>
    <t xml:space="preserve">Signature_408e1c29-5757-4646-beec-691acd1265a3</t>
  </si>
  <si>
    <t xml:space="preserve">2024-04-30 09:36:03-05:00</t>
  </si>
  <si>
    <t xml:space="preserve">2024:04:30 09:36:03-05:00</t>
  </si>
  <si>
    <t xml:space="preserve">[0 - 254246], [270632 - 276100]</t>
  </si>
  <si>
    <t xml:space="preserve">218 0 obj</t>
  </si>
  <si>
    <t xml:space="preserve">Signature_c50e84b2-ef6d-4b30-b9e8-9b922bafeb93</t>
  </si>
  <si>
    <t xml:space="preserve">2024-04-30 09:35:50-05:00</t>
  </si>
  <si>
    <t xml:space="preserve">2024:04:30 09:35:50-05:00</t>
  </si>
  <si>
    <t xml:space="preserve">[0 - 415431], [431817 - 437107]</t>
  </si>
  <si>
    <t xml:space="preserve">412 0 obj</t>
  </si>
  <si>
    <t xml:space="preserve">Signature_d5635fb7-68c2-4e62-b2c0-c9c2080cab4d</t>
  </si>
  <si>
    <t xml:space="preserve">2024-04-30 09:35:40-05:00</t>
  </si>
  <si>
    <t xml:space="preserve">2024:04:30 09:35:40-05:00</t>
  </si>
  <si>
    <t xml:space="preserve">[0 - 242206], [258592 - 264108]</t>
  </si>
  <si>
    <t xml:space="preserve">188 0 obj</t>
  </si>
  <si>
    <t xml:space="preserve">Signature_c015304b-0c00-433e-b4eb-43b7de5d0e86</t>
  </si>
  <si>
    <t xml:space="preserve">2024-04-30 09:36:01-05:00</t>
  </si>
  <si>
    <t xml:space="preserve">2024:04:30 09:36:01-05:00</t>
  </si>
  <si>
    <t xml:space="preserve">[0 - 445338], [461724 - 466048]</t>
  </si>
  <si>
    <t xml:space="preserve">30 0 obj</t>
  </si>
  <si>
    <t xml:space="preserve">Signature_6aa6caa9-f61e-43de-89d0-3571d2575e94</t>
  </si>
  <si>
    <t xml:space="preserve">2024-04-30 09:35:54-05:00</t>
  </si>
  <si>
    <t xml:space="preserve">2024:04:30 09:35:54-05:00</t>
  </si>
  <si>
    <t xml:space="preserve">[0 - 112604], [128990 - 134952]</t>
  </si>
  <si>
    <t xml:space="preserve">114 0 obj</t>
  </si>
  <si>
    <t xml:space="preserve">Signature_74a0c57e-a79d-4d41-910c-b23062359bc8</t>
  </si>
  <si>
    <t xml:space="preserve">2024-04-30 09:35:41-05:00</t>
  </si>
  <si>
    <t xml:space="preserve">2024:04:30 09:35:41-05:00</t>
  </si>
  <si>
    <t xml:space="preserve">[0 - 234970], [251356 - 256568]</t>
  </si>
  <si>
    <t xml:space="preserve">217 0 obj</t>
  </si>
  <si>
    <t xml:space="preserve">Signature_fdf0f5d1-ef38-488f-8263-d63340148486</t>
  </si>
  <si>
    <t xml:space="preserve">2024-04-30 09:35:43-05:00</t>
  </si>
  <si>
    <t xml:space="preserve">2024:04:30 09:35:43-05:00</t>
  </si>
  <si>
    <t xml:space="preserve">[0 - 248875], [265261 - 269870]</t>
  </si>
  <si>
    <t xml:space="preserve">85 0 obj</t>
  </si>
  <si>
    <t xml:space="preserve">Signature_c466586b-3b4d-483e-92ae-2d6632448b84</t>
  </si>
  <si>
    <t xml:space="preserve">2024-04-30 09:35:42-05:00</t>
  </si>
  <si>
    <t xml:space="preserve">2024:04:30 09:35:42-05:00</t>
  </si>
  <si>
    <t xml:space="preserve">[0 - 882685], [899071 - 903666]</t>
  </si>
  <si>
    <t xml:space="preserve">116 0 obj</t>
  </si>
  <si>
    <t xml:space="preserve">Signature_4ac01cd3-5a01-4336-bd47-1138af19d108</t>
  </si>
  <si>
    <t xml:space="preserve">2024-04-30 09:35:38-05:00</t>
  </si>
  <si>
    <t xml:space="preserve">2024:04:30 09:35:38-05:00</t>
  </si>
  <si>
    <t xml:space="preserve">[0 - 241202], [257588 - 263079]</t>
  </si>
  <si>
    <t xml:space="preserve">302 0 obj</t>
  </si>
  <si>
    <t xml:space="preserve">Signature_c2cc327e-b445-410c-9970-252415bee56f</t>
  </si>
  <si>
    <t xml:space="preserve">2024-04-30 09:35:37-05:00</t>
  </si>
  <si>
    <t xml:space="preserve">2024:04:30 09:35:37-05:00</t>
  </si>
  <si>
    <t xml:space="preserve">[0 - 466540], [482926 - 488693]</t>
  </si>
  <si>
    <t xml:space="preserve">209 0 obj</t>
  </si>
  <si>
    <t xml:space="preserve">Signature_1cb9999c-b556-4e02-97f6-bb698656156e</t>
  </si>
  <si>
    <t xml:space="preserve">2024-04-30 09:36:05-05:00</t>
  </si>
  <si>
    <t xml:space="preserve">2024:04:30 09:36:05-05:00</t>
  </si>
  <si>
    <t xml:space="preserve">[0 - 141267], [157653 - 165317]</t>
  </si>
  <si>
    <t xml:space="preserve">28 0 obj</t>
  </si>
  <si>
    <t xml:space="preserve">Signature_550ce605-3ee9-4d53-8026-6fd5cfcc85e4</t>
  </si>
  <si>
    <t xml:space="preserve">2024-04-30 09:35:48-05:00</t>
  </si>
  <si>
    <t xml:space="preserve">2024:04:30 09:35:48-05:00</t>
  </si>
  <si>
    <t xml:space="preserve">[0 - 206532], [222918 - 227651]</t>
  </si>
  <si>
    <t xml:space="preserve">108 0 obj</t>
  </si>
  <si>
    <t xml:space="preserve">Signature_fc37f6e0-45a2-4c80-b631-d1672150266d</t>
  </si>
  <si>
    <t xml:space="preserve">2024-04-30 09:35:52-05:00</t>
  </si>
  <si>
    <t xml:space="preserve">2024:04:30 09:35:52-05:00</t>
  </si>
  <si>
    <t xml:space="preserve">[0 - 116922], [133308 - 137841]</t>
  </si>
  <si>
    <t xml:space="preserve">48 0 obj</t>
  </si>
  <si>
    <t xml:space="preserve">Signature_1ef40358-b613-4a8b-8f64-0aa24dae9dbb</t>
  </si>
  <si>
    <t xml:space="preserve">2024-04-30 09:35:49-05:00</t>
  </si>
  <si>
    <t xml:space="preserve">2024:04:30 09:35:49-05:00</t>
  </si>
  <si>
    <t xml:space="preserve">[0 - 114007], [130393 - 135660]</t>
  </si>
  <si>
    <t xml:space="preserve">117 0 obj</t>
  </si>
  <si>
    <t xml:space="preserve">Signature_6d890762-2596-4e72-9a55-2cf91985659a</t>
  </si>
  <si>
    <t xml:space="preserve">2024-04-30 09:35:44-05:00</t>
  </si>
  <si>
    <t xml:space="preserve">2024:04:30 09:35:44-05:00</t>
  </si>
  <si>
    <t xml:space="preserve">[0 - 789915], [806301 - 811091]</t>
  </si>
  <si>
    <t xml:space="preserve">161 0 obj</t>
  </si>
  <si>
    <t xml:space="preserve">Signature_52942926-a6b5-4f5a-acf0-ced2a439bdb6</t>
  </si>
  <si>
    <t xml:space="preserve">2024-04-30 09:36:00-05:00</t>
  </si>
  <si>
    <t xml:space="preserve">2024:04:30 09:36:00-05:00</t>
  </si>
  <si>
    <t xml:space="preserve">[0 - 90366], [106752 - 114703]</t>
  </si>
  <si>
    <t xml:space="preserve">25 0 obj</t>
  </si>
  <si>
    <t xml:space="preserve">Signature_5d0092ad-eec6-44e5-be6f-85a3c7c5e554</t>
  </si>
  <si>
    <t xml:space="preserve">2024-04-30 09:35:59-05:00</t>
  </si>
  <si>
    <t xml:space="preserve">2024:04:30 09:35:59-05:00</t>
  </si>
  <si>
    <t xml:space="preserve">[0 - 90053], [106439 - 114390]</t>
  </si>
  <si>
    <t xml:space="preserve">Signature_f0587849-dfd5-4a1d-b0e3-de0f274d95a6</t>
  </si>
  <si>
    <t xml:space="preserve">2024-04-30 09:35:58-05:00</t>
  </si>
  <si>
    <t xml:space="preserve">2024:04:30 09:35:58-05:00</t>
  </si>
  <si>
    <t xml:space="preserve">[0 - 78340], [94726 - 99502]</t>
  </si>
  <si>
    <t xml:space="preserve">29 0 obj</t>
  </si>
  <si>
    <t xml:space="preserve">Signature_bb20e37a-ed32-44bb-ac9e-a460dfc6894d</t>
  </si>
  <si>
    <t xml:space="preserve">2024-04-30 09:35:57-05:00</t>
  </si>
  <si>
    <t xml:space="preserve">2024:04:30 09:35:57-05:00</t>
  </si>
  <si>
    <t xml:space="preserve">[0 - 75848], [92234 - 97010]</t>
  </si>
  <si>
    <t xml:space="preserve">Signature_575042ef-050f-45cf-8f5c-9141c8157d98</t>
  </si>
  <si>
    <t xml:space="preserve">2024-04-30 09:35:56-05:00</t>
  </si>
  <si>
    <t xml:space="preserve">2024:04:30 09:35:56-05:00</t>
  </si>
  <si>
    <t xml:space="preserve">[0 - 68838], [85224 - 89979]</t>
  </si>
  <si>
    <t xml:space="preserve">31 0 obj</t>
  </si>
  <si>
    <t xml:space="preserve">Signature_5badd391-845a-4668-8254-aa0278e9096c</t>
  </si>
  <si>
    <t xml:space="preserve">2024-04-30 09:35:55-05:00</t>
  </si>
  <si>
    <t xml:space="preserve">2024:04:30 09:35:55-05:00</t>
  </si>
  <si>
    <t xml:space="preserve">[0 - 68377], [84763 - 89518]</t>
  </si>
  <si>
    <t xml:space="preserve">Signature_1d35b1e0-5e8b-40fd-8e87-4cdfa3733f23</t>
  </si>
  <si>
    <t xml:space="preserve">2024-04-30 09:35:51-05:00</t>
  </si>
  <si>
    <t xml:space="preserve">2024:04:30 09:35:51-05:00</t>
  </si>
  <si>
    <t xml:space="preserve">[0 - 66163], [82549 - 87071]</t>
  </si>
  <si>
    <t xml:space="preserve">Signature_c7193917-23b2-48ad-8bc4-1baf3ae510f4</t>
  </si>
  <si>
    <t xml:space="preserve">2024-04-30 09:35:53-05:00</t>
  </si>
  <si>
    <t xml:space="preserve">2024:04:30 09:35:53-05:00</t>
  </si>
  <si>
    <t xml:space="preserve">[0 - 129091], [145477 - 151455]</t>
  </si>
  <si>
    <t xml:space="preserve">Signature_e038a8ba-9c4a-4780-ae64-f3cf22516017</t>
  </si>
  <si>
    <t xml:space="preserve">2024-04-30 09:35:45-05:00</t>
  </si>
  <si>
    <t xml:space="preserve">2024:04:30 09:35:45-05:00</t>
  </si>
  <si>
    <t xml:space="preserve">[0 - 124398], [140784 - 146084]</t>
  </si>
  <si>
    <t xml:space="preserve">Signature_0d890bd6-0ae2-4f50-9531-a471df56ced1</t>
  </si>
  <si>
    <t xml:space="preserve">2024-04-30 09:35:39-05:00</t>
  </si>
  <si>
    <t xml:space="preserve">2024:04:30 09:35:39-05:00</t>
  </si>
  <si>
    <t xml:space="preserve">[0 - 290717], [307103 - 315590]</t>
  </si>
  <si>
    <t xml:space="preserve">32 0 obj</t>
  </si>
  <si>
    <t xml:space="preserve">Signature_1634e97f-8dfa-43f3-8dfb-60926cb15e1e</t>
  </si>
  <si>
    <t xml:space="preserve">2024-04-30 09:37:23-05:00</t>
  </si>
  <si>
    <t xml:space="preserve">2024:04:30 09:37:23-05:00</t>
  </si>
  <si>
    <t xml:space="preserve">[0 - 185271], [201657 - 207904]</t>
  </si>
  <si>
    <t xml:space="preserve">Signature_59920241-b4fd-45d2-84f9-dee0e8cfad69</t>
  </si>
  <si>
    <t xml:space="preserve">2024-04-30 09:37:37-05:00</t>
  </si>
  <si>
    <t xml:space="preserve">2024:04:30 09:37:37-05:00</t>
  </si>
  <si>
    <t xml:space="preserve">[0 - 327457], [343843 - 346482]</t>
  </si>
  <si>
    <t xml:space="preserve">197 0 obj</t>
  </si>
  <si>
    <t xml:space="preserve">Signature_54bdc2c2-8b84-4fb9-b96b-52f659dbc867</t>
  </si>
  <si>
    <t xml:space="preserve">2024-04-30 09:37:26-05:00</t>
  </si>
  <si>
    <t xml:space="preserve">2024:04:30 09:37:26-05:00</t>
  </si>
  <si>
    <t xml:space="preserve">[0 - 415448], [431834 - 437121]</t>
  </si>
  <si>
    <t xml:space="preserve">Signature_8e049f32-09cc-4071-b1cb-37ab26ea433c</t>
  </si>
  <si>
    <t xml:space="preserve">2024-04-30 09:37:30-05:00</t>
  </si>
  <si>
    <t xml:space="preserve">2024:04:30 09:37:30-05:00</t>
  </si>
  <si>
    <t xml:space="preserve">[0 - 112609], [128995 - 134957]</t>
  </si>
  <si>
    <t xml:space="preserve">Signature_b9deaff5-48ea-49bb-b1bf-5eb074f41e79</t>
  </si>
  <si>
    <t xml:space="preserve">2024-04-30 09:37:19-05:00</t>
  </si>
  <si>
    <t xml:space="preserve">2024:04:30 09:37:19-05:00</t>
  </si>
  <si>
    <t xml:space="preserve">[0 - 249007], [265393 - 270052]</t>
  </si>
  <si>
    <t xml:space="preserve">Signature_c7e29d8f-c86e-4f69-b878-d7b7c933d120</t>
  </si>
  <si>
    <t xml:space="preserve">2024-04-30 09:37:18-05:00</t>
  </si>
  <si>
    <t xml:space="preserve">2024:04:30 09:37:18-05:00</t>
  </si>
  <si>
    <t xml:space="preserve">[0 - 882684], [899070 - 903666]</t>
  </si>
  <si>
    <t xml:space="preserve">Signature_9659fafe-81a5-4c58-952f-8e19921198eb</t>
  </si>
  <si>
    <t xml:space="preserve">2024-04-30 09:37:24-05:00</t>
  </si>
  <si>
    <t xml:space="preserve">2024:04:30 09:37:24-05:00</t>
  </si>
  <si>
    <t xml:space="preserve">[0 - 206542], [222928 - 227661]</t>
  </si>
  <si>
    <t xml:space="preserve">Signature_15fa44a1-0c30-4a78-8aff-71670f10e4a2</t>
  </si>
  <si>
    <t xml:space="preserve">2024-04-30 09:37:35-05:00</t>
  </si>
  <si>
    <t xml:space="preserve">2024:04:30 09:37:35-05:00</t>
  </si>
  <si>
    <t xml:space="preserve">[0 - 212397], [228783 - 234132]</t>
  </si>
  <si>
    <t xml:space="preserve">184 0 obj</t>
  </si>
  <si>
    <t xml:space="preserve">Signature_748c856f-d605-472c-a3d3-c5c77c498755</t>
  </si>
  <si>
    <t xml:space="preserve">2024-04-30 09:37:28-05:00</t>
  </si>
  <si>
    <t xml:space="preserve">2024:04:30 09:37:28-05:00</t>
  </si>
  <si>
    <t xml:space="preserve">[0 - 116926], [133312 - 137845]</t>
  </si>
  <si>
    <t xml:space="preserve">Signature_2fcf6bd7-4fc0-489e-855e-2f4c8a5aa509</t>
  </si>
  <si>
    <t xml:space="preserve">2024-04-30 09:37:25-05:00</t>
  </si>
  <si>
    <t xml:space="preserve">2024:04:30 09:37:25-05:00</t>
  </si>
  <si>
    <t xml:space="preserve">[0 - 114010], [130396 - 135662]</t>
  </si>
  <si>
    <t xml:space="preserve">Signature_fe71b7d3-f36b-41b9-8c7e-665ed665e8f1</t>
  </si>
  <si>
    <t xml:space="preserve">2024-04-30 09:37:21-05:00</t>
  </si>
  <si>
    <t xml:space="preserve">2024:04:30 09:37:21-05:00</t>
  </si>
  <si>
    <t xml:space="preserve">[0 - 789916], [806302 - 811092]</t>
  </si>
  <si>
    <t xml:space="preserve">Signature_3a34c386-2493-4882-b825-1538fc9b929f</t>
  </si>
  <si>
    <t xml:space="preserve">2024-04-30 09:37:34-05:00</t>
  </si>
  <si>
    <t xml:space="preserve">2024:04:30 09:37:34-05:00</t>
  </si>
  <si>
    <t xml:space="preserve">[0 - 78341], [94727 - 99503]</t>
  </si>
  <si>
    <t xml:space="preserve">Signature_89f45538-7b9c-454b-b047-7221cb02848b</t>
  </si>
  <si>
    <t xml:space="preserve">2024-04-30 09:37:33-05:00</t>
  </si>
  <si>
    <t xml:space="preserve">2024:04:30 09:37:33-05:00</t>
  </si>
  <si>
    <t xml:space="preserve">[0 - 75851], [92237 - 97013]</t>
  </si>
  <si>
    <t xml:space="preserve">Signature_33680729-92f6-4660-a775-11700817a791</t>
  </si>
  <si>
    <t xml:space="preserve">2024-04-30 09:37:32-05:00</t>
  </si>
  <si>
    <t xml:space="preserve">2024:04:30 09:37:32-05:00</t>
  </si>
  <si>
    <t xml:space="preserve">[0 - 68840], [85226 - 89981]</t>
  </si>
  <si>
    <t xml:space="preserve">Signature_06ba3548-c2d1-4654-b5ad-be83ff9797e0</t>
  </si>
  <si>
    <t xml:space="preserve">2024-04-30 09:37:31-05:00</t>
  </si>
  <si>
    <t xml:space="preserve">2024:04:30 09:37:31-05:00</t>
  </si>
  <si>
    <t xml:space="preserve">[0 - 68380], [84766 - 89521]</t>
  </si>
  <si>
    <t xml:space="preserve">Signature_aa26f905-089c-4732-9969-0b20db819afa</t>
  </si>
  <si>
    <t xml:space="preserve">2024-04-30 09:37:27-05:00</t>
  </si>
  <si>
    <t xml:space="preserve">2024:04:30 09:37:27-05:00</t>
  </si>
  <si>
    <t xml:space="preserve">[0 - 66166], [82552 - 87074]</t>
  </si>
  <si>
    <t xml:space="preserve">Signature_6dbaee4f-9f4a-4514-88e0-f8cdfbdf7dbe</t>
  </si>
  <si>
    <t xml:space="preserve">2024-04-30 09:37:29-05:00</t>
  </si>
  <si>
    <t xml:space="preserve">2024:04:30 09:37:29-05:00</t>
  </si>
  <si>
    <t xml:space="preserve">[0 - 129097], [145483 - 151461]</t>
  </si>
  <si>
    <t xml:space="preserve">Signature_39d40c58-fc39-424f-bc91-c126e70039ba</t>
  </si>
  <si>
    <t xml:space="preserve">2024-04-30 09:37:22-05:00</t>
  </si>
  <si>
    <t xml:space="preserve">2024:04:30 09:37:22-05:00</t>
  </si>
  <si>
    <t xml:space="preserve">[0 - 124402], [140788 - 146088]</t>
  </si>
  <si>
    <t xml:space="preserve">Signature_9e78ca69-c093-462d-9b20-4fac3001c6af</t>
  </si>
  <si>
    <t xml:space="preserve">[0 - 280224], [296610 - 305097]</t>
  </si>
  <si>
    <t xml:space="preserve">Signature_5e065c8a-4ce6-439d-9ffc-46128b893b3f</t>
  </si>
  <si>
    <t xml:space="preserve">2024-04-30 09:36:40-05:00</t>
  </si>
  <si>
    <t xml:space="preserve">2024:04:30 09:36:40-05:00</t>
  </si>
  <si>
    <t xml:space="preserve">[0 - 185268], [201654 - 207901]</t>
  </si>
  <si>
    <t xml:space="preserve">Signature_b7f37706-b9d6-489c-9fae-48af8c80c4a8</t>
  </si>
  <si>
    <t xml:space="preserve">2024-04-30 09:36:58-05:00</t>
  </si>
  <si>
    <t xml:space="preserve">2024:04:30 09:36:59-05:00</t>
  </si>
  <si>
    <t xml:space="preserve">[0 - 328510], [344896 - 347535]</t>
  </si>
  <si>
    <t xml:space="preserve">Signature_89d9f651-a33b-461c-a661-b3904de288ba</t>
  </si>
  <si>
    <t xml:space="preserve">2024-04-30 09:36:41-05:00</t>
  </si>
  <si>
    <t xml:space="preserve">2024:04:30 09:36:41-05:00</t>
  </si>
  <si>
    <t xml:space="preserve">[0 - 390525], [406911 - 415398]</t>
  </si>
  <si>
    <t xml:space="preserve">Signature_44a5b111-e4ea-409b-abac-02df711e3830</t>
  </si>
  <si>
    <t xml:space="preserve">2024-04-30 09:36:57-05:00</t>
  </si>
  <si>
    <t xml:space="preserve">2024:04:30 09:36:57-05:00</t>
  </si>
  <si>
    <t xml:space="preserve">[0 - 162783], [179169 - 184525]</t>
  </si>
  <si>
    <t xml:space="preserve">170 0 obj</t>
  </si>
  <si>
    <t xml:space="preserve">Signature_0298298c-27f5-4e5c-a2e7-b6d9d7a6adf5</t>
  </si>
  <si>
    <t xml:space="preserve">2024-04-30 09:36:44-05:00</t>
  </si>
  <si>
    <t xml:space="preserve">2024:04:30 09:36:44-05:00</t>
  </si>
  <si>
    <t xml:space="preserve">[0 - 415441], [431827 - 437115]</t>
  </si>
  <si>
    <t xml:space="preserve">Signature_b34ad17f-4ea8-4417-a704-438efb294227</t>
  </si>
  <si>
    <t xml:space="preserve">2024-04-30 09:36:53-05:00</t>
  </si>
  <si>
    <t xml:space="preserve">2024:04:30 09:36:53-05:00</t>
  </si>
  <si>
    <t xml:space="preserve">[0 - 60622], [77008 - 81782]</t>
  </si>
  <si>
    <t xml:space="preserve">Signature_76e84ae1-1d7a-4631-88a5-a43b0152f6b3</t>
  </si>
  <si>
    <t xml:space="preserve">2024-04-30 09:36:48-05:00</t>
  </si>
  <si>
    <t xml:space="preserve">2024:04:30 09:36:48-05:00</t>
  </si>
  <si>
    <t xml:space="preserve">Signature_5f9f80e7-25c3-4c11-924c-e91fed4b6095</t>
  </si>
  <si>
    <t xml:space="preserve">2024-04-30 09:36:35-05:00</t>
  </si>
  <si>
    <t xml:space="preserve">2024:04:30 09:36:35-05:00</t>
  </si>
  <si>
    <t xml:space="preserve">[0 - 234999], [251385 - 256595]</t>
  </si>
  <si>
    <t xml:space="preserve">Signature_a8d18542-d391-409f-b6e2-937ff6b190e9</t>
  </si>
  <si>
    <t xml:space="preserve">2024-04-30 09:36:36-05:00</t>
  </si>
  <si>
    <t xml:space="preserve">2024:04:30 09:36:36-05:00</t>
  </si>
  <si>
    <t xml:space="preserve">[0 - 882684], [899070 - 903667]</t>
  </si>
  <si>
    <t xml:space="preserve">Signature_7edd04dc-273a-4b30-b373-2e024bae9062</t>
  </si>
  <si>
    <t xml:space="preserve">2024-04-30 09:36:37-05:00</t>
  </si>
  <si>
    <t xml:space="preserve">2024:04:30 09:36:37-05:00</t>
  </si>
  <si>
    <t xml:space="preserve">[0 - 249004], [265390 - 270048]</t>
  </si>
  <si>
    <t xml:space="preserve">Signature_b8e154e8-0368-42ac-845a-3845ba3a6cd1</t>
  </si>
  <si>
    <t xml:space="preserve">2024-04-30 09:36:33-05:00</t>
  </si>
  <si>
    <t xml:space="preserve">2024:04:30 09:36:33-05:00</t>
  </si>
  <si>
    <t xml:space="preserve">[0 - 241201], [257587 - 263077]</t>
  </si>
  <si>
    <t xml:space="preserve">Signature_b4179e7e-82c3-4057-8946-7583cd511274</t>
  </si>
  <si>
    <t xml:space="preserve">2024-04-30 09:36:31-05:00</t>
  </si>
  <si>
    <t xml:space="preserve">2024:04:30 09:36:31-05:00</t>
  </si>
  <si>
    <t xml:space="preserve">[0 - 467408], [483794 - 489561]</t>
  </si>
  <si>
    <t xml:space="preserve">Signature_ce1e879a-9989-4d42-8f2b-72db6fc89405</t>
  </si>
  <si>
    <t xml:space="preserve">2024-04-30 09:36:42-05:00</t>
  </si>
  <si>
    <t xml:space="preserve">2024:04:30 09:36:42-05:00</t>
  </si>
  <si>
    <t xml:space="preserve">[0 - 206533], [222919 - 227652]</t>
  </si>
  <si>
    <t xml:space="preserve">Signature_178e2628-45c8-49a6-a743-cf3cf373ea21</t>
  </si>
  <si>
    <t xml:space="preserve">2024-04-30 09:36:46-05:00</t>
  </si>
  <si>
    <t xml:space="preserve">2024:04:30 09:36:46-05:00</t>
  </si>
  <si>
    <t xml:space="preserve">[0 - 116920], [133306 - 137839]</t>
  </si>
  <si>
    <t xml:space="preserve">Signature_13c8a919-8001-40e0-bef6-30fcd73e4292</t>
  </si>
  <si>
    <t xml:space="preserve">2024-04-30 09:36:43-05:00</t>
  </si>
  <si>
    <t xml:space="preserve">2024:04:30 09:36:43-05:00</t>
  </si>
  <si>
    <t xml:space="preserve">[0 - 114005], [130391 - 135656]</t>
  </si>
  <si>
    <t xml:space="preserve">Signature_2b8ae60b-978c-4088-b940-c1b64106dd17</t>
  </si>
  <si>
    <t xml:space="preserve">2024-04-30 09:36:38-05:00</t>
  </si>
  <si>
    <t xml:space="preserve">2024:04:30 09:36:38-05:00</t>
  </si>
  <si>
    <t xml:space="preserve">[0 - 789915], [806301 - 811092]</t>
  </si>
  <si>
    <t xml:space="preserve">Signature_2df0391a-e7dd-4405-a29c-1e306a798b13</t>
  </si>
  <si>
    <t xml:space="preserve">2024-04-30 09:36:56-05:00</t>
  </si>
  <si>
    <t xml:space="preserve">2024:04:30 09:36:56-05:00</t>
  </si>
  <si>
    <t xml:space="preserve">[0 - 88700], [105086 - 113037]</t>
  </si>
  <si>
    <t xml:space="preserve">Signature_5c1c07e2-c0fb-4cc3-b639-664bd8f0ff96</t>
  </si>
  <si>
    <t xml:space="preserve">2024-04-30 09:36:55-05:00</t>
  </si>
  <si>
    <t xml:space="preserve">2024:04:30 09:36:55-05:00</t>
  </si>
  <si>
    <t xml:space="preserve">[0 - 90124], [106510 - 114461]</t>
  </si>
  <si>
    <t xml:space="preserve">Signature_882a7141-65b7-4fad-bf78-1ee3df26ce21</t>
  </si>
  <si>
    <t xml:space="preserve">2024-04-30 09:36:54-05:00</t>
  </si>
  <si>
    <t xml:space="preserve">2024:04:30 09:36:54-05:00</t>
  </si>
  <si>
    <t xml:space="preserve">Signature_647b3d51-64ea-4956-bae1-5f339dbf1be3</t>
  </si>
  <si>
    <t xml:space="preserve">2024-04-30 09:36:52-05:00</t>
  </si>
  <si>
    <t xml:space="preserve">2024:04:30 09:36:52-05:00</t>
  </si>
  <si>
    <t xml:space="preserve">Signature_af7387b1-4908-4087-8f4d-4f1a1945d25b</t>
  </si>
  <si>
    <t xml:space="preserve">2024-04-30 09:36:51-05:00</t>
  </si>
  <si>
    <t xml:space="preserve">2024:04:30 09:36:51-05:00</t>
  </si>
  <si>
    <t xml:space="preserve">[0 - 68836], [85222 - 89977]</t>
  </si>
  <si>
    <t xml:space="preserve">Signature_ab896744-27fd-4a1a-9705-d249e5f84bfe</t>
  </si>
  <si>
    <t xml:space="preserve">2024-04-30 09:36:50-05:00</t>
  </si>
  <si>
    <t xml:space="preserve">2024:04:30 09:36:50-05:00</t>
  </si>
  <si>
    <t xml:space="preserve">Signature_9f201916-2ada-451a-a7f5-9adb825721ab</t>
  </si>
  <si>
    <t xml:space="preserve">2024-04-30 09:36:45-05:00</t>
  </si>
  <si>
    <t xml:space="preserve">2024:04:30 09:36:45-05:00</t>
  </si>
  <si>
    <t xml:space="preserve">[0 - 66162], [82548 - 87070]</t>
  </si>
  <si>
    <t xml:space="preserve">Signature_cdb18032-a4d3-4915-9ba5-d284d37b8a6d</t>
  </si>
  <si>
    <t xml:space="preserve">2024-04-30 09:36:47-05:00</t>
  </si>
  <si>
    <t xml:space="preserve">2024:04:30 09:36:47-05:00</t>
  </si>
  <si>
    <t xml:space="preserve">Signature_e924fd0a-6985-460f-bb8e-3d39cd65485b</t>
  </si>
  <si>
    <t xml:space="preserve">2024-04-30 09:36:39-05:00</t>
  </si>
  <si>
    <t xml:space="preserve">2024:04:30 09:36:39-05:00</t>
  </si>
  <si>
    <t xml:space="preserve">[0 - 124397], [140783 - 146084]</t>
  </si>
  <si>
    <t xml:space="preserve">Signature_691ab6a4-c51e-487c-b81c-3ded38c22514</t>
  </si>
  <si>
    <t xml:space="preserve">2024-04-30 09:36:34-05:00</t>
  </si>
  <si>
    <t xml:space="preserve">2024:04:30 09:36:34-05:00</t>
  </si>
  <si>
    <t xml:space="preserve">[0 - 285524], [301910 - 310397]</t>
  </si>
  <si>
    <t xml:space="preserve">Signature_c53e2ccc-6c0b-4c0f-9655-e7d5c7a15f53</t>
  </si>
  <si>
    <t xml:space="preserve">2024-04-30 09:28:17-05:00</t>
  </si>
  <si>
    <t xml:space="preserve">2024:04:30 09:28:17-05:00</t>
  </si>
  <si>
    <t xml:space="preserve">[0 - 73422], [89808 - 94614]</t>
  </si>
  <si>
    <t xml:space="preserve">Signature_082add8e-5b4b-41fe-8289-6cc44c45f1d1</t>
  </si>
  <si>
    <t xml:space="preserve">2024-04-30 09:28:18-05:00</t>
  </si>
  <si>
    <t xml:space="preserve">2024:04:30 09:28:18-05:00</t>
  </si>
  <si>
    <t xml:space="preserve">[0 - 80845], [97231 - 102038]</t>
  </si>
  <si>
    <t xml:space="preserve">Signature_030271d8-3eb1-4f3c-a47b-dd06dabe3bba</t>
  </si>
  <si>
    <t xml:space="preserve">2024-04-30 09:28:19-05:00</t>
  </si>
  <si>
    <t xml:space="preserve">2024:04:30 09:28:19-05:00</t>
  </si>
  <si>
    <t xml:space="preserve">[0 - 148440], [164826 - 169637]</t>
  </si>
  <si>
    <t xml:space="preserve">51 0 obj</t>
  </si>
  <si>
    <t xml:space="preserve">Signature_7a2ef450-b45f-46b0-8981-089215e5e3bf</t>
  </si>
  <si>
    <t xml:space="preserve">2024-04-30 09:27:57-05:00</t>
  </si>
  <si>
    <t xml:space="preserve">2024:04:30 09:27:57-05:00</t>
  </si>
  <si>
    <t xml:space="preserve">[0 - 161203], [177589 - 182140]</t>
  </si>
  <si>
    <t xml:space="preserve">52 0 obj</t>
  </si>
  <si>
    <t xml:space="preserve">Signature_aa486e2b-abfb-4b2f-88bc-ffaa61fabb89</t>
  </si>
  <si>
    <t xml:space="preserve">2024-04-30 09:28:00-05:00</t>
  </si>
  <si>
    <t xml:space="preserve">2024:04:30 09:28:00-05:00</t>
  </si>
  <si>
    <t xml:space="preserve">[0 - 70595], [86981 - 91715]</t>
  </si>
  <si>
    <t xml:space="preserve">Signature_556fe22e-e405-4017-8215-f108db0f4306</t>
  </si>
  <si>
    <t xml:space="preserve">2024-04-30 09:28:08-05:00</t>
  </si>
  <si>
    <t xml:space="preserve">2024:04:30 09:28:08-05:00</t>
  </si>
  <si>
    <t xml:space="preserve">[0 - 84299], [100685 - 105478]</t>
  </si>
  <si>
    <t xml:space="preserve">35 0 obj</t>
  </si>
  <si>
    <t xml:space="preserve">Signature_0470d6aa-043a-4ed3-b028-90db813df357</t>
  </si>
  <si>
    <t xml:space="preserve">2024-04-30 09:27:50-05:00</t>
  </si>
  <si>
    <t xml:space="preserve">2024:04:30 09:27:50-05:00</t>
  </si>
  <si>
    <t xml:space="preserve">[0 - 286016], [302402 - 308469]</t>
  </si>
  <si>
    <t xml:space="preserve">115 0 obj</t>
  </si>
  <si>
    <t xml:space="preserve">Signature_995bd21b-1d5b-4249-9ef9-ac8dc22cc4c9</t>
  </si>
  <si>
    <t xml:space="preserve">2024-04-30 09:27:32-05:00</t>
  </si>
  <si>
    <t xml:space="preserve">2024:04:30 09:27:32-05:00</t>
  </si>
  <si>
    <t xml:space="preserve">[0 - 172009], [188395 - 193504]</t>
  </si>
  <si>
    <t xml:space="preserve">153 0 obj</t>
  </si>
  <si>
    <t xml:space="preserve">Signature_fac15a97-c1b1-41dd-ae24-f1b0d877d027</t>
  </si>
  <si>
    <t xml:space="preserve">2024-04-30 09:28:27-05:00</t>
  </si>
  <si>
    <t xml:space="preserve">2024:04:30 09:28:27-05:00</t>
  </si>
  <si>
    <t xml:space="preserve">[0 - 522581], [538967 - 544788]</t>
  </si>
  <si>
    <t xml:space="preserve">Signature_f8dc9228-a19d-4680-84a0-140155479df7</t>
  </si>
  <si>
    <t xml:space="preserve">2024-04-30 09:28:29-05:00</t>
  </si>
  <si>
    <t xml:space="preserve">2024:04:30 09:28:29-05:00</t>
  </si>
  <si>
    <t xml:space="preserve">[0 - 392467], [408853 - 411441]</t>
  </si>
  <si>
    <t xml:space="preserve">281 0 obj</t>
  </si>
  <si>
    <t xml:space="preserve">Signature_9180e462-b432-414d-a7f3-9fa0f8ba3564</t>
  </si>
  <si>
    <t xml:space="preserve">2024-04-30 09:27:21-05:00</t>
  </si>
  <si>
    <t xml:space="preserve">2024:04:30 09:27:21-05:00</t>
  </si>
  <si>
    <t xml:space="preserve">[0 - 941960], [958346 - 963631]</t>
  </si>
  <si>
    <t xml:space="preserve">246 0 obj</t>
  </si>
  <si>
    <t xml:space="preserve">Signature_55ecc8da-6f51-4018-ad2d-1d3363b6039b</t>
  </si>
  <si>
    <t xml:space="preserve">2024-04-30 09:27:13-05:00</t>
  </si>
  <si>
    <t xml:space="preserve">2024:04:30 09:27:13-05:00</t>
  </si>
  <si>
    <t xml:space="preserve">[0 - 937745], [954131 - 959873]</t>
  </si>
  <si>
    <t xml:space="preserve">239 0 obj</t>
  </si>
  <si>
    <t xml:space="preserve">Signature_404e9f8d-5602-4c03-b5b8-c54616fffd3d</t>
  </si>
  <si>
    <t xml:space="preserve">2024-04-30 09:28:11-05:00</t>
  </si>
  <si>
    <t xml:space="preserve">2024:04:30 09:28:11-05:00</t>
  </si>
  <si>
    <t xml:space="preserve">[0 - 255443], [271829 - 277274]</t>
  </si>
  <si>
    <t xml:space="preserve">205 0 obj</t>
  </si>
  <si>
    <t xml:space="preserve">Signature_cfa1f551-0f0e-46c3-a586-e32b6b59f7b9</t>
  </si>
  <si>
    <t xml:space="preserve">2024-04-30 09:28:04-05:00</t>
  </si>
  <si>
    <t xml:space="preserve">2024:04:30 09:28:04-05:00</t>
  </si>
  <si>
    <t xml:space="preserve">[0 - 280610], [296996 - 302469]</t>
  </si>
  <si>
    <t xml:space="preserve">225 0 obj</t>
  </si>
  <si>
    <t xml:space="preserve">Signature_599ba3de-75cf-4147-ba96-028761ea160f</t>
  </si>
  <si>
    <t xml:space="preserve">2024-04-30 09:28:25-05:00</t>
  </si>
  <si>
    <t xml:space="preserve">2024:04:30 09:28:25-05:00</t>
  </si>
  <si>
    <t xml:space="preserve">[0 - 94340], [110726 - 118677]</t>
  </si>
  <si>
    <t xml:space="preserve">Signature_a34cb9cf-d513-4256-989a-613c5c9393e1</t>
  </si>
  <si>
    <t xml:space="preserve">2024-04-30 09:27:58-05:00</t>
  </si>
  <si>
    <t xml:space="preserve">2024:04:30 09:27:58-05:00</t>
  </si>
  <si>
    <t xml:space="preserve">[0 - 132522], [148908 - 154366]</t>
  </si>
  <si>
    <t xml:space="preserve">101 0 obj</t>
  </si>
  <si>
    <t xml:space="preserve">Signature_ea7645b2-22e2-400b-be83-bd5e8e873e74</t>
  </si>
  <si>
    <t xml:space="preserve">2024-04-30 09:28:26-05:00</t>
  </si>
  <si>
    <t xml:space="preserve">2024:04:30 09:28:26-05:00</t>
  </si>
  <si>
    <t xml:space="preserve">[0 - 219249], [235635 - 243587]</t>
  </si>
  <si>
    <t xml:space="preserve">Signature_1ad53d80-426d-4dc2-9f62-b8ea2316871f</t>
  </si>
  <si>
    <t xml:space="preserve">2024-04-30 09:27:39-05:00</t>
  </si>
  <si>
    <t xml:space="preserve">2024:04:30 09:27:39-05:00</t>
  </si>
  <si>
    <t xml:space="preserve">[0 - 122286], [138672 - 143452]</t>
  </si>
  <si>
    <t xml:space="preserve">58 0 obj</t>
  </si>
  <si>
    <t xml:space="preserve">Signature_5791c8d5-1483-4a1d-b656-c24fdb0aabc0</t>
  </si>
  <si>
    <t xml:space="preserve">2024-04-30 09:27:52-05:00</t>
  </si>
  <si>
    <t xml:space="preserve">2024:04:30 09:27:52-05:00</t>
  </si>
  <si>
    <t xml:space="preserve">[0 - 500341], [516727 - 525295]</t>
  </si>
  <si>
    <t xml:space="preserve">Signature_d03dcb5a-054b-4781-9235-c4d46faa0c39</t>
  </si>
  <si>
    <t xml:space="preserve">2024-04-30 09:28:22-05:00</t>
  </si>
  <si>
    <t xml:space="preserve">2024:04:30 09:28:22-05:00</t>
  </si>
  <si>
    <t xml:space="preserve">[0 - 96824], [113210 - 121161]</t>
  </si>
  <si>
    <t xml:space="preserve">Signature_4e62267b-ae06-44ac-90c2-afc14ff3dd47</t>
  </si>
  <si>
    <t xml:space="preserve">2024-04-30 09:27:51-05:00</t>
  </si>
  <si>
    <t xml:space="preserve">2024:04:30 09:27:51-05:00</t>
  </si>
  <si>
    <t xml:space="preserve">[0 - 252374], [268760 - 277328]</t>
  </si>
  <si>
    <t xml:space="preserve">Signature_9dc24feb-2c8a-4adf-acd3-c189c91a90ed</t>
  </si>
  <si>
    <t xml:space="preserve">2024-04-30 09:28:02-05:00</t>
  </si>
  <si>
    <t xml:space="preserve">2024:04:30 09:28:02-05:00</t>
  </si>
  <si>
    <t xml:space="preserve">[0 - 69068], [85454 - 94012]</t>
  </si>
  <si>
    <t xml:space="preserve">33 0 obj</t>
  </si>
  <si>
    <t xml:space="preserve">Signature_bb1ca425-6f53-4de6-b1b1-597e47916561</t>
  </si>
  <si>
    <t xml:space="preserve">2024-04-30 09:27:53-05:00</t>
  </si>
  <si>
    <t xml:space="preserve">2024:04:30 09:27:53-05:00</t>
  </si>
  <si>
    <t xml:space="preserve">[0 - 66681], [83067 - 91633]</t>
  </si>
  <si>
    <t xml:space="preserve">Signature_c2192126-6a42-4da9-ab20-155aec46ec57</t>
  </si>
  <si>
    <t xml:space="preserve">2024-04-30 09:27:47-05:00</t>
  </si>
  <si>
    <t xml:space="preserve">2024:04:30 09:27:47-05:00</t>
  </si>
  <si>
    <t xml:space="preserve">[0 - 74705], [91091 - 99657]</t>
  </si>
  <si>
    <t xml:space="preserve">Signature_105f444b-16ff-4094-a79c-c5fd27c429cf</t>
  </si>
  <si>
    <t xml:space="preserve">2024-04-30 09:27:46-05:00</t>
  </si>
  <si>
    <t xml:space="preserve">2024:04:30 09:27:46-05:00</t>
  </si>
  <si>
    <t xml:space="preserve">[0 - 68683], [85069 - 89591]</t>
  </si>
  <si>
    <t xml:space="preserve">Signature_bd64fdee-775d-4027-9178-d6c52fd6e100</t>
  </si>
  <si>
    <t xml:space="preserve">2024-04-30 09:27:43-05:00</t>
  </si>
  <si>
    <t xml:space="preserve">2024:04:30 09:27:43-05:00</t>
  </si>
  <si>
    <t xml:space="preserve">[0 - 68865], [85251 - 89773]</t>
  </si>
  <si>
    <t xml:space="preserve">Signature_2d88cbb0-f02f-418d-87f7-2b73c435effc</t>
  </si>
  <si>
    <t xml:space="preserve">2024-04-30 09:27:41-05:00</t>
  </si>
  <si>
    <t xml:space="preserve">2024:04:30 09:27:41-05:00</t>
  </si>
  <si>
    <t xml:space="preserve">[0 - 71206], [87592 - 92113]</t>
  </si>
  <si>
    <t xml:space="preserve">34 0 obj</t>
  </si>
  <si>
    <t xml:space="preserve">Signature_4338519a-603d-4427-8a77-a03e53a8fc8a</t>
  </si>
  <si>
    <t xml:space="preserve">[0 - 76075], [92461 - 96982]</t>
  </si>
  <si>
    <t xml:space="preserve">Signature_8af21b81-fb41-4c6f-960a-521a67fcbd4c</t>
  </si>
  <si>
    <t xml:space="preserve">2024-04-30 09:27:37-05:00</t>
  </si>
  <si>
    <t xml:space="preserve">2024:04:30 09:27:37-05:00</t>
  </si>
  <si>
    <t xml:space="preserve">[0 - 77512], [93898 - 98419]</t>
  </si>
  <si>
    <t xml:space="preserve">Signature_e9bc0227-7b13-41f4-8c96-dcbf731d9c1a</t>
  </si>
  <si>
    <t xml:space="preserve">2024-04-30 09:27:30-05:00</t>
  </si>
  <si>
    <t xml:space="preserve">2024:04:30 09:27:30-05:00</t>
  </si>
  <si>
    <t xml:space="preserve">[0 - 169588], [185974 - 191505]</t>
  </si>
  <si>
    <t xml:space="preserve">292 0 obj</t>
  </si>
  <si>
    <t xml:space="preserve">Signature_1f125dad-31c7-4376-ad23-3662b416a692</t>
  </si>
  <si>
    <t xml:space="preserve">2024-04-30 09:27:28-05:00</t>
  </si>
  <si>
    <t xml:space="preserve">2024:04:30 09:27:28-05:00</t>
  </si>
  <si>
    <t xml:space="preserve">[0 - 170004], [186390 - 191920]</t>
  </si>
  <si>
    <t xml:space="preserve">Signature_3a11c3c4-0931-464e-a3aa-be259f816567</t>
  </si>
  <si>
    <t xml:space="preserve">2024-04-30 09:27:26-05:00</t>
  </si>
  <si>
    <t xml:space="preserve">2024:04:30 09:27:26-05:00</t>
  </si>
  <si>
    <t xml:space="preserve">[0 - 169730], [186116 - 191648]</t>
  </si>
  <si>
    <t xml:space="preserve">293 0 obj</t>
  </si>
  <si>
    <t xml:space="preserve">Signature_a594f383-8fc6-4485-8392-46a37e4b9d4c</t>
  </si>
  <si>
    <t xml:space="preserve">2024-04-30 09:28:09-05:00</t>
  </si>
  <si>
    <t xml:space="preserve">2024:04:30 09:28:09-05:00</t>
  </si>
  <si>
    <t xml:space="preserve">[0 - 210264], [226650 - 231468]</t>
  </si>
  <si>
    <t xml:space="preserve">96 0 obj</t>
  </si>
  <si>
    <t xml:space="preserve">Signature_9b1bdc16-c2dc-46e7-b2ac-962de9388d00</t>
  </si>
  <si>
    <t xml:space="preserve">2024-04-30 09:28:07-05:00</t>
  </si>
  <si>
    <t xml:space="preserve">2024:04:30 09:28:07-05:00</t>
  </si>
  <si>
    <t xml:space="preserve">[0 - 227936], [244322 - 249145]</t>
  </si>
  <si>
    <t xml:space="preserve">47 0 obj</t>
  </si>
  <si>
    <t xml:space="preserve">Signature_1df7d213-7f35-44b5-afba-a35a4bedd1a8</t>
  </si>
  <si>
    <t xml:space="preserve">2024-04-30 09:27:36-05:00</t>
  </si>
  <si>
    <t xml:space="preserve">2024:04:30 09:27:36-05:00</t>
  </si>
  <si>
    <t xml:space="preserve">[0 - 289936], [306322 - 311901]</t>
  </si>
  <si>
    <t xml:space="preserve">325 0 obj</t>
  </si>
  <si>
    <t xml:space="preserve">Signature_42c0f896-61fc-4183-9346-64d7e3f69665</t>
  </si>
  <si>
    <t xml:space="preserve">2024-04-30 09:27:35-05:00</t>
  </si>
  <si>
    <t xml:space="preserve">2024:04:30 09:27:35-05:00</t>
  </si>
  <si>
    <t xml:space="preserve">[0 - 122029], [138415 - 142891]</t>
  </si>
  <si>
    <t xml:space="preserve">Signature_c3f2616d-d4fd-4399-8bb7-9746789d7078</t>
  </si>
  <si>
    <t xml:space="preserve">2024-04-30 09:27:24-05:00</t>
  </si>
  <si>
    <t xml:space="preserve">2024:04:30 09:27:24-05:00</t>
  </si>
  <si>
    <t xml:space="preserve">[0 - 827044], [843430 - 848941]</t>
  </si>
  <si>
    <t xml:space="preserve">321 0 obj</t>
  </si>
  <si>
    <t xml:space="preserve">Signature_94bebaab-90d7-4afd-b956-85b5a90bb801</t>
  </si>
  <si>
    <t xml:space="preserve">2024-04-30 09:27:22-05:00</t>
  </si>
  <si>
    <t xml:space="preserve">2024:04:30 09:27:22-05:00</t>
  </si>
  <si>
    <t xml:space="preserve">[0 - 827921], [844307 - 849819]</t>
  </si>
  <si>
    <t xml:space="preserve">319 0 obj</t>
  </si>
  <si>
    <t xml:space="preserve">Signature_34de7e97-5aa0-46a5-baaa-3627f25b3bff</t>
  </si>
  <si>
    <t xml:space="preserve">2024-04-30 09:27:19-05:00</t>
  </si>
  <si>
    <t xml:space="preserve">2024:04:30 09:27:19-05:00</t>
  </si>
  <si>
    <t xml:space="preserve">[0 - 821806], [838192 - 843736]</t>
  </si>
  <si>
    <t xml:space="preserve">317 0 obj</t>
  </si>
  <si>
    <t xml:space="preserve">Signature_e16db060-13aa-47e1-86c9-54eaff429518</t>
  </si>
  <si>
    <t xml:space="preserve">2024-04-30 09:27:17-05:00</t>
  </si>
  <si>
    <t xml:space="preserve">2024:04:30 09:27:17-05:00</t>
  </si>
  <si>
    <t xml:space="preserve">[0 - 248836], [265222 - 269832]</t>
  </si>
  <si>
    <t xml:space="preserve">Signature_aa9bf6da-1883-45a6-b56e-5753da04beeb</t>
  </si>
  <si>
    <t xml:space="preserve">2024-04-30 09:27:14-05:00</t>
  </si>
  <si>
    <t xml:space="preserve">2024:04:30 09:27:14-05:00</t>
  </si>
  <si>
    <t xml:space="preserve">[0 - 233786], [250172 - 254782]</t>
  </si>
  <si>
    <t xml:space="preserve">Signature_68fa94ab-7a39-4118-9fcb-26205cc841fb</t>
  </si>
  <si>
    <t xml:space="preserve">2024-04-30 09:28:14-05:00</t>
  </si>
  <si>
    <t xml:space="preserve">2024:04:30 09:28:14-05:00</t>
  </si>
  <si>
    <t xml:space="preserve">[0 - 80271], [96657 - 104608]</t>
  </si>
  <si>
    <t xml:space="preserve">Signature_cca43afe-8e89-4298-a891-141a9cc24d8e</t>
  </si>
  <si>
    <t xml:space="preserve">2024-04-30 09:27:55-05:00</t>
  </si>
  <si>
    <t xml:space="preserve">2024:04:30 09:27:55-05:00</t>
  </si>
  <si>
    <t xml:space="preserve">[0 - 66196], [82582 - 91148]</t>
  </si>
  <si>
    <t xml:space="preserve">Signature_5cfa6624-46b1-41b7-a3ca-da2a718d1010</t>
  </si>
  <si>
    <t xml:space="preserve">2024-04-30 09:28:10-05:00</t>
  </si>
  <si>
    <t xml:space="preserve">2024:04:30 09:28:10-05:00</t>
  </si>
  <si>
    <t xml:space="preserve">[0 - 157405], [173791 - 178536]</t>
  </si>
  <si>
    <t xml:space="preserve">Signature_98289eab-c6b4-475d-8f0f-14347868bdaf</t>
  </si>
  <si>
    <t xml:space="preserve">2024-04-30 09:28:03-05:00</t>
  </si>
  <si>
    <t xml:space="preserve">2024:04:30 09:28:03-05:00</t>
  </si>
  <si>
    <t xml:space="preserve">[0 - 237584], [253970 - 258715]</t>
  </si>
  <si>
    <t xml:space="preserve">63 0 obj</t>
  </si>
  <si>
    <t xml:space="preserve">Signature_398ec109-d8b3-4f9e-9f9e-e652b4d1a231</t>
  </si>
  <si>
    <t xml:space="preserve">2024-04-30 09:28:15-05:00</t>
  </si>
  <si>
    <t xml:space="preserve">2024:04:30 09:28:15-05:00</t>
  </si>
  <si>
    <t xml:space="preserve">[0 - 273645], [290031 - 294337]</t>
  </si>
  <si>
    <t xml:space="preserve">21 0 obj</t>
  </si>
  <si>
    <t xml:space="preserve">Signature_c9d204a9-d7bb-4827-8afb-dba695779483</t>
  </si>
  <si>
    <t xml:space="preserve">2024-04-30 09:28:12-05:00</t>
  </si>
  <si>
    <t xml:space="preserve">2024:04:30 09:28:12-05:00</t>
  </si>
  <si>
    <t xml:space="preserve">[0 - 141554], [157940 - 162706]</t>
  </si>
  <si>
    <t xml:space="preserve">Signature_59465ff8-ee59-4fbb-86ad-cf6a7883c3bd</t>
  </si>
  <si>
    <t xml:space="preserve">2024-04-30 09:27:42-05:00</t>
  </si>
  <si>
    <t xml:space="preserve">2024:04:30 09:27:42-05:00</t>
  </si>
  <si>
    <t xml:space="preserve">[0 - 433774], [450160 - 455247]</t>
  </si>
  <si>
    <t xml:space="preserve">383 0 obj</t>
  </si>
  <si>
    <t xml:space="preserve">Signature_eb8a0003-0058-4f50-b4ab-8a991fb43c56</t>
  </si>
  <si>
    <t xml:space="preserve">2024-04-30 09:27:38-05:00</t>
  </si>
  <si>
    <t xml:space="preserve">2024:04:30 09:27:38-05:00</t>
  </si>
  <si>
    <t xml:space="preserve">[0 - 433209], [449595 - 454702]</t>
  </si>
  <si>
    <t xml:space="preserve">385 0 obj</t>
  </si>
  <si>
    <t xml:space="preserve">Signature_0125a86d-4cc7-495c-9cb6-9faab014dfa7</t>
  </si>
  <si>
    <t xml:space="preserve">2024-04-30 09:27:23-05:00</t>
  </si>
  <si>
    <t xml:space="preserve">2024:04:30 09:27:23-05:00</t>
  </si>
  <si>
    <t xml:space="preserve">[0 - 866096], [882482 - 887460]</t>
  </si>
  <si>
    <t xml:space="preserve">403 0 obj</t>
  </si>
  <si>
    <t xml:space="preserve">Signature_d81601f3-534c-4555-adc4-8440d722b10c</t>
  </si>
  <si>
    <t xml:space="preserve">2024-04-30 09:27:18-05:00</t>
  </si>
  <si>
    <t xml:space="preserve">2024:04:30 09:27:18-05:00</t>
  </si>
  <si>
    <t xml:space="preserve">[0 - 846020], [862406 - 867382]</t>
  </si>
  <si>
    <t xml:space="preserve">387 0 obj</t>
  </si>
  <si>
    <t xml:space="preserve">Signature_3aca94d4-6165-43c2-a508-f575c61d29de</t>
  </si>
  <si>
    <t xml:space="preserve">2024-04-30 09:28:21-05:00</t>
  </si>
  <si>
    <t xml:space="preserve">2024:04:30 09:28:21-05:00</t>
  </si>
  <si>
    <t xml:space="preserve">[0 - 127898], [144284 - 152236]</t>
  </si>
  <si>
    <t xml:space="preserve">Signature_734a4da4-30e5-4739-96b1-027f9e86aa6a</t>
  </si>
  <si>
    <t xml:space="preserve">2024-04-30 09:28:23-05:00</t>
  </si>
  <si>
    <t xml:space="preserve">2024:04:30 09:28:23-05:00</t>
  </si>
  <si>
    <t xml:space="preserve">[0 - 83091], [99477 - 107428]</t>
  </si>
  <si>
    <t xml:space="preserve">Signature_5cc01951-0899-42e0-bbab-7c81222e14ad</t>
  </si>
  <si>
    <t xml:space="preserve">2024-04-30 09:27:48-05:00</t>
  </si>
  <si>
    <t xml:space="preserve">2024:04:30 09:27:48-05:00</t>
  </si>
  <si>
    <t xml:space="preserve">[0 - 236317], [252703 - 257677]</t>
  </si>
  <si>
    <t xml:space="preserve">163 0 obj</t>
  </si>
  <si>
    <t xml:space="preserve">Signature_ff0a2fb7-8bd9-4aaa-a439-4d8b72d11184</t>
  </si>
  <si>
    <t xml:space="preserve">2024-04-30 09:27:54-05:00</t>
  </si>
  <si>
    <t xml:space="preserve">2024:04:30 09:27:54-05:00</t>
  </si>
  <si>
    <t xml:space="preserve">[0 - 64366], [80752 - 85253]</t>
  </si>
  <si>
    <t xml:space="preserve">Signature_cbd6b9f1-a229-4712-9cdc-847d034d5148</t>
  </si>
  <si>
    <t xml:space="preserve">[0 - 320505], [336891 - 342316]</t>
  </si>
  <si>
    <t xml:space="preserve">Signature_a8da59ab-dcfd-460e-b6a5-8c593eb061b7</t>
  </si>
  <si>
    <t xml:space="preserve">2024-04-30 09:27:20-05:00</t>
  </si>
  <si>
    <t xml:space="preserve">2024:04:30 09:27:20-05:00</t>
  </si>
  <si>
    <t xml:space="preserve">[0 - 955724], [972110 - 977594]</t>
  </si>
  <si>
    <t xml:space="preserve">258 0 obj</t>
  </si>
  <si>
    <t xml:space="preserve">Signature_7cbd9597-27bd-4582-b3bf-3248174661dc</t>
  </si>
  <si>
    <t xml:space="preserve">2024-04-30 09:27:25-05:00</t>
  </si>
  <si>
    <t xml:space="preserve">2024:04:30 09:27:25-05:00</t>
  </si>
  <si>
    <t xml:space="preserve">[0 - 122016], [138402 - 143431]</t>
  </si>
  <si>
    <t xml:space="preserve">109 0 obj</t>
  </si>
  <si>
    <t xml:space="preserve">Signature_2d873e00-c971-4d71-a4fe-eae7357c92d4</t>
  </si>
  <si>
    <t xml:space="preserve">2024-04-30 09:28:05-05:00</t>
  </si>
  <si>
    <t xml:space="preserve">2024:04:30 09:28:05-05:00</t>
  </si>
  <si>
    <t xml:space="preserve">[0 - 68300], [84686 - 89441]</t>
  </si>
  <si>
    <t xml:space="preserve">Signature_9ee83b8a-d2f2-42e1-afd6-79e892f10f16</t>
  </si>
  <si>
    <t xml:space="preserve">2024-04-30 09:27:16-05:00</t>
  </si>
  <si>
    <t xml:space="preserve">2024:04:30 09:27:16-05:00</t>
  </si>
  <si>
    <t xml:space="preserve">[0 - 195449], [211835 - 217369]</t>
  </si>
  <si>
    <t xml:space="preserve">127 0 obj</t>
  </si>
  <si>
    <t xml:space="preserve">Signature_10c054cf-70c0-43eb-bea1-bf9e0925135b</t>
  </si>
  <si>
    <t xml:space="preserve">2024-04-30 09:28:06-05:00</t>
  </si>
  <si>
    <t xml:space="preserve">2024:04:30 09:28:06-05:00</t>
  </si>
  <si>
    <t xml:space="preserve">[0 - 593604], [609990 - 614822]</t>
  </si>
  <si>
    <t xml:space="preserve">111 0 obj</t>
  </si>
  <si>
    <t xml:space="preserve">Signature_17066992-5957-48d4-b3a7-4cd7c8de2210</t>
  </si>
  <si>
    <t xml:space="preserve">2024-04-30 09:28:20-05:00</t>
  </si>
  <si>
    <t xml:space="preserve">2024:04:30 09:28:20-05:00</t>
  </si>
  <si>
    <t xml:space="preserve">[0 - 72754], [89140 - 93938]</t>
  </si>
  <si>
    <t xml:space="preserve">Signature_baab764c-ac7b-4cd0-8443-9dd3a7cd2f2a</t>
  </si>
  <si>
    <t xml:space="preserve">[0 - 57924], [74310 - 79075]</t>
  </si>
  <si>
    <t xml:space="preserve">26 0 obj</t>
  </si>
  <si>
    <t xml:space="preserve">Signature_8e4239b8-b27b-4300-92d0-2c886dfc91c1</t>
  </si>
  <si>
    <t xml:space="preserve">2024-04-30 09:27:56-05:00</t>
  </si>
  <si>
    <t xml:space="preserve">2024:04:30 09:27:56-05:00</t>
  </si>
  <si>
    <t xml:space="preserve">[0 - 146203], [162589 - 168011]</t>
  </si>
  <si>
    <t xml:space="preserve">99 0 obj</t>
  </si>
  <si>
    <t xml:space="preserve">Signature_ad9a405a-09cc-40a3-a425-679d023588c2</t>
  </si>
  <si>
    <t xml:space="preserve">2024-04-30 09:27:49-05:00</t>
  </si>
  <si>
    <t xml:space="preserve">2024:04:30 09:27:49-05:00</t>
  </si>
  <si>
    <t xml:space="preserve">[0 - 173082], [189468 - 194690]</t>
  </si>
  <si>
    <t xml:space="preserve">113 0 obj</t>
  </si>
  <si>
    <t xml:space="preserve">Signature_884dc405-c8d4-4878-8c40-47cf7dd3893c</t>
  </si>
  <si>
    <t xml:space="preserve">2024-04-30 09:27:31-05:00</t>
  </si>
  <si>
    <t xml:space="preserve">2024:04:30 09:27:31-05:00</t>
  </si>
  <si>
    <t xml:space="preserve">[0 - 120415], [136801 - 141840]</t>
  </si>
  <si>
    <t xml:space="preserve">139 0 obj</t>
  </si>
  <si>
    <t xml:space="preserve">Signature_d9122a3c-8be7-4367-b5d2-62eb9e31b5e3</t>
  </si>
  <si>
    <t xml:space="preserve">2024-04-30 09:27:34-05:00</t>
  </si>
  <si>
    <t xml:space="preserve">2024:04:30 09:27:34-05:00</t>
  </si>
  <si>
    <t xml:space="preserve">[0 - 67768], [84154 - 92641]</t>
  </si>
  <si>
    <t xml:space="preserve">Signature_0475ba43-3d21-4051-8551-a0b7bf1676b6</t>
  </si>
  <si>
    <t xml:space="preserve">2024-04-30 09:27:33-05:00</t>
  </si>
  <si>
    <t xml:space="preserve">2024:04:30 09:27:33-05:00</t>
  </si>
  <si>
    <t xml:space="preserve">[0 - 68564], [84950 - 93437]</t>
  </si>
  <si>
    <t xml:space="preserve">Signature_705779cd-d1d5-4981-a03d-e791ab626616</t>
  </si>
  <si>
    <t xml:space="preserve">2024-04-30 09:27:27-05:00</t>
  </si>
  <si>
    <t xml:space="preserve">2024:04:30 09:27:27-05:00</t>
  </si>
  <si>
    <t xml:space="preserve">[0 - 448830], [465216 - 473703]</t>
  </si>
  <si>
    <t xml:space="preserve">Signature_b1326efc-ca50-4d55-a341-704b2deed096</t>
  </si>
  <si>
    <t xml:space="preserve">2024-04-30 09:27:15-05:00</t>
  </si>
  <si>
    <t xml:space="preserve">2024:04:30 09:27:15-05:00</t>
  </si>
  <si>
    <t xml:space="preserve">[0 - 62981], [79367 - 87852]</t>
  </si>
  <si>
    <t xml:space="preserve">Signature_f71ab40b-87df-408b-84c2-a9cdaa78a07c</t>
  </si>
  <si>
    <t xml:space="preserve">2024-04-30 09:27:44-05:00</t>
  </si>
  <si>
    <t xml:space="preserve">2024:04:30 09:27:44-05:00</t>
  </si>
  <si>
    <t xml:space="preserve">[0 - 230004], [246390 - 251103]</t>
  </si>
  <si>
    <t xml:space="preserve">39 0 obj</t>
  </si>
  <si>
    <t xml:space="preserve">Signature_ddb21784-b09d-4ea9-aed7-de845fc99f18</t>
  </si>
  <si>
    <t xml:space="preserve">2024-04-30 09:30:06-05:00</t>
  </si>
  <si>
    <t xml:space="preserve">2024:04:30 09:30:06-05:00</t>
  </si>
  <si>
    <t xml:space="preserve">[0 - 361419], [377805 - 383529]</t>
  </si>
  <si>
    <t xml:space="preserve">288 0 obj</t>
  </si>
  <si>
    <t xml:space="preserve">Signature_79312a03-f248-41bf-9a1d-caa910b2ce70</t>
  </si>
  <si>
    <t xml:space="preserve">2024-04-30 09:29:27-05:00</t>
  </si>
  <si>
    <t xml:space="preserve">2024:04:30 09:29:27-05:00</t>
  </si>
  <si>
    <t xml:space="preserve">[0 - 81995], [98381 - 103770]</t>
  </si>
  <si>
    <t xml:space="preserve">119 0 obj</t>
  </si>
  <si>
    <t xml:space="preserve">Signature_42912ebd-1e33-41b7-8201-9bd2a4a42b0e</t>
  </si>
  <si>
    <t xml:space="preserve">2024-04-30 09:30:09-05:00</t>
  </si>
  <si>
    <t xml:space="preserve">2024:04:30 09:30:09-05:00</t>
  </si>
  <si>
    <t xml:space="preserve">[0 - 404173], [420559 - 423523]</t>
  </si>
  <si>
    <t xml:space="preserve">315 0 obj</t>
  </si>
  <si>
    <t xml:space="preserve">Signature_9a6f2e63-e314-440b-8059-dbdba15d32dd</t>
  </si>
  <si>
    <t xml:space="preserve">2024-04-30 09:29:43-05:00</t>
  </si>
  <si>
    <t xml:space="preserve">2024:04:30 09:29:43-05:00</t>
  </si>
  <si>
    <t xml:space="preserve">[0 - 209906], [226292 - 231563]</t>
  </si>
  <si>
    <t xml:space="preserve">186 0 obj</t>
  </si>
  <si>
    <t xml:space="preserve">Signature_fc83b009-6d20-4e71-9a2f-7404bc44c41e</t>
  </si>
  <si>
    <t xml:space="preserve">2024-04-30 09:30:00-05:00</t>
  </si>
  <si>
    <t xml:space="preserve">2024:04:30 09:30:00-05:00</t>
  </si>
  <si>
    <t xml:space="preserve">[0 - 252088], [268474 - 273910]</t>
  </si>
  <si>
    <t xml:space="preserve">206 0 obj</t>
  </si>
  <si>
    <t xml:space="preserve">Signature_eb06c92e-3acc-4a66-8e93-cb751a815424</t>
  </si>
  <si>
    <t xml:space="preserve">2024-04-30 09:29:54-05:00</t>
  </si>
  <si>
    <t xml:space="preserve">2024:04:30 09:29:54-05:00</t>
  </si>
  <si>
    <t xml:space="preserve">[0 - 254171], [270557 - 275990]</t>
  </si>
  <si>
    <t xml:space="preserve">202 0 obj</t>
  </si>
  <si>
    <t xml:space="preserve">Signature_ff927e25-3b1f-4d8e-aaca-9b95ae8bfb1d</t>
  </si>
  <si>
    <t xml:space="preserve">2024-04-30 09:30:04-05:00</t>
  </si>
  <si>
    <t xml:space="preserve">2024:04:30 09:30:04-05:00</t>
  </si>
  <si>
    <t xml:space="preserve">[0 - 99072], [115458 - 123409]</t>
  </si>
  <si>
    <t xml:space="preserve">Signature_3363bcbf-194a-49f6-9e35-ea63e308b6ac</t>
  </si>
  <si>
    <t xml:space="preserve">2024-04-30 09:30:05-05:00</t>
  </si>
  <si>
    <t xml:space="preserve">2024:04:30 09:30:05-05:00</t>
  </si>
  <si>
    <t xml:space="preserve">[0 - 171718], [188104 - 196056]</t>
  </si>
  <si>
    <t xml:space="preserve">Signature_561c2c35-c794-43f5-89b5-1b020121e7ed</t>
  </si>
  <si>
    <t xml:space="preserve">2024-04-30 09:30:03-05:00</t>
  </si>
  <si>
    <t xml:space="preserve">2024:04:30 09:30:03-05:00</t>
  </si>
  <si>
    <t xml:space="preserve">[0 - 96080], [112466 - 120417]</t>
  </si>
  <si>
    <t xml:space="preserve">Signature_db48fc48-8204-4dd6-9311-ad70d564e173</t>
  </si>
  <si>
    <t xml:space="preserve">2024-04-30 09:30:02-05:00</t>
  </si>
  <si>
    <t xml:space="preserve">2024:04:30 09:30:02-05:00</t>
  </si>
  <si>
    <t xml:space="preserve">[0 - 99761], [116147 - 124098]</t>
  </si>
  <si>
    <t xml:space="preserve">Signature_6eee79dc-e9b2-49ff-8877-1e556db2320c</t>
  </si>
  <si>
    <t xml:space="preserve">2024-04-30 09:29:56-05:00</t>
  </si>
  <si>
    <t xml:space="preserve">2024:04:30 09:29:56-05:00</t>
  </si>
  <si>
    <t xml:space="preserve">[0 - 82943], [99329 - 107888]</t>
  </si>
  <si>
    <t xml:space="preserve">Signature_3db75e54-ea9f-429d-862a-67c941f9cde5</t>
  </si>
  <si>
    <t xml:space="preserve">2024-04-30 09:29:59-05:00</t>
  </si>
  <si>
    <t xml:space="preserve">2024:04:30 09:29:59-05:00</t>
  </si>
  <si>
    <t xml:space="preserve">[0 - 93592], [109978 - 117929]</t>
  </si>
  <si>
    <t xml:space="preserve">Signature_384276c0-31d5-454c-83be-6e558dc5652a</t>
  </si>
  <si>
    <t xml:space="preserve">2024-04-30 09:29:51-05:00</t>
  </si>
  <si>
    <t xml:space="preserve">2024:04:30 09:29:51-05:00</t>
  </si>
  <si>
    <t xml:space="preserve">[0 - 85236], [101622 - 106145]</t>
  </si>
  <si>
    <t xml:space="preserve">Signature_ccadbaee-f59f-485d-bfde-afb8a4404c8a</t>
  </si>
  <si>
    <t xml:space="preserve">2024-04-30 09:29:48-05:00</t>
  </si>
  <si>
    <t xml:space="preserve">2024:04:30 09:29:48-05:00</t>
  </si>
  <si>
    <t xml:space="preserve">[0 - 1045170], [1061556 - 1066971]</t>
  </si>
  <si>
    <t xml:space="preserve">261 0 obj</t>
  </si>
  <si>
    <t xml:space="preserve">Signature_fe1a6613-30d3-451a-9693-728befa6d3d8</t>
  </si>
  <si>
    <t xml:space="preserve">2024-04-30 09:29:42-05:00</t>
  </si>
  <si>
    <t xml:space="preserve">2024:04:30 09:29:42-05:00</t>
  </si>
  <si>
    <t xml:space="preserve">[0 - 75443], [91829 - 96350]</t>
  </si>
  <si>
    <t xml:space="preserve">Signature_2052a254-6769-4102-a1fa-0a90e93ae945</t>
  </si>
  <si>
    <t xml:space="preserve">2024-04-30 09:29:32-05:00</t>
  </si>
  <si>
    <t xml:space="preserve">2024:04:30 09:29:32-05:00</t>
  </si>
  <si>
    <t xml:space="preserve">[0 - 718103], [734489 - 740001]</t>
  </si>
  <si>
    <t xml:space="preserve">286 0 obj</t>
  </si>
  <si>
    <t xml:space="preserve">Signature_e019789d-4b9e-4633-af21-1c4b6955a64a</t>
  </si>
  <si>
    <t xml:space="preserve">2024-04-30 09:29:28-05:00</t>
  </si>
  <si>
    <t xml:space="preserve">2024:04:30 09:29:28-05:00</t>
  </si>
  <si>
    <t xml:space="preserve">[0 - 693483], [709869 - 715123]</t>
  </si>
  <si>
    <t xml:space="preserve">301 0 obj</t>
  </si>
  <si>
    <t xml:space="preserve">Signature_fddc0345-a54a-473c-bf3a-adaf9fcd4e91</t>
  </si>
  <si>
    <t xml:space="preserve">2024-04-30 09:29:29-05:00</t>
  </si>
  <si>
    <t xml:space="preserve">2024:04:30 09:29:29-05:00</t>
  </si>
  <si>
    <t xml:space="preserve">[0 - 692776], [709162 - 714419]</t>
  </si>
  <si>
    <t xml:space="preserve">Signature_645f699f-3df0-41f6-bbfc-dc38b45de23c</t>
  </si>
  <si>
    <t xml:space="preserve">2024-04-30 09:29:58-05:00</t>
  </si>
  <si>
    <t xml:space="preserve">2024:04:30 09:29:58-05:00</t>
  </si>
  <si>
    <t xml:space="preserve">[0 - 91779], [108165 - 112838]</t>
  </si>
  <si>
    <t xml:space="preserve">46 0 obj</t>
  </si>
  <si>
    <t xml:space="preserve">Signature_44901972-047a-4068-a6d7-59c6c1b66b3e</t>
  </si>
  <si>
    <t xml:space="preserve">2024-04-30 09:29:31-05:00</t>
  </si>
  <si>
    <t xml:space="preserve">2024:04:30 09:29:31-05:00</t>
  </si>
  <si>
    <t xml:space="preserve">[0 - 147988], [164374 - 169946]</t>
  </si>
  <si>
    <t xml:space="preserve">90 0 obj</t>
  </si>
  <si>
    <t xml:space="preserve">Signature_be79a636-6523-4214-9eaa-3ec5c3b23c32</t>
  </si>
  <si>
    <t xml:space="preserve">2024-04-30 09:29:45-05:00</t>
  </si>
  <si>
    <t xml:space="preserve">2024:04:30 09:29:45-05:00</t>
  </si>
  <si>
    <t xml:space="preserve">[0 - 671626], [688012 - 693519]</t>
  </si>
  <si>
    <t xml:space="preserve">306 0 obj</t>
  </si>
  <si>
    <t xml:space="preserve">Signature_5122a1e1-6b60-47d1-bd83-735765cef864</t>
  </si>
  <si>
    <t xml:space="preserve">2024-04-30 09:29:39-05:00</t>
  </si>
  <si>
    <t xml:space="preserve">2024:04:30 09:29:39-05:00</t>
  </si>
  <si>
    <t xml:space="preserve">[0 - 288606], [304992 - 310572]</t>
  </si>
  <si>
    <t xml:space="preserve">323 0 obj</t>
  </si>
  <si>
    <t xml:space="preserve">Signature_5f258062-950d-45c7-b5fc-0a0516467e52</t>
  </si>
  <si>
    <t xml:space="preserve">2024-04-30 09:29:34-05:00</t>
  </si>
  <si>
    <t xml:space="preserve">2024:04:30 09:29:34-05:00</t>
  </si>
  <si>
    <t xml:space="preserve">[0 - 882797], [899183 - 903779]</t>
  </si>
  <si>
    <t xml:space="preserve">Signature_1f5b0d71-3d65-44ec-9037-4c20880e48f6</t>
  </si>
  <si>
    <t xml:space="preserve">2024-04-30 09:29:33-05:00</t>
  </si>
  <si>
    <t xml:space="preserve">2024:04:30 09:29:33-05:00</t>
  </si>
  <si>
    <t xml:space="preserve">[0 - 823176], [839562 - 845134]</t>
  </si>
  <si>
    <t xml:space="preserve">Signature_81cc729e-9fb1-4610-a3c3-486659e1d608</t>
  </si>
  <si>
    <t xml:space="preserve">2024-04-30 09:29:30-05:00</t>
  </si>
  <si>
    <t xml:space="preserve">2024:04:30 09:29:30-05:00</t>
  </si>
  <si>
    <t xml:space="preserve">[0 - 158403], [174789 - 180500]</t>
  </si>
  <si>
    <t xml:space="preserve">128 0 obj</t>
  </si>
  <si>
    <t xml:space="preserve">Signature_337d6e01-3d94-42a9-8585-09936a89f5f3</t>
  </si>
  <si>
    <t xml:space="preserve">2024-04-30 09:30:01-05:00</t>
  </si>
  <si>
    <t xml:space="preserve">2024:04:30 09:30:01-05:00</t>
  </si>
  <si>
    <t xml:space="preserve">[0 - 145716], [162102 - 170054]</t>
  </si>
  <si>
    <t xml:space="preserve">Signature_7328d527-b614-4dd4-a89c-5b1d922ff455</t>
  </si>
  <si>
    <t xml:space="preserve">2024-04-30 09:29:57-05:00</t>
  </si>
  <si>
    <t xml:space="preserve">2024:04:30 09:29:57-05:00</t>
  </si>
  <si>
    <t xml:space="preserve">[0 - 144064], [160450 - 168402]</t>
  </si>
  <si>
    <t xml:space="preserve">Signature_cfb96e6c-53c3-452f-950f-7e17d30d9f20</t>
  </si>
  <si>
    <t xml:space="preserve">2024-04-30 09:29:55-05:00</t>
  </si>
  <si>
    <t xml:space="preserve">2024:04:30 09:29:55-05:00</t>
  </si>
  <si>
    <t xml:space="preserve">[0 - 859586], [875972 - 884588]</t>
  </si>
  <si>
    <t xml:space="preserve">41 0 obj</t>
  </si>
  <si>
    <t xml:space="preserve">Signature_9230d6c6-2604-4252-9c55-24ef7e6fc5a9</t>
  </si>
  <si>
    <t xml:space="preserve">2024-04-30 09:29:53-05:00</t>
  </si>
  <si>
    <t xml:space="preserve">2024:04:30 09:29:53-05:00</t>
  </si>
  <si>
    <t xml:space="preserve">[0 - 152975], [169361 - 173838]</t>
  </si>
  <si>
    <t xml:space="preserve">Signature_557efd0a-064b-4a35-aeaf-4a82ac9814d0</t>
  </si>
  <si>
    <t xml:space="preserve">2024-04-30 09:29:49-05:00</t>
  </si>
  <si>
    <t xml:space="preserve">2024:04:30 09:29:49-05:00</t>
  </si>
  <si>
    <t xml:space="preserve">[0 - 460259], [476645 - 481747]</t>
  </si>
  <si>
    <t xml:space="preserve">392 0 obj</t>
  </si>
  <si>
    <t xml:space="preserve">Signature_6bf54e2b-0d9d-4088-b109-ac6bc3610572</t>
  </si>
  <si>
    <t xml:space="preserve">2024-04-30 09:29:47-05:00</t>
  </si>
  <si>
    <t xml:space="preserve">2024:04:30 09:29:47-05:00</t>
  </si>
  <si>
    <t xml:space="preserve">[0 - 298764], [315150 - 320246]</t>
  </si>
  <si>
    <t xml:space="preserve">400 0 obj</t>
  </si>
  <si>
    <t xml:space="preserve">Signature_79ee2519-1f09-4255-b6c0-9f560b3966cd</t>
  </si>
  <si>
    <t xml:space="preserve">2024-04-30 09:29:46-05:00</t>
  </si>
  <si>
    <t xml:space="preserve">2024:04:30 09:29:46-05:00</t>
  </si>
  <si>
    <t xml:space="preserve">[0 - 432051], [448437 - 453514]</t>
  </si>
  <si>
    <t xml:space="preserve">380 0 obj</t>
  </si>
  <si>
    <t xml:space="preserve">Signature_0c024667-b702-4a00-9f4f-478cc3ceca5a</t>
  </si>
  <si>
    <t xml:space="preserve">2024-04-30 09:29:40-05:00</t>
  </si>
  <si>
    <t xml:space="preserve">2024:04:30 09:29:40-05:00</t>
  </si>
  <si>
    <t xml:space="preserve">[0 - 235245], [251631 - 256605]</t>
  </si>
  <si>
    <t xml:space="preserve">401 0 obj</t>
  </si>
  <si>
    <t xml:space="preserve">Signature_6ec317a3-7853-4b0b-bbff-35c36193ca7e</t>
  </si>
  <si>
    <t xml:space="preserve">2024-04-30 09:29:37-05:00</t>
  </si>
  <si>
    <t xml:space="preserve">2024:04:30 09:29:37-05:00</t>
  </si>
  <si>
    <t xml:space="preserve">[0 - 932537], [948923 - 953518]</t>
  </si>
  <si>
    <t xml:space="preserve">Signature_340632a0-4a99-4eb3-9a1d-dd8913e18462</t>
  </si>
  <si>
    <t xml:space="preserve">2024-04-30 09:29:36-05:00</t>
  </si>
  <si>
    <t xml:space="preserve">2024:04:30 09:29:36-05:00</t>
  </si>
  <si>
    <t xml:space="preserve">[0 - 870997], [887383 - 892357]</t>
  </si>
  <si>
    <t xml:space="preserve">402 0 obj</t>
  </si>
  <si>
    <t xml:space="preserve">Signature_8cab3cf7-90b2-4395-b713-353d26a267f9</t>
  </si>
  <si>
    <t xml:space="preserve">2024-04-30 09:30:07-05:00</t>
  </si>
  <si>
    <t xml:space="preserve">2024:04:30 09:30:07-05:00</t>
  </si>
  <si>
    <t xml:space="preserve">[0 - 146756], [163142 - 171094]</t>
  </si>
  <si>
    <t xml:space="preserve">Signature_afe6082c-4c13-4606-9ef9-7c9096b0a4ac</t>
  </si>
  <si>
    <t xml:space="preserve">[0 - 69750], [86136 - 94702]</t>
  </si>
  <si>
    <t xml:space="preserve">Signature_27d5392e-93a9-4a83-8452-90ae7d875e27</t>
  </si>
  <si>
    <t xml:space="preserve">2024-04-30 09:29:44-05:00</t>
  </si>
  <si>
    <t xml:space="preserve">2024:04:30 09:29:44-05:00</t>
  </si>
  <si>
    <t xml:space="preserve">[0 - 96626], [113012 - 121500]</t>
  </si>
  <si>
    <t xml:space="preserve">Signature_bd741677-c7ad-4b8c-91ae-ef710486f231</t>
  </si>
  <si>
    <t xml:space="preserve">2024-04-30 09:29:41-05:00</t>
  </si>
  <si>
    <t xml:space="preserve">2024:04:30 09:29:41-05:00</t>
  </si>
  <si>
    <t xml:space="preserve">[0 - 253753], [270139 - 278628]</t>
  </si>
  <si>
    <t xml:space="preserve">Signature_bb767ba7-a774-4070-8d00-3cec5f052b20</t>
  </si>
  <si>
    <t xml:space="preserve">2024-04-30 09:29:38-05:00</t>
  </si>
  <si>
    <t xml:space="preserve">2024:04:30 09:29:38-05:00</t>
  </si>
  <si>
    <t xml:space="preserve">[0 - 66519], [82905 - 91392]</t>
  </si>
  <si>
    <t xml:space="preserve">Signature_d882d428-43e0-4439-be68-10fd2c5ed7ab</t>
  </si>
  <si>
    <t xml:space="preserve">2024-04-30 09:31:09-05:00</t>
  </si>
  <si>
    <t xml:space="preserve">2024:04:30 09:31:09-05:00</t>
  </si>
  <si>
    <t xml:space="preserve">[0 - 118391], [134777 - 139523]</t>
  </si>
  <si>
    <t xml:space="preserve">Signature_5e276919-de90-4b94-9689-ec76a5fc1b3b</t>
  </si>
  <si>
    <t xml:space="preserve">2024-04-30 09:31:08-05:00</t>
  </si>
  <si>
    <t xml:space="preserve">2024:04:30 09:31:08-05:00</t>
  </si>
  <si>
    <t xml:space="preserve">[0 - 100702], [117088 - 121834]</t>
  </si>
  <si>
    <t xml:space="preserve">Signature_31ee8e83-e8ed-4c77-9154-3ceec99a5f10</t>
  </si>
  <si>
    <t xml:space="preserve">2024-04-30 09:31:06-05:00</t>
  </si>
  <si>
    <t xml:space="preserve">2024:04:30 09:31:06-05:00</t>
  </si>
  <si>
    <t xml:space="preserve">[0 - 144235], [160621 - 166046]</t>
  </si>
  <si>
    <t xml:space="preserve">Signature_0eaf2935-8e9f-4d63-924c-fea30643ce1f</t>
  </si>
  <si>
    <t xml:space="preserve">2024-04-30 09:31:04-05:00</t>
  </si>
  <si>
    <t xml:space="preserve">2024:04:30 09:31:04-05:00</t>
  </si>
  <si>
    <t xml:space="preserve">[0 - 93641], [110027 - 114781]</t>
  </si>
  <si>
    <t xml:space="preserve">Signature_ebd74a55-f9db-454a-98db-1b299735f99f</t>
  </si>
  <si>
    <t xml:space="preserve">2024-04-30 09:31:02-05:00</t>
  </si>
  <si>
    <t xml:space="preserve">2024:04:30 09:31:02-05:00</t>
  </si>
  <si>
    <t xml:space="preserve">[0 - 411567], [427953 - 433282]</t>
  </si>
  <si>
    <t xml:space="preserve">112 0 obj</t>
  </si>
  <si>
    <t xml:space="preserve">Signature_f7098f84-06f3-4ce1-8d87-4e4851c7aa41</t>
  </si>
  <si>
    <t xml:space="preserve">2024-04-30 09:30:52-05:00</t>
  </si>
  <si>
    <t xml:space="preserve">2021:01:25 12:44:08-06:00</t>
  </si>
  <si>
    <t xml:space="preserve">[0 - 185654], [202040 - 206092]</t>
  </si>
  <si>
    <t xml:space="preserve">121 0 obj</t>
  </si>
  <si>
    <t xml:space="preserve">Signature_04aef36e-8b10-4707-bdf1-3f34269109bb</t>
  </si>
  <si>
    <t xml:space="preserve">2024-04-30 09:31:11-05:00</t>
  </si>
  <si>
    <t xml:space="preserve">2024:04:30 09:31:11-05:00</t>
  </si>
  <si>
    <t xml:space="preserve">[0 - 522755], [539141 - 544957]</t>
  </si>
  <si>
    <t xml:space="preserve">Signature_889cc5c5-75c8-459f-bda4-30f86ecdbc58</t>
  </si>
  <si>
    <t xml:space="preserve">2024-04-30 09:31:14-05:00</t>
  </si>
  <si>
    <t xml:space="preserve">2024:04:30 09:31:15-05:00</t>
  </si>
  <si>
    <t xml:space="preserve">[0 - 389814], [406200 - 408788]</t>
  </si>
  <si>
    <t xml:space="preserve">272 0 obj</t>
  </si>
  <si>
    <t xml:space="preserve">Signature_9c6ff971-a350-4777-af25-e8bbad916f8c</t>
  </si>
  <si>
    <t xml:space="preserve">2024-04-30 09:30:38-05:00</t>
  </si>
  <si>
    <t xml:space="preserve">2024:04:30 09:30:38-05:00</t>
  </si>
  <si>
    <t xml:space="preserve">[0 - 754998], [771384 - 779871]</t>
  </si>
  <si>
    <t xml:space="preserve">Signature_866a43f1-f8e1-46db-b01b-d9d97b9b34d3</t>
  </si>
  <si>
    <t xml:space="preserve">2024-04-30 09:30:54-05:00</t>
  </si>
  <si>
    <t xml:space="preserve">2024:04:30 09:30:54-05:00</t>
  </si>
  <si>
    <t xml:space="preserve">[0 - 355796], [372182 - 377341]</t>
  </si>
  <si>
    <t xml:space="preserve">334 0 obj</t>
  </si>
  <si>
    <t xml:space="preserve">Signature_90ddc248-b909-48a1-a099-9cd2846229e9</t>
  </si>
  <si>
    <t xml:space="preserve">2024-04-30 09:30:42-05:00</t>
  </si>
  <si>
    <t xml:space="preserve">2024:04:30 09:30:42-05:00</t>
  </si>
  <si>
    <t xml:space="preserve">[0 - 412209], [428595 - 434186]</t>
  </si>
  <si>
    <t xml:space="preserve">358 0 obj</t>
  </si>
  <si>
    <t xml:space="preserve">Signature_4a3e5a34-c8c6-4097-ae5f-48383d114f1e</t>
  </si>
  <si>
    <t xml:space="preserve">[0 - 394745], [411131 - 419691]</t>
  </si>
  <si>
    <t xml:space="preserve">Signature_d061e91a-f297-4226-b207-02585016d3ee</t>
  </si>
  <si>
    <t xml:space="preserve">2024-04-30 09:30:59-05:00</t>
  </si>
  <si>
    <t xml:space="preserve">2024:04:30 09:30:59-05:00</t>
  </si>
  <si>
    <t xml:space="preserve">[0 - 428476], [444862 - 453422]</t>
  </si>
  <si>
    <t xml:space="preserve">Signature_c45e4e3a-bcf3-4e7c-ae8a-c9e0538e8670</t>
  </si>
  <si>
    <t xml:space="preserve">2024-04-30 09:30:58-05:00</t>
  </si>
  <si>
    <t xml:space="preserve">2024:04:30 09:30:58-05:00</t>
  </si>
  <si>
    <t xml:space="preserve">[0 - 86928], [103314 - 107837]</t>
  </si>
  <si>
    <t xml:space="preserve">Signature_da3cca17-9f32-4440-8b08-6dc20c07fa82</t>
  </si>
  <si>
    <t xml:space="preserve">2024-04-30 09:30:55-05:00</t>
  </si>
  <si>
    <t xml:space="preserve">2024:04:30 09:30:55-05:00</t>
  </si>
  <si>
    <t xml:space="preserve">[0 - 87755], [104141 - 108614]</t>
  </si>
  <si>
    <t xml:space="preserve">23 0 obj</t>
  </si>
  <si>
    <t xml:space="preserve">Signature_7f8f8690-8e96-4c32-8293-7baf81787e07</t>
  </si>
  <si>
    <t xml:space="preserve">2024-04-30 09:30:53-05:00</t>
  </si>
  <si>
    <t xml:space="preserve">2024:04:30 09:30:53-05:00</t>
  </si>
  <si>
    <t xml:space="preserve">[0 - 68154], [84540 - 89062]</t>
  </si>
  <si>
    <t xml:space="preserve">Signature_68e2c0c5-2fa0-4e9c-8206-274aed473ea4</t>
  </si>
  <si>
    <t xml:space="preserve">2024-04-30 09:30:47-05:00</t>
  </si>
  <si>
    <t xml:space="preserve">2024:04:30 09:30:47-05:00</t>
  </si>
  <si>
    <t xml:space="preserve">[0 - 76400], [92786 - 97307]</t>
  </si>
  <si>
    <t xml:space="preserve">Signature_07ed196c-f460-49ae-8134-b91d5f6e11e5</t>
  </si>
  <si>
    <t xml:space="preserve">2024-04-30 09:30:46-05:00</t>
  </si>
  <si>
    <t xml:space="preserve">2024:04:30 09:30:46-05:00</t>
  </si>
  <si>
    <t xml:space="preserve">[0 - 76927], [93313 - 97834]</t>
  </si>
  <si>
    <t xml:space="preserve">Signature_b25560ee-9ba1-497b-9a4f-f19617639521</t>
  </si>
  <si>
    <t xml:space="preserve">2024-04-30 09:30:43-05:00</t>
  </si>
  <si>
    <t xml:space="preserve">2024:04:30 09:30:43-05:00</t>
  </si>
  <si>
    <t xml:space="preserve">[0 - 102255], [118641 - 123142]</t>
  </si>
  <si>
    <t xml:space="preserve">Signature_6f2afb12-3f10-4c46-9572-4944852fb878</t>
  </si>
  <si>
    <t xml:space="preserve">2024-04-30 09:30:49-05:00</t>
  </si>
  <si>
    <t xml:space="preserve">2024:04:30 09:30:49-05:00</t>
  </si>
  <si>
    <t xml:space="preserve">[0 - 293080], [309466 - 314917]</t>
  </si>
  <si>
    <t xml:space="preserve">83 0 obj</t>
  </si>
  <si>
    <t xml:space="preserve">Signature_60c4a558-ad79-4aa7-9519-207d503bffdc</t>
  </si>
  <si>
    <t xml:space="preserve">2024-04-30 09:30:41-05:00</t>
  </si>
  <si>
    <t xml:space="preserve">2024:04:30 09:30:41-05:00</t>
  </si>
  <si>
    <t xml:space="preserve">[0 - 235204], [251590 - 256366]</t>
  </si>
  <si>
    <t xml:space="preserve">Signature_bdfbda49-2b4a-4027-805e-fbd8e090507b</t>
  </si>
  <si>
    <t xml:space="preserve">2024-04-30 09:30:40-05:00</t>
  </si>
  <si>
    <t xml:space="preserve">2024:04:30 09:30:40-05:00</t>
  </si>
  <si>
    <t xml:space="preserve">[0 - 737354], [753740 - 758328]</t>
  </si>
  <si>
    <t xml:space="preserve">84 0 obj</t>
  </si>
  <si>
    <t xml:space="preserve">Signature_55b136a9-52d8-4553-979e-1f54166792ee</t>
  </si>
  <si>
    <t xml:space="preserve">2024-04-30 09:30:37-05:00</t>
  </si>
  <si>
    <t xml:space="preserve">2024:04:30 09:30:37-05:00</t>
  </si>
  <si>
    <t xml:space="preserve">[0 - 832343], [848729 - 854268]</t>
  </si>
  <si>
    <t xml:space="preserve">Signature_109c7650-aa84-4d00-9c1f-195e98a6677b</t>
  </si>
  <si>
    <t xml:space="preserve">2024-04-30 09:30:35-05:00</t>
  </si>
  <si>
    <t xml:space="preserve">2024:04:30 09:30:35-05:00</t>
  </si>
  <si>
    <t xml:space="preserve">[0 - 894028], [910414 - 915011]</t>
  </si>
  <si>
    <t xml:space="preserve">118 0 obj</t>
  </si>
  <si>
    <t xml:space="preserve">Signature_82c4a76e-102f-4c4e-9fec-7dc8f10541b8</t>
  </si>
  <si>
    <t xml:space="preserve">2024-04-30 09:30:32-05:00</t>
  </si>
  <si>
    <t xml:space="preserve">2024:04:30 09:30:32-05:00</t>
  </si>
  <si>
    <t xml:space="preserve">[0 - 238200], [254586 - 260076]</t>
  </si>
  <si>
    <t xml:space="preserve">300 0 obj</t>
  </si>
  <si>
    <t xml:space="preserve">Signature_d62d4229-5923-4249-bf3b-d7a6ee3a4f34</t>
  </si>
  <si>
    <t xml:space="preserve">2024-04-30 09:30:29-05:00</t>
  </si>
  <si>
    <t xml:space="preserve">2024:04:30 09:30:29-05:00</t>
  </si>
  <si>
    <t xml:space="preserve">[0 - 236727], [253113 - 258594]</t>
  </si>
  <si>
    <t xml:space="preserve">Signature_fb3845cb-4e17-499d-9b1e-1fe4e84a11bd</t>
  </si>
  <si>
    <t xml:space="preserve">2024-04-30 09:31:13-05:00</t>
  </si>
  <si>
    <t xml:space="preserve">2024:04:30 09:31:13-05:00</t>
  </si>
  <si>
    <t xml:space="preserve">[0 - 162647], [179033 - 186985]</t>
  </si>
  <si>
    <t xml:space="preserve">Signature_617180b2-dc27-47f1-a6fe-88fc236036f3</t>
  </si>
  <si>
    <t xml:space="preserve">2024-04-30 09:30:39-05:00</t>
  </si>
  <si>
    <t xml:space="preserve">2024:04:30 09:30:39-05:00</t>
  </si>
  <si>
    <t xml:space="preserve">[0 - 1026452], [1042838 - 1047568]</t>
  </si>
  <si>
    <t xml:space="preserve">149 0 obj</t>
  </si>
  <si>
    <t xml:space="preserve">Signature_4fb8f5e5-18d4-4b69-a494-e6102a56ef5d</t>
  </si>
  <si>
    <t xml:space="preserve">2024-04-30 09:30:36-05:00</t>
  </si>
  <si>
    <t xml:space="preserve">2024:04:30 09:30:36-05:00</t>
  </si>
  <si>
    <t xml:space="preserve">[0 - 867823], [884209 - 889185]</t>
  </si>
  <si>
    <t xml:space="preserve">Signature_75d323ac-f6fb-4dfd-b9c2-1f86a532e979</t>
  </si>
  <si>
    <t xml:space="preserve">2024-04-30 09:30:34-05:00</t>
  </si>
  <si>
    <t xml:space="preserve">2024:04:30 09:30:34-05:00</t>
  </si>
  <si>
    <t xml:space="preserve">[0 - 784924], [801310 - 806387]</t>
  </si>
  <si>
    <t xml:space="preserve">374 0 obj</t>
  </si>
  <si>
    <t xml:space="preserve">Signature_b1b2dbe3-6ad2-4149-82ff-ca207c9fab10</t>
  </si>
  <si>
    <t xml:space="preserve">2024-04-30 09:30:30-05:00</t>
  </si>
  <si>
    <t xml:space="preserve">2024:04:30 09:30:30-05:00</t>
  </si>
  <si>
    <t xml:space="preserve">[0 - 825208], [841594 - 846576]</t>
  </si>
  <si>
    <t xml:space="preserve">384 0 obj</t>
  </si>
  <si>
    <t xml:space="preserve">Signature_735eb0b0-a155-4dcd-adbf-5e79afd66e0b</t>
  </si>
  <si>
    <t xml:space="preserve">2024-04-30 09:31:07-05:00</t>
  </si>
  <si>
    <t xml:space="preserve">2024:04:30 09:31:07-05:00</t>
  </si>
  <si>
    <t xml:space="preserve">[0 - 262156], [278542 - 283996]</t>
  </si>
  <si>
    <t xml:space="preserve">183 0 obj</t>
  </si>
  <si>
    <t xml:space="preserve">Signature_1e176d39-c5a0-4d80-9aff-8b2d0c004a41</t>
  </si>
  <si>
    <t xml:space="preserve">2024-04-30 09:31:10-05:00</t>
  </si>
  <si>
    <t xml:space="preserve">2024:04:30 09:31:10-05:00</t>
  </si>
  <si>
    <t xml:space="preserve">[0 - 214828], [231214 - 236582]</t>
  </si>
  <si>
    <t xml:space="preserve">177 0 obj</t>
  </si>
  <si>
    <t xml:space="preserve">Signature_3775dfce-8420-4b3a-94d8-1a5f41c31ec9</t>
  </si>
  <si>
    <t xml:space="preserve">2024-04-30 09:31:03-05:00</t>
  </si>
  <si>
    <t xml:space="preserve">2024:04:30 09:31:03-05:00</t>
  </si>
  <si>
    <t xml:space="preserve">[0 - 131618], [148004 - 152770]</t>
  </si>
  <si>
    <t xml:space="preserve">Signature_1030d97e-c9a3-4c02-a88d-2a20c28d242c</t>
  </si>
  <si>
    <t xml:space="preserve">2024-04-30 09:30:57-05:00</t>
  </si>
  <si>
    <t xml:space="preserve">2024:04:30 09:30:57-05:00</t>
  </si>
  <si>
    <t xml:space="preserve">[0 - 117026], [133412 - 138684]</t>
  </si>
  <si>
    <t xml:space="preserve">Signature_38806a6c-1a6d-4e06-8b46-8a656496030f</t>
  </si>
  <si>
    <t xml:space="preserve">[0 - 135184], [151570 - 156621]</t>
  </si>
  <si>
    <t xml:space="preserve">159 0 obj</t>
  </si>
  <si>
    <t xml:space="preserve">Signature_b76f73ab-82b9-479b-adb4-8c9052d833a9</t>
  </si>
  <si>
    <t xml:space="preserve">2024-04-30 09:30:44-05:00</t>
  </si>
  <si>
    <t xml:space="preserve">2024:04:30 09:30:44-05:00</t>
  </si>
  <si>
    <t xml:space="preserve">[0 - 79559], [95945 - 100417]</t>
  </si>
  <si>
    <t xml:space="preserve">Signature_c7fccea2-5633-458e-b659-da7ed69cf979</t>
  </si>
  <si>
    <t xml:space="preserve">2024-04-30 09:31:12-05:00</t>
  </si>
  <si>
    <t xml:space="preserve">2024:04:30 09:31:12-05:00</t>
  </si>
  <si>
    <t xml:space="preserve">[0 - 95451], [111837 - 119788]</t>
  </si>
  <si>
    <t xml:space="preserve">Signature_efc5fd93-15ce-4e8e-a85a-33b70eb60678</t>
  </si>
  <si>
    <t xml:space="preserve">2024-04-30 09:31:01-05:00</t>
  </si>
  <si>
    <t xml:space="preserve">2024:04:30 09:31:01-05:00</t>
  </si>
  <si>
    <t xml:space="preserve">[0 - 213687], [230073 - 235489]</t>
  </si>
  <si>
    <t xml:space="preserve">Signature_c2d20102-ce44-4fe1-9b07-047d94407c56</t>
  </si>
  <si>
    <t xml:space="preserve">2024-04-30 09:30:51-05:00</t>
  </si>
  <si>
    <t xml:space="preserve">2024:04:30 09:30:51-05:00</t>
  </si>
  <si>
    <t xml:space="preserve">[0 - 122387], [138773 - 144075]</t>
  </si>
  <si>
    <t xml:space="preserve">Signature_1ee1ca4f-d772-406a-a820-1f43798742a9</t>
  </si>
  <si>
    <t xml:space="preserve">2024-04-30 09:30:56-05:00</t>
  </si>
  <si>
    <t xml:space="preserve">2024:04:30 09:30:56-05:00</t>
  </si>
  <si>
    <t xml:space="preserve">[0 - 111389], [127775 - 133196]</t>
  </si>
  <si>
    <t xml:space="preserve">Signature_37ef221f-7e41-4caf-b637-a40eb4ab1c01</t>
  </si>
  <si>
    <t xml:space="preserve">2024-04-30 09:30:45-05:00</t>
  </si>
  <si>
    <t xml:space="preserve">2024:04:30 09:30:45-05:00</t>
  </si>
  <si>
    <t xml:space="preserve">[0 - 109645], [126031 - 131337]</t>
  </si>
  <si>
    <t xml:space="preserve">107 0 obj</t>
  </si>
  <si>
    <t xml:space="preserve">Signature_6c56718b-2de5-479e-8c7c-a1aceffec8b9</t>
  </si>
  <si>
    <t xml:space="preserve">2024-04-30 09:34:00-05:00</t>
  </si>
  <si>
    <t xml:space="preserve">2024:04:30 09:34:00-05:00</t>
  </si>
  <si>
    <t xml:space="preserve">[0 - 709233], [725619 - 730696]</t>
  </si>
  <si>
    <t xml:space="preserve">274 0 obj</t>
  </si>
  <si>
    <t xml:space="preserve">Signature_92eafb54-a1c7-4854-9d07-732641d4caf5</t>
  </si>
  <si>
    <t xml:space="preserve">2024-04-30 09:33:52-05:00</t>
  </si>
  <si>
    <t xml:space="preserve">2024:04:30 09:33:52-05:00</t>
  </si>
  <si>
    <t xml:space="preserve">[0 - 941731], [958117 - 963407]</t>
  </si>
  <si>
    <t xml:space="preserve">249 0 obj</t>
  </si>
  <si>
    <t xml:space="preserve">Signature_84376b63-0bb3-4183-ab26-13d06ad6a2e9</t>
  </si>
  <si>
    <t xml:space="preserve">2024-04-30 09:34:19-05:00</t>
  </si>
  <si>
    <t xml:space="preserve">2024:04:30 09:34:20-05:00</t>
  </si>
  <si>
    <t xml:space="preserve">[0 - 366684], [383070 - 385811]</t>
  </si>
  <si>
    <t xml:space="preserve">259 0 obj</t>
  </si>
  <si>
    <t xml:space="preserve">Signature_399998e5-42c6-4351-9e85-19aec26a4e79</t>
  </si>
  <si>
    <t xml:space="preserve">2024-04-30 09:34:15-05:00</t>
  </si>
  <si>
    <t xml:space="preserve">2024:04:30 09:34:15-05:00</t>
  </si>
  <si>
    <t xml:space="preserve">[0 - 95014], [111400 - 119351]</t>
  </si>
  <si>
    <t xml:space="preserve">Signature_e211680f-52cc-4511-a352-a5d1dd214656</t>
  </si>
  <si>
    <t xml:space="preserve">2024-04-30 09:33:59-05:00</t>
  </si>
  <si>
    <t xml:space="preserve">2024:04:30 09:33:59-05:00</t>
  </si>
  <si>
    <t xml:space="preserve">[0 - 83295], [99681 - 104158]</t>
  </si>
  <si>
    <t xml:space="preserve">Signature_353a6670-8108-4fa9-8aef-dc1c522c8b92</t>
  </si>
  <si>
    <t xml:space="preserve">2024-04-30 09:34:14-05:00</t>
  </si>
  <si>
    <t xml:space="preserve">2024:04:30 09:34:14-05:00</t>
  </si>
  <si>
    <t xml:space="preserve">[0 - 99292], [115678 - 123629]</t>
  </si>
  <si>
    <t xml:space="preserve">Signature_79dfa46f-84a9-4bf4-9764-b65aa41deac5</t>
  </si>
  <si>
    <t xml:space="preserve">2024-04-30 09:34:13-05:00</t>
  </si>
  <si>
    <t xml:space="preserve">2024:04:30 09:34:13-05:00</t>
  </si>
  <si>
    <t xml:space="preserve">[0 - 103693], [120079 - 128031]</t>
  </si>
  <si>
    <t xml:space="preserve">Signature_d281fe4f-47ec-4af4-aad0-e05dde23023e</t>
  </si>
  <si>
    <t xml:space="preserve">2024-04-30 09:34:12-05:00</t>
  </si>
  <si>
    <t xml:space="preserve">2024:04:30 09:34:12-05:00</t>
  </si>
  <si>
    <t xml:space="preserve">[0 - 89317], [105703 - 114262]</t>
  </si>
  <si>
    <t xml:space="preserve">Signature_ee21d9f2-bbf7-4eda-9a20-9410fcb13fbc</t>
  </si>
  <si>
    <t xml:space="preserve">2024-04-30 09:34:11-05:00</t>
  </si>
  <si>
    <t xml:space="preserve">2024:04:30 09:34:11-05:00</t>
  </si>
  <si>
    <t xml:space="preserve">[0 - 87950], [104336 - 112895]</t>
  </si>
  <si>
    <t xml:space="preserve">Signature_eeb764aa-0de0-46bf-932e-1abe0192c696</t>
  </si>
  <si>
    <t xml:space="preserve">2024-04-30 09:34:10-05:00</t>
  </si>
  <si>
    <t xml:space="preserve">2024:04:30 09:34:10-05:00</t>
  </si>
  <si>
    <t xml:space="preserve">[0 - 89797], [106183 - 114742]</t>
  </si>
  <si>
    <t xml:space="preserve">Signature_1b21ed80-531b-4d0b-a6a0-ce9fbc10b3fe</t>
  </si>
  <si>
    <t xml:space="preserve">2024-04-30 09:34:09-05:00</t>
  </si>
  <si>
    <t xml:space="preserve">2024:04:30 09:34:09-05:00</t>
  </si>
  <si>
    <t xml:space="preserve">[0 - 94743], [111129 - 119700]</t>
  </si>
  <si>
    <t xml:space="preserve">Signature_f3dd37d2-caa8-4904-8450-ecb10f7da275</t>
  </si>
  <si>
    <t xml:space="preserve">2024-04-30 09:34:08-05:00</t>
  </si>
  <si>
    <t xml:space="preserve">2024:04:30 09:34:08-05:00</t>
  </si>
  <si>
    <t xml:space="preserve">[0 - 598273], [614659 - 623219]</t>
  </si>
  <si>
    <t xml:space="preserve">Signature_e4fe5b86-976f-4262-a5aa-601386185361</t>
  </si>
  <si>
    <t xml:space="preserve">2024-04-30 09:33:57-05:00</t>
  </si>
  <si>
    <t xml:space="preserve">2024:04:30 09:33:57-05:00</t>
  </si>
  <si>
    <t xml:space="preserve">[0 - 129151], [145537 - 154070]</t>
  </si>
  <si>
    <t xml:space="preserve">43 0 obj</t>
  </si>
  <si>
    <t xml:space="preserve">Signature_6120b414-3bda-4a63-8a5f-0255210b7031</t>
  </si>
  <si>
    <t xml:space="preserve">2024-04-30 09:33:54-05:00</t>
  </si>
  <si>
    <t xml:space="preserve">2024:04:30 09:33:54-05:00</t>
  </si>
  <si>
    <t xml:space="preserve">[0 - 131227], [147613 - 156146]</t>
  </si>
  <si>
    <t xml:space="preserve">Signature_1d4f007d-8d2e-4028-b721-d6dfb74a054c</t>
  </si>
  <si>
    <t xml:space="preserve">2024-04-30 09:33:55-05:00</t>
  </si>
  <si>
    <t xml:space="preserve">2024:04:30 09:33:55-05:00</t>
  </si>
  <si>
    <t xml:space="preserve">[0 - 133042], [149428 - 157961]</t>
  </si>
  <si>
    <t xml:space="preserve">Signature_5c0e0944-c1c6-4d50-a835-258b4eb22771</t>
  </si>
  <si>
    <t xml:space="preserve">2024-04-30 09:33:48-05:00</t>
  </si>
  <si>
    <t xml:space="preserve">2024:04:30 09:33:48-05:00</t>
  </si>
  <si>
    <t xml:space="preserve">[0 - 838511], [854897 - 859491]</t>
  </si>
  <si>
    <t xml:space="preserve">Signature_dc58aeed-a2f9-4c39-bf5f-2a7912a1f630</t>
  </si>
  <si>
    <t xml:space="preserve">2024-04-30 09:33:47-05:00</t>
  </si>
  <si>
    <t xml:space="preserve">2024:04:30 09:33:47-05:00</t>
  </si>
  <si>
    <t xml:space="preserve">[0 - 822553], [838939 - 844510]</t>
  </si>
  <si>
    <t xml:space="preserve">Signature_b3275c92-0047-4843-8a6c-9b42cea9138d</t>
  </si>
  <si>
    <t xml:space="preserve">2024-04-30 09:33:53-05:00</t>
  </si>
  <si>
    <t xml:space="preserve">2024:04:30 09:33:53-05:00</t>
  </si>
  <si>
    <t xml:space="preserve">[0 - 108646], [125032 - 133186]</t>
  </si>
  <si>
    <t xml:space="preserve">54 0 obj</t>
  </si>
  <si>
    <t xml:space="preserve">Signature_069ea6ab-aff8-450e-bc79-c8b11277da1b</t>
  </si>
  <si>
    <t xml:space="preserve">2024-04-30 09:33:50-05:00</t>
  </si>
  <si>
    <t xml:space="preserve">2024:04:30 09:33:50-05:00</t>
  </si>
  <si>
    <t xml:space="preserve">[0 - 739874], [756260 - 760852]</t>
  </si>
  <si>
    <t xml:space="preserve">91 0 obj</t>
  </si>
  <si>
    <t xml:space="preserve">Signature_a9c10db6-dad7-4a69-a9dd-17436a23e501</t>
  </si>
  <si>
    <t xml:space="preserve">2024-04-30 09:34:01-05:00</t>
  </si>
  <si>
    <t xml:space="preserve">2024:04:30 09:34:01-05:00</t>
  </si>
  <si>
    <t xml:space="preserve">[0 - 274609], [290995 - 297233]</t>
  </si>
  <si>
    <t xml:space="preserve">157 0 obj</t>
  </si>
  <si>
    <t xml:space="preserve">Signature_fbbfcb40-ebfe-4c92-ba39-a4be19be8eb3</t>
  </si>
  <si>
    <t xml:space="preserve">2024-04-30 09:33:58-05:00</t>
  </si>
  <si>
    <t xml:space="preserve">2024:04:30 09:33:58-05:00</t>
  </si>
  <si>
    <t xml:space="preserve">[0 - 810025], [826411 - 831484]</t>
  </si>
  <si>
    <t xml:space="preserve">214 0 obj</t>
  </si>
  <si>
    <t xml:space="preserve">Signature_c52468a5-e9ac-4047-8cc6-fa5b75da4fe1</t>
  </si>
  <si>
    <t xml:space="preserve">2024-04-30 09:34:04-05:00</t>
  </si>
  <si>
    <t xml:space="preserve">2024:04:30 09:34:04-05:00</t>
  </si>
  <si>
    <t xml:space="preserve">[0 - 195790], [212176 - 220850]</t>
  </si>
  <si>
    <t xml:space="preserve">49 0 obj</t>
  </si>
  <si>
    <t xml:space="preserve">Signature_c487e983-307b-4c30-ad75-21506fe94560</t>
  </si>
  <si>
    <t xml:space="preserve">2024-04-30 09:34:02-05:00</t>
  </si>
  <si>
    <t xml:space="preserve">2024:04:30 09:34:02-05:00</t>
  </si>
  <si>
    <t xml:space="preserve">[0 - 122169], [138555 - 147115]</t>
  </si>
  <si>
    <t xml:space="preserve">Signature_94f238cb-4348-463b-96cd-17d4380d40c9</t>
  </si>
  <si>
    <t xml:space="preserve">2024-04-30 09:33:51-05:00</t>
  </si>
  <si>
    <t xml:space="preserve">2024:04:30 09:33:51-05:00</t>
  </si>
  <si>
    <t xml:space="preserve">[0 - 158050], [174436 - 179784]</t>
  </si>
  <si>
    <t xml:space="preserve">144 0 obj</t>
  </si>
  <si>
    <t xml:space="preserve">Signature_93c85124-a3e7-4324-9ee2-c9bbec372244</t>
  </si>
  <si>
    <t xml:space="preserve">2024-04-30 09:34:17-05:00</t>
  </si>
  <si>
    <t xml:space="preserve">2024:04:30 09:34:17-05:00</t>
  </si>
  <si>
    <t xml:space="preserve">[0 - 89329], [105715 - 113666]</t>
  </si>
  <si>
    <t xml:space="preserve">Signature_fea6545d-487a-40a7-8e06-681846b566fb</t>
  </si>
  <si>
    <t xml:space="preserve">2024-04-30 09:33:56-05:00</t>
  </si>
  <si>
    <t xml:space="preserve">2024:04:30 09:33:56-05:00</t>
  </si>
  <si>
    <t xml:space="preserve">[0 - 199735], [216121 - 224610]</t>
  </si>
  <si>
    <t xml:space="preserve">Signature_60ad3730-3a3f-4d00-867e-23bf722ddd11</t>
  </si>
  <si>
    <t xml:space="preserve">2024-04-30 09:33:46-05:00</t>
  </si>
  <si>
    <t xml:space="preserve">2024:04:30 09:33:46-05:00</t>
  </si>
  <si>
    <t xml:space="preserve">[0 - 827669], [844055 - 852586]</t>
  </si>
  <si>
    <t xml:space="preserve">40 0 obj</t>
  </si>
  <si>
    <t xml:space="preserve">Signature_5c10f268-d6d1-40f9-b76b-0048b31f925f</t>
  </si>
  <si>
    <t xml:space="preserve">2024-04-30 09:34:06-05:00</t>
  </si>
  <si>
    <t xml:space="preserve">2024:04:30 09:34:06-05:00</t>
  </si>
  <si>
    <t xml:space="preserve">[0 - 170521], [186907 - 195523]</t>
  </si>
  <si>
    <t xml:space="preserve">Signature_6a15ed6f-c404-40e1-844b-5f3456d7d48c</t>
  </si>
  <si>
    <t xml:space="preserve">2024-04-30 09:34:05-05:00</t>
  </si>
  <si>
    <t xml:space="preserve">2024:04:30 09:34:05-05:00</t>
  </si>
  <si>
    <t xml:space="preserve">[0 - 465646], [482032 - 487134]</t>
  </si>
  <si>
    <t xml:space="preserve">Signature_4d327952-95ea-4403-a812-d0048916bf36</t>
  </si>
  <si>
    <t xml:space="preserve">2024-04-30 09:34:18-05:00</t>
  </si>
  <si>
    <t xml:space="preserve">2024:04:30 09:34:18-05:00</t>
  </si>
  <si>
    <t xml:space="preserve">[0 - 88248], [104634 - 112585]</t>
  </si>
  <si>
    <t xml:space="preserve">Signature_17026fdf-2dbc-4408-ab1c-555af03c5af2</t>
  </si>
  <si>
    <t xml:space="preserve">2024-04-30 09:34:16-05:00</t>
  </si>
  <si>
    <t xml:space="preserve">2024:04:30 09:34:16-05:00</t>
  </si>
  <si>
    <t xml:space="preserve">[0 - 203764], [220150 - 225001]</t>
  </si>
  <si>
    <t xml:space="preserve">200 0 obj</t>
  </si>
  <si>
    <t xml:space="preserve">Signature_059f5354-d2ea-40c5-99f0-e72c532c4f06</t>
  </si>
  <si>
    <t xml:space="preserve">2024-04-30 09:16:35-05:00</t>
  </si>
  <si>
    <t xml:space="preserve">2024:04:30 09:16:35-05:00</t>
  </si>
  <si>
    <t xml:space="preserve">[0 - 80387], [96773 - 105332]</t>
  </si>
  <si>
    <t xml:space="preserve">Signature_cebc4f54-3cc7-4573-b050-7e19098d3d0b</t>
  </si>
  <si>
    <t xml:space="preserve">2024-04-30 09:16:39-05:00</t>
  </si>
  <si>
    <t xml:space="preserve">2024:04:30 09:16:40-05:00</t>
  </si>
  <si>
    <t xml:space="preserve">[0 - 522103], [538489 - 541602]</t>
  </si>
  <si>
    <t xml:space="preserve">494 0 obj</t>
  </si>
  <si>
    <t xml:space="preserve">Signature_9ed59b28-97ca-4a9b-81c4-58d6a6181306</t>
  </si>
  <si>
    <t xml:space="preserve">2024-04-30 09:15:56-05:00</t>
  </si>
  <si>
    <t xml:space="preserve">2024:04:30 09:15:56-05:00</t>
  </si>
  <si>
    <t xml:space="preserve">[0 - 218010], [234396 - 242927]</t>
  </si>
  <si>
    <t xml:space="preserve">42 0 obj</t>
  </si>
  <si>
    <t xml:space="preserve">Signature_258eade1-3e84-4c4c-8d26-9f0cae769a94</t>
  </si>
  <si>
    <t xml:space="preserve">2024-04-30 09:16:19-05:00</t>
  </si>
  <si>
    <t xml:space="preserve">2024:04:30 09:16:19-05:00</t>
  </si>
  <si>
    <t xml:space="preserve">[0 - 309863], [326249 - 334738]</t>
  </si>
  <si>
    <t xml:space="preserve">Signature_9d9e46d8-c7c1-4d45-b8c0-e34f4b6fbfaa</t>
  </si>
  <si>
    <t xml:space="preserve">2024-04-30 09:16:15-05:00</t>
  </si>
  <si>
    <t xml:space="preserve">2024:04:30 09:16:15-05:00</t>
  </si>
  <si>
    <t xml:space="preserve">[0 - 67638], [84024 - 92511]</t>
  </si>
  <si>
    <t xml:space="preserve">Signature_5648d016-8891-46ed-9778-7377d0cabc9f</t>
  </si>
  <si>
    <t xml:space="preserve">2024-04-30 09:16:14-05:00</t>
  </si>
  <si>
    <t xml:space="preserve">2024:04:30 09:16:14-05:00</t>
  </si>
  <si>
    <t xml:space="preserve">[0 - 266572], [282958 - 291445]</t>
  </si>
  <si>
    <t xml:space="preserve">Signature_9c976361-3c28-49c2-9535-02c77eca7d44</t>
  </si>
  <si>
    <t xml:space="preserve">2024-04-30 09:15:57-05:00</t>
  </si>
  <si>
    <t xml:space="preserve">2024:04:30 09:15:57-05:00</t>
  </si>
  <si>
    <t xml:space="preserve">[0 - 151463], [167849 - 173173]</t>
  </si>
  <si>
    <t xml:space="preserve">185 0 obj</t>
  </si>
  <si>
    <t xml:space="preserve">Signature_02385476-7ffd-4266-8152-182065709a15</t>
  </si>
  <si>
    <t xml:space="preserve">2024-04-30 09:16:33-05:00</t>
  </si>
  <si>
    <t xml:space="preserve">2024:04:30 09:16:33-05:00</t>
  </si>
  <si>
    <t xml:space="preserve">[0 - 91892], [108278 - 116845]</t>
  </si>
  <si>
    <t xml:space="preserve">Signature_3c4c44e3-6a5c-4e60-b92b-25893c030ed4</t>
  </si>
  <si>
    <t xml:space="preserve">2024-04-30 09:16:24-05:00</t>
  </si>
  <si>
    <t xml:space="preserve">2024:04:30 09:16:24-05:00</t>
  </si>
  <si>
    <t xml:space="preserve">[0 - 125733], [142119 - 150652]</t>
  </si>
  <si>
    <t xml:space="preserve">Signature_43abac05-7123-4845-a998-744c9af5ee07</t>
  </si>
  <si>
    <t xml:space="preserve">2024-04-30 09:16:13-05:00</t>
  </si>
  <si>
    <t xml:space="preserve">2024:04:30 09:16:13-05:00</t>
  </si>
  <si>
    <t xml:space="preserve">[0 - 537022], [553408 - 561939]</t>
  </si>
  <si>
    <t xml:space="preserve">Signature_0052338c-a2a5-4bfa-8a3f-1c999c976421</t>
  </si>
  <si>
    <t xml:space="preserve">2024-04-30 09:16:12-05:00</t>
  </si>
  <si>
    <t xml:space="preserve">2024:04:30 09:16:12-05:00</t>
  </si>
  <si>
    <t xml:space="preserve">[0 - 74706], [91092 - 99577]</t>
  </si>
  <si>
    <t xml:space="preserve">Signature_dd6173fa-1b92-457d-9f29-d6f1dc1775d4</t>
  </si>
  <si>
    <t xml:space="preserve">2024-04-30 09:16:10-05:00</t>
  </si>
  <si>
    <t xml:space="preserve">2024:04:30 09:16:10-05:00</t>
  </si>
  <si>
    <t xml:space="preserve">[0 - 566138], [582524 - 591055]</t>
  </si>
  <si>
    <t xml:space="preserve">Signature_07993f5e-0404-41d6-bf3d-3dc26f37197c</t>
  </si>
  <si>
    <t xml:space="preserve">2024-04-30 09:16:09-05:00</t>
  </si>
  <si>
    <t xml:space="preserve">2024:04:30 09:16:09-05:00</t>
  </si>
  <si>
    <t xml:space="preserve">[0 - 667763], [684149 - 688609]</t>
  </si>
  <si>
    <t xml:space="preserve">Signature_80a652c4-4c0f-495e-9c4a-f7558ac46b38</t>
  </si>
  <si>
    <t xml:space="preserve">2024-04-30 09:16:08-05:00</t>
  </si>
  <si>
    <t xml:space="preserve">2024:04:30 09:16:08-05:00</t>
  </si>
  <si>
    <t xml:space="preserve">[0 - 734050], [750436 - 755009]</t>
  </si>
  <si>
    <t xml:space="preserve">86 0 obj</t>
  </si>
  <si>
    <t xml:space="preserve">Signature_a4cc9170-486a-4bb2-9da2-8aa29af7ccaf</t>
  </si>
  <si>
    <t xml:space="preserve">2024-04-30 09:16:04-05:00</t>
  </si>
  <si>
    <t xml:space="preserve">2024:04:30 09:16:04-05:00</t>
  </si>
  <si>
    <t xml:space="preserve">[0 - 693429], [709815 - 715097]</t>
  </si>
  <si>
    <t xml:space="preserve">Signature_048132d9-0606-455e-bc0a-19bd317eada1</t>
  </si>
  <si>
    <t xml:space="preserve">2024-04-30 09:16:02-05:00</t>
  </si>
  <si>
    <t xml:space="preserve">2024:04:30 09:16:02-05:00</t>
  </si>
  <si>
    <t xml:space="preserve">[0 - 693426], [709812 - 715091]</t>
  </si>
  <si>
    <t xml:space="preserve">Signature_c565eb61-92f0-4846-b6b4-a70b76514d75</t>
  </si>
  <si>
    <t xml:space="preserve">2024-04-30 09:15:58-05:00</t>
  </si>
  <si>
    <t xml:space="preserve">2024:04:30 09:15:58-05:00</t>
  </si>
  <si>
    <t xml:space="preserve">[0 - 693511], [709897 - 715177]</t>
  </si>
  <si>
    <t xml:space="preserve">Signature_88154598-1a26-4780-8fc1-5fe1a6205870</t>
  </si>
  <si>
    <t xml:space="preserve">2024-04-30 09:16:26-05:00</t>
  </si>
  <si>
    <t xml:space="preserve">2024:04:30 09:16:26-05:00</t>
  </si>
  <si>
    <t xml:space="preserve">[0 - 1220587], [1236973 - 1241851]</t>
  </si>
  <si>
    <t xml:space="preserve">75 0 obj</t>
  </si>
  <si>
    <t xml:space="preserve">Signature_63d5f71d-762d-4ab3-80a0-44167b9c936f</t>
  </si>
  <si>
    <t xml:space="preserve">2024-04-30 09:16:22-05:00</t>
  </si>
  <si>
    <t xml:space="preserve">2024:04:30 09:16:22-05:00</t>
  </si>
  <si>
    <t xml:space="preserve">[0 - 132833], [149219 - 157752]</t>
  </si>
  <si>
    <t xml:space="preserve">Signature_7a788623-ba9e-4b72-8943-30b373b7929b</t>
  </si>
  <si>
    <t xml:space="preserve">2024-04-30 09:16:16-05:00</t>
  </si>
  <si>
    <t xml:space="preserve">2024:04:30 09:16:16-05:00</t>
  </si>
  <si>
    <t xml:space="preserve">[0 - 136605], [152991 - 161524]</t>
  </si>
  <si>
    <t xml:space="preserve">Signature_fcf3fcfa-1d65-43c7-9670-f84e1a104963</t>
  </si>
  <si>
    <t xml:space="preserve">2024-04-30 09:16:07-05:00</t>
  </si>
  <si>
    <t xml:space="preserve">2024:04:30 09:16:07-05:00</t>
  </si>
  <si>
    <t xml:space="preserve">[0 - 235038], [251424 - 256077]</t>
  </si>
  <si>
    <t xml:space="preserve">Signature_21930650-bc3d-47f8-9c71-575320524382</t>
  </si>
  <si>
    <t xml:space="preserve">2024-04-30 09:16:05-05:00</t>
  </si>
  <si>
    <t xml:space="preserve">2024:04:30 09:16:05-05:00</t>
  </si>
  <si>
    <t xml:space="preserve">[0 - 824183], [840569 - 846137]</t>
  </si>
  <si>
    <t xml:space="preserve">329 0 obj</t>
  </si>
  <si>
    <t xml:space="preserve">Signature_28337c72-1793-4310-a907-804361203ebc</t>
  </si>
  <si>
    <t xml:space="preserve">2024-04-30 09:16:03-05:00</t>
  </si>
  <si>
    <t xml:space="preserve">2024:04:30 09:16:03-05:00</t>
  </si>
  <si>
    <t xml:space="preserve">[0 - 838445], [854831 - 859425]</t>
  </si>
  <si>
    <t xml:space="preserve">Signature_0eaf2e9e-2ea3-44b3-b4f8-5655f61750fa</t>
  </si>
  <si>
    <t xml:space="preserve">2024-04-30 09:15:59-05:00</t>
  </si>
  <si>
    <t xml:space="preserve">2024:04:30 09:15:59-05:00</t>
  </si>
  <si>
    <t xml:space="preserve">[0 - 834839], [851225 - 855823]</t>
  </si>
  <si>
    <t xml:space="preserve">106 0 obj</t>
  </si>
  <si>
    <t xml:space="preserve">Signature_d8e39a52-16a4-4c99-a10d-7ba92fca0268</t>
  </si>
  <si>
    <t xml:space="preserve">2024-04-30 09:16:06-05:00</t>
  </si>
  <si>
    <t xml:space="preserve">2024:04:30 09:16:06-05:00</t>
  </si>
  <si>
    <t xml:space="preserve">[0 - 739709], [756095 - 760685]</t>
  </si>
  <si>
    <t xml:space="preserve">Signature_407cb5b2-28b9-452f-aba7-3e091d07dcbd</t>
  </si>
  <si>
    <t xml:space="preserve">2024-04-30 09:16:01-05:00</t>
  </si>
  <si>
    <t xml:space="preserve">2024:04:30 09:16:01-05:00</t>
  </si>
  <si>
    <t xml:space="preserve">[0 - 742599], [758985 - 763575]</t>
  </si>
  <si>
    <t xml:space="preserve">93 0 obj</t>
  </si>
  <si>
    <t xml:space="preserve">Signature_052b111e-8f16-46c4-be11-69b906657258</t>
  </si>
  <si>
    <t xml:space="preserve">2024-04-30 09:16:23-05:00</t>
  </si>
  <si>
    <t xml:space="preserve">2024:04:30 09:16:23-05:00</t>
  </si>
  <si>
    <t xml:space="preserve">[0 - 110038], [126424 - 134913]</t>
  </si>
  <si>
    <t xml:space="preserve">Signature_595b6bea-2cb4-4231-b45d-ed9fd41f37bb</t>
  </si>
  <si>
    <t xml:space="preserve">2024-04-30 09:16:20-05:00</t>
  </si>
  <si>
    <t xml:space="preserve">2024:04:30 09:16:20-05:00</t>
  </si>
  <si>
    <t xml:space="preserve">[0 - 540256], [556642 - 561765]</t>
  </si>
  <si>
    <t xml:space="preserve">104 0 obj</t>
  </si>
  <si>
    <t xml:space="preserve">Signature_36ceb51f-4316-4a7b-bb89-f6732dea8464</t>
  </si>
  <si>
    <t xml:space="preserve">[0 - 74768], [91154 - 99720]</t>
  </si>
  <si>
    <t xml:space="preserve">Signature_6dd8e05c-5ae0-4805-9b02-3d4624dc4690</t>
  </si>
  <si>
    <t xml:space="preserve">2024-04-30 09:16:30-05:00</t>
  </si>
  <si>
    <t xml:space="preserve">2024:04:30 09:16:30-05:00</t>
  </si>
  <si>
    <t xml:space="preserve">[0 - 807080], [823466 - 828067]</t>
  </si>
  <si>
    <t xml:space="preserve">64 0 obj</t>
  </si>
  <si>
    <t xml:space="preserve">Signature_b4ef0262-f4a0-4180-94f9-2928d49b6dac</t>
  </si>
  <si>
    <t xml:space="preserve">2024-04-30 09:16:29-05:00</t>
  </si>
  <si>
    <t xml:space="preserve">2024:04:30 09:16:29-05:00</t>
  </si>
  <si>
    <t xml:space="preserve">[0 - 852680], [869066 - 873674]</t>
  </si>
  <si>
    <t xml:space="preserve">79 0 obj</t>
  </si>
  <si>
    <t xml:space="preserve">Signature_ddf7c077-159d-4b53-99bd-e59a1dc4251c</t>
  </si>
  <si>
    <t xml:space="preserve">2024-04-30 09:16:37-05:00</t>
  </si>
  <si>
    <t xml:space="preserve">2024:04:30 09:16:37-05:00</t>
  </si>
  <si>
    <t xml:space="preserve">[0 - 149245], [165631 - 170316]</t>
  </si>
  <si>
    <t xml:space="preserve">Signature_ec96c243-81ca-4636-8c97-f8357da363b9</t>
  </si>
  <si>
    <t xml:space="preserve">2024-04-30 09:16:31-05:00</t>
  </si>
  <si>
    <t xml:space="preserve">2024:04:30 09:16:31-05:00</t>
  </si>
  <si>
    <t xml:space="preserve">[0 - 256705], [273091 - 281659]</t>
  </si>
  <si>
    <t xml:space="preserve">Signature_3c192642-94e3-43df-b93f-a794ffc67039</t>
  </si>
  <si>
    <t xml:space="preserve">2024-04-30 09:16:28-05:00</t>
  </si>
  <si>
    <t xml:space="preserve">2024:04:30 09:16:28-05:00</t>
  </si>
  <si>
    <t xml:space="preserve">[0 - 299410], [315796 - 324364]</t>
  </si>
  <si>
    <t xml:space="preserve">Signature_98bde4e9-5ed7-4074-8346-4a7d85fb7af0</t>
  </si>
  <si>
    <t xml:space="preserve">2024-04-30 09:16:27-05:00</t>
  </si>
  <si>
    <t xml:space="preserve">2024:04:30 09:16:27-05:00</t>
  </si>
  <si>
    <t xml:space="preserve">[0 - 72917], [89303 - 97869]</t>
  </si>
  <si>
    <t xml:space="preserve">Signature_6e53bf4a-8e6a-482f-8d5e-8c14f51cd565</t>
  </si>
  <si>
    <t xml:space="preserve">2024-04-30 09:16:25-05:00</t>
  </si>
  <si>
    <t xml:space="preserve">2024:04:30 09:16:25-05:00</t>
  </si>
  <si>
    <t xml:space="preserve">[0 - 296972], [313358 - 321847]</t>
  </si>
  <si>
    <t xml:space="preserve">Signature_8c2b45ff-101d-4d2c-9934-5c8b9428ed90</t>
  </si>
  <si>
    <t xml:space="preserve">2024-04-30 09:16:21-05:00</t>
  </si>
  <si>
    <t xml:space="preserve">2024:04:30 09:16:21-05:00</t>
  </si>
  <si>
    <t xml:space="preserve">[0 - 247767], [264153 - 272642]</t>
  </si>
  <si>
    <t xml:space="preserve">Signature_cd782c32-9eee-46f5-9d26-cdfc1c28822e</t>
  </si>
  <si>
    <t xml:space="preserve">2024-04-30 09:16:18-05:00</t>
  </si>
  <si>
    <t xml:space="preserve">2024:04:30 09:16:18-05:00</t>
  </si>
  <si>
    <t xml:space="preserve">[0 - 187206], [203592 - 208111]</t>
  </si>
  <si>
    <t xml:space="preserve">27 0 obj</t>
  </si>
  <si>
    <t xml:space="preserve">Signature_d5df0701-6269-48b6-b72d-ff6a44ad3e83</t>
  </si>
  <si>
    <t xml:space="preserve">2024-04-30 09:16:11-05:00</t>
  </si>
  <si>
    <t xml:space="preserve">2024:04:30 09:16:11-05:00</t>
  </si>
  <si>
    <t xml:space="preserve">[0 - 289776], [306162 - 314649]</t>
  </si>
  <si>
    <t xml:space="preserve">Signature_bb91374f-edfd-4288-86f7-cc1eb60d6d52</t>
  </si>
  <si>
    <t xml:space="preserve">2024-04-30 09:16:38-05:00</t>
  </si>
  <si>
    <t xml:space="preserve">2024:04:30 09:16:38-05:00</t>
  </si>
  <si>
    <t xml:space="preserve">[0 - 91019], [107405 - 109565]</t>
  </si>
  <si>
    <t xml:space="preserve">180 0 obj</t>
  </si>
  <si>
    <t xml:space="preserve">Signature_12888993-854c-47ae-8fc3-304ae9a339ef</t>
  </si>
  <si>
    <t xml:space="preserve">2024-04-30 09:16:36-05:00</t>
  </si>
  <si>
    <t xml:space="preserve">2024:04:30 09:16:36-05:00</t>
  </si>
  <si>
    <t xml:space="preserve">[0 - 82386], [98772 - 104676]</t>
  </si>
  <si>
    <t xml:space="preserve">168 0 obj</t>
  </si>
  <si>
    <t xml:space="preserve">Signature_e4571dc1-f0fb-478b-a62b-9bbb38971964</t>
  </si>
  <si>
    <t xml:space="preserve">2024-04-30 09:17:38-05:00</t>
  </si>
  <si>
    <t xml:space="preserve">2024:04:30 09:17:38-05:00</t>
  </si>
  <si>
    <t xml:space="preserve">[0 - 78191], [94577 - 103136]</t>
  </si>
  <si>
    <t xml:space="preserve">Signature_f71d023f-c226-444f-b08b-5f742d292eac</t>
  </si>
  <si>
    <t xml:space="preserve">2024-04-30 09:17:41-05:00</t>
  </si>
  <si>
    <t xml:space="preserve">2024:04:30 09:17:41-05:00</t>
  </si>
  <si>
    <t xml:space="preserve">[0 - 84187], [100573 - 101778]</t>
  </si>
  <si>
    <t xml:space="preserve">70 0 obj</t>
  </si>
  <si>
    <t xml:space="preserve">Signature_2218429b-74e6-476a-b2f4-0498fd624e81</t>
  </si>
  <si>
    <t xml:space="preserve">2024-04-30 09:17:03-05:00</t>
  </si>
  <si>
    <t xml:space="preserve">2024:04:30 09:17:03-05:00</t>
  </si>
  <si>
    <t xml:space="preserve">[0 - 205332], [221718 - 230249]</t>
  </si>
  <si>
    <t xml:space="preserve">Signature_f05f7ad5-3c27-4ecf-a345-6e5a6b560b81</t>
  </si>
  <si>
    <t xml:space="preserve">2024-04-30 09:17:39-05:00</t>
  </si>
  <si>
    <t xml:space="preserve">2024:04:30 09:17:39-05:00</t>
  </si>
  <si>
    <t xml:space="preserve">[0 - 608829], [625215 - 633775]</t>
  </si>
  <si>
    <t xml:space="preserve">Signature_63a1ddde-8555-401b-9b01-4dbc76921ab5</t>
  </si>
  <si>
    <t xml:space="preserve">2024-04-30 09:17:23-05:00</t>
  </si>
  <si>
    <t xml:space="preserve">2024:04:30 09:17:23-05:00</t>
  </si>
  <si>
    <t xml:space="preserve">[0 - 309595], [325981 - 334470]</t>
  </si>
  <si>
    <t xml:space="preserve">Signature_d668cf6f-005c-485a-a069-823acaf31ed9</t>
  </si>
  <si>
    <t xml:space="preserve">2024-04-30 09:17:21-05:00</t>
  </si>
  <si>
    <t xml:space="preserve">2024:04:30 09:17:21-05:00</t>
  </si>
  <si>
    <t xml:space="preserve">[0 - 67804], [84190 - 92677]</t>
  </si>
  <si>
    <t xml:space="preserve">Signature_d5b9d56c-cb2c-4614-9de4-7ebaf64f3ea9</t>
  </si>
  <si>
    <t xml:space="preserve">2024-04-30 09:17:19-05:00</t>
  </si>
  <si>
    <t xml:space="preserve">2024:04:30 09:17:19-05:00</t>
  </si>
  <si>
    <t xml:space="preserve">[0 - 264489], [280875 - 289362]</t>
  </si>
  <si>
    <t xml:space="preserve">Signature_2e789fd3-4391-4e1c-a7ec-b981e9b99d63</t>
  </si>
  <si>
    <t xml:space="preserve">2024-04-30 09:17:05-05:00</t>
  </si>
  <si>
    <t xml:space="preserve">2024:04:30 09:17:05-05:00</t>
  </si>
  <si>
    <t xml:space="preserve">[0 - 151464], [167850 - 173175]</t>
  </si>
  <si>
    <t xml:space="preserve">Signature_0be87768-62c9-4e72-b0d8-57af1a346b47</t>
  </si>
  <si>
    <t xml:space="preserve">2024-04-30 09:17:28-05:00</t>
  </si>
  <si>
    <t xml:space="preserve">2024:04:30 09:17:28-05:00</t>
  </si>
  <si>
    <t xml:space="preserve">[0 - 131536], [147922 - 156455]</t>
  </si>
  <si>
    <t xml:space="preserve">Signature_a563f4ef-0ddb-4b88-9744-f6f229063d08</t>
  </si>
  <si>
    <t xml:space="preserve">2024-04-30 09:17:18-05:00</t>
  </si>
  <si>
    <t xml:space="preserve">2024:04:30 09:17:18-05:00</t>
  </si>
  <si>
    <t xml:space="preserve">[0 - 541366], [557752 - 566283]</t>
  </si>
  <si>
    <t xml:space="preserve">Signature_d3b1ad21-8add-472f-84c3-ffe2d42c230c</t>
  </si>
  <si>
    <t xml:space="preserve">2024-04-30 09:17:16-05:00</t>
  </si>
  <si>
    <t xml:space="preserve">2024:04:30 09:17:16-05:00</t>
  </si>
  <si>
    <t xml:space="preserve">[0 - 572612], [588998 - 597529]</t>
  </si>
  <si>
    <t xml:space="preserve">Signature_95b4b1fd-fabe-42d6-ad5a-2be71a28426d</t>
  </si>
  <si>
    <t xml:space="preserve">2024-04-30 09:17:15-05:00</t>
  </si>
  <si>
    <t xml:space="preserve">2024:04:30 09:17:15-05:00</t>
  </si>
  <si>
    <t xml:space="preserve">[0 - 667762], [684148 - 688608]</t>
  </si>
  <si>
    <t xml:space="preserve">Signature_bcf52165-06ef-4589-84d9-00d9fe3148de</t>
  </si>
  <si>
    <t xml:space="preserve">2024-04-30 09:17:13-05:00</t>
  </si>
  <si>
    <t xml:space="preserve">2024:04:30 09:17:13-05:00</t>
  </si>
  <si>
    <t xml:space="preserve">[0 - 734051], [750437 - 755010]</t>
  </si>
  <si>
    <t xml:space="preserve">Signature_3379253d-35b7-40bc-ad4d-fc55815ce7c8</t>
  </si>
  <si>
    <t xml:space="preserve">2024-04-30 09:17:11-05:00</t>
  </si>
  <si>
    <t xml:space="preserve">2024:04:30 09:17:11-05:00</t>
  </si>
  <si>
    <t xml:space="preserve">Signature_5329fb00-50df-462e-a0ff-d91a4ec17ea9</t>
  </si>
  <si>
    <t xml:space="preserve">2024-04-30 09:17:09-05:00</t>
  </si>
  <si>
    <t xml:space="preserve">2024:04:30 09:17:09-05:00</t>
  </si>
  <si>
    <t xml:space="preserve">[0 - 693426], [709812 - 715092]</t>
  </si>
  <si>
    <t xml:space="preserve">Signature_739c179f-241e-4eeb-b3f1-7943ba1a4d32</t>
  </si>
  <si>
    <t xml:space="preserve">2024-04-30 09:17:06-05:00</t>
  </si>
  <si>
    <t xml:space="preserve">2024:04:30 09:17:06-05:00</t>
  </si>
  <si>
    <t xml:space="preserve">[0 - 693512], [709898 - 715179]</t>
  </si>
  <si>
    <t xml:space="preserve">Signature_49dc0a32-9d6d-4bc6-adab-c28b777b14cc</t>
  </si>
  <si>
    <t xml:space="preserve">2024-04-30 09:17:30-05:00</t>
  </si>
  <si>
    <t xml:space="preserve">2024:04:30 09:17:30-05:00</t>
  </si>
  <si>
    <t xml:space="preserve">[0 - 1220589], [1236975 - 1241852]</t>
  </si>
  <si>
    <t xml:space="preserve">Signature_ef068783-7d2d-4997-891a-88162241717e</t>
  </si>
  <si>
    <t xml:space="preserve">2024-04-30 09:17:26-05:00</t>
  </si>
  <si>
    <t xml:space="preserve">2024:04:30 09:17:26-05:00</t>
  </si>
  <si>
    <t xml:space="preserve">[0 - 132667], [149053 - 157586]</t>
  </si>
  <si>
    <t xml:space="preserve">Signature_f16844dd-a8cc-4feb-897e-be9f8294aef5</t>
  </si>
  <si>
    <t xml:space="preserve">2024-04-30 09:17:22-05:00</t>
  </si>
  <si>
    <t xml:space="preserve">2024:04:30 09:17:22-05:00</t>
  </si>
  <si>
    <t xml:space="preserve">[0 - 136511], [152897 - 161430]</t>
  </si>
  <si>
    <t xml:space="preserve">Signature_dffa383a-47b1-4deb-bf77-f7ea06be7eb2</t>
  </si>
  <si>
    <t xml:space="preserve">2024-04-30 09:17:14-05:00</t>
  </si>
  <si>
    <t xml:space="preserve">2024:04:30 09:17:14-05:00</t>
  </si>
  <si>
    <t xml:space="preserve">[0 - 235040], [251426 - 256079]</t>
  </si>
  <si>
    <t xml:space="preserve">Signature_f0c1ceab-2463-495b-93b6-d67724cea7b4</t>
  </si>
  <si>
    <t xml:space="preserve">2024-04-30 09:17:10-05:00</t>
  </si>
  <si>
    <t xml:space="preserve">2024:04:30 09:17:10-05:00</t>
  </si>
  <si>
    <t xml:space="preserve">[0 - 838443], [854829 - 859425]</t>
  </si>
  <si>
    <t xml:space="preserve">Signature_7c697c50-3312-4f8a-8268-b05e4187750b</t>
  </si>
  <si>
    <t xml:space="preserve">2024-04-30 09:17:07-05:00</t>
  </si>
  <si>
    <t xml:space="preserve">2024:04:30 09:17:07-05:00</t>
  </si>
  <si>
    <t xml:space="preserve">[0 - 834838], [851224 - 855822]</t>
  </si>
  <si>
    <t xml:space="preserve">Signature_dcca8862-3af8-4907-a8d6-3361167b34a7</t>
  </si>
  <si>
    <t xml:space="preserve">2024-04-30 09:17:12-05:00</t>
  </si>
  <si>
    <t xml:space="preserve">2024:04:30 09:17:12-05:00</t>
  </si>
  <si>
    <t xml:space="preserve">Signature_0dcae073-ccd2-43e5-9523-7f6656ed2570</t>
  </si>
  <si>
    <t xml:space="preserve">2024-04-30 09:17:08-05:00</t>
  </si>
  <si>
    <t xml:space="preserve">2024:04:30 09:17:08-05:00</t>
  </si>
  <si>
    <t xml:space="preserve">[0 - 742600], [758986 - 763576]</t>
  </si>
  <si>
    <t xml:space="preserve">Signature_7ec59892-0cba-4a4f-b410-7caac2a3a889</t>
  </si>
  <si>
    <t xml:space="preserve">2024-04-30 09:17:27-05:00</t>
  </si>
  <si>
    <t xml:space="preserve">2024:04:30 09:17:27-05:00</t>
  </si>
  <si>
    <t xml:space="preserve">[0 - 110304], [126690 - 135179]</t>
  </si>
  <si>
    <t xml:space="preserve">Signature_79808dc2-b8a4-4b61-8f1e-de3e1dd71553</t>
  </si>
  <si>
    <t xml:space="preserve">2024-04-30 09:17:24-05:00</t>
  </si>
  <si>
    <t xml:space="preserve">2024:04:30 09:17:24-05:00</t>
  </si>
  <si>
    <t xml:space="preserve">[0 - 540258], [556644 - 561767]</t>
  </si>
  <si>
    <t xml:space="preserve">Signature_2d3b8f75-41a6-4d99-945f-2104b27722cd</t>
  </si>
  <si>
    <t xml:space="preserve">2024-04-30 09:17:37-05:00</t>
  </si>
  <si>
    <t xml:space="preserve">2024:04:30 09:17:37-05:00</t>
  </si>
  <si>
    <t xml:space="preserve">[0 - 73761], [90147 - 98713]</t>
  </si>
  <si>
    <t xml:space="preserve">Signature_03418a75-e7bd-45a0-b3c5-55ee275b13f3</t>
  </si>
  <si>
    <t xml:space="preserve">2024-04-30 09:17:35-05:00</t>
  </si>
  <si>
    <t xml:space="preserve">2024:04:30 09:17:35-05:00</t>
  </si>
  <si>
    <t xml:space="preserve">[0 - 807080], [823466 - 828068]</t>
  </si>
  <si>
    <t xml:space="preserve">Signature_bf5161c9-80cb-4535-81c2-715f8dda6fe4</t>
  </si>
  <si>
    <t xml:space="preserve">2024-04-30 09:17:34-05:00</t>
  </si>
  <si>
    <t xml:space="preserve">2024:04:30 09:17:34-05:00</t>
  </si>
  <si>
    <t xml:space="preserve">Signature_9b2ba4b4-56f5-4d06-913b-33ef2856b80d</t>
  </si>
  <si>
    <t xml:space="preserve">[0 - 254726], [271112 - 279680]</t>
  </si>
  <si>
    <t xml:space="preserve">Signature_baa1474f-a67d-4353-bab5-8f3b5b9ca0cc</t>
  </si>
  <si>
    <t xml:space="preserve">2024-04-30 09:17:32-05:00</t>
  </si>
  <si>
    <t xml:space="preserve">2024:04:30 09:17:32-05:00</t>
  </si>
  <si>
    <t xml:space="preserve">[0 - 297869], [314255 - 322823]</t>
  </si>
  <si>
    <t xml:space="preserve">Signature_2ce340bd-8257-4d76-8008-48f526b8375e</t>
  </si>
  <si>
    <t xml:space="preserve">2024-04-30 09:17:31-05:00</t>
  </si>
  <si>
    <t xml:space="preserve">2024:04:30 09:17:31-05:00</t>
  </si>
  <si>
    <t xml:space="preserve">[0 - 73294], [89680 - 98246]</t>
  </si>
  <si>
    <t xml:space="preserve">Signature_822932ba-4ad3-476d-adba-c924f9164534</t>
  </si>
  <si>
    <t xml:space="preserve">2024-04-30 09:17:29-05:00</t>
  </si>
  <si>
    <t xml:space="preserve">2024:04:30 09:17:29-05:00</t>
  </si>
  <si>
    <t xml:space="preserve">[0 - 306257], [322643 - 331132]</t>
  </si>
  <si>
    <t xml:space="preserve">Signature_2bccb941-d967-4089-af93-85bdb241266c</t>
  </si>
  <si>
    <t xml:space="preserve">2024-04-30 09:17:25-05:00</t>
  </si>
  <si>
    <t xml:space="preserve">2024:04:30 09:17:25-05:00</t>
  </si>
  <si>
    <t xml:space="preserve">[0 - 258027], [274413 - 282902]</t>
  </si>
  <si>
    <t xml:space="preserve">Signature_0194c25c-2a93-42f8-8ec2-43a40bc9436a</t>
  </si>
  <si>
    <t xml:space="preserve">2024-04-30 09:17:17-05:00</t>
  </si>
  <si>
    <t xml:space="preserve">2024:04:30 09:17:17-05:00</t>
  </si>
  <si>
    <t xml:space="preserve">[0 - 214178], [230564 - 235084]</t>
  </si>
  <si>
    <t xml:space="preserve">Signature_3f6dd91c-d4dc-45e4-b1fd-26e0c1b8a15f</t>
  </si>
  <si>
    <t xml:space="preserve">2024-04-30 09:17:40-05:00</t>
  </si>
  <si>
    <t xml:space="preserve">2024:04:30 09:17:40-05:00</t>
  </si>
  <si>
    <t xml:space="preserve">[0 - 81670], [98056 - 106615]</t>
  </si>
  <si>
    <t xml:space="preserve">Signature_aeaf1adb-d486-4e4b-826c-d3f57bea2bf9</t>
  </si>
  <si>
    <t xml:space="preserve">2024-04-30 09:18:55-05:00</t>
  </si>
  <si>
    <t xml:space="preserve">2024:04:30 09:18:55-05:00</t>
  </si>
  <si>
    <t xml:space="preserve">[0 - 245618], [262004 - 267297]</t>
  </si>
  <si>
    <t xml:space="preserve">181 0 obj</t>
  </si>
  <si>
    <t xml:space="preserve">Signature_4f4f9e86-c0de-466e-adc5-caf6cfffd89e</t>
  </si>
  <si>
    <t xml:space="preserve">2024-04-30 09:18:22-05:00</t>
  </si>
  <si>
    <t xml:space="preserve">2024:04:30 09:18:22-05:00</t>
  </si>
  <si>
    <t xml:space="preserve">[0 - 189493], [205879 - 211262]</t>
  </si>
  <si>
    <t xml:space="preserve">Signature_5b4dcf10-384c-469c-9d90-71c84fd1d426</t>
  </si>
  <si>
    <t xml:space="preserve">2024-04-30 09:18:59-05:00</t>
  </si>
  <si>
    <t xml:space="preserve">2024:04:30 09:18:59-05:00</t>
  </si>
  <si>
    <t xml:space="preserve">[0 - 517720], [534106 - 540705]</t>
  </si>
  <si>
    <t xml:space="preserve">314 0 obj</t>
  </si>
  <si>
    <t xml:space="preserve">Signature_616953f9-a7a3-40b1-b3dd-fcccdfd4d82a</t>
  </si>
  <si>
    <t xml:space="preserve">2024-04-30 09:19:02-05:00</t>
  </si>
  <si>
    <t xml:space="preserve">2024:04:30 09:19:02-05:00</t>
  </si>
  <si>
    <t xml:space="preserve">[0 - 456889], [473275 - 476012]</t>
  </si>
  <si>
    <t xml:space="preserve">369 0 obj</t>
  </si>
  <si>
    <t xml:space="preserve">Signature_7b9209aa-381d-4cce-8c3c-cff44e091445</t>
  </si>
  <si>
    <t xml:space="preserve">2024-04-30 09:18:19-05:00</t>
  </si>
  <si>
    <t xml:space="preserve">2024:04:30 09:18:19-05:00</t>
  </si>
  <si>
    <t xml:space="preserve">[0 - 810672], [827058 - 835545]</t>
  </si>
  <si>
    <t xml:space="preserve">Signature_bb78bfac-6c5c-44b9-ab7f-9c1244760d82</t>
  </si>
  <si>
    <t xml:space="preserve">2024-04-30 09:18:09-05:00</t>
  </si>
  <si>
    <t xml:space="preserve">2024:04:30 09:18:09-05:00</t>
  </si>
  <si>
    <t xml:space="preserve">[0 - 810967], [827353 - 832562]</t>
  </si>
  <si>
    <t xml:space="preserve">97 0 obj</t>
  </si>
  <si>
    <t xml:space="preserve">Signature_fd640c03-a9ca-4df2-927d-6bde3b59eb6b</t>
  </si>
  <si>
    <t xml:space="preserve">2024-04-30 09:18:27-05:00</t>
  </si>
  <si>
    <t xml:space="preserve">2024:04:30 09:18:27-05:00</t>
  </si>
  <si>
    <t xml:space="preserve">[0 - 318999], [335385 - 340921]</t>
  </si>
  <si>
    <t xml:space="preserve">228 0 obj</t>
  </si>
  <si>
    <t xml:space="preserve">Signature_fc4573f0-4f3d-42be-9ddc-cb695fd35f4d</t>
  </si>
  <si>
    <t xml:space="preserve">2024-04-30 09:18:58-05:00</t>
  </si>
  <si>
    <t xml:space="preserve">2024:04:30 09:18:58-05:00</t>
  </si>
  <si>
    <t xml:space="preserve">[0 - 256032], [272418 - 277854]</t>
  </si>
  <si>
    <t xml:space="preserve">Signature_68efe841-1569-4393-b9f6-8a4495124ad1</t>
  </si>
  <si>
    <t xml:space="preserve">2024-04-30 09:18:52-05:00</t>
  </si>
  <si>
    <t xml:space="preserve">2024:04:30 09:18:52-05:00</t>
  </si>
  <si>
    <t xml:space="preserve">[0 - 279209], [295595 - 301069]</t>
  </si>
  <si>
    <t xml:space="preserve">220 0 obj</t>
  </si>
  <si>
    <t xml:space="preserve">Signature_2d84ee76-e90b-47ae-86a7-960a1fc581a5</t>
  </si>
  <si>
    <t xml:space="preserve">2024-04-30 09:18:39-05:00</t>
  </si>
  <si>
    <t xml:space="preserve">2024:04:30 09:18:39-05:00</t>
  </si>
  <si>
    <t xml:space="preserve">[0 - 111437], [127823 - 132276]</t>
  </si>
  <si>
    <t xml:space="preserve">Signature_a9f20916-b7df-48c1-8d89-3cc8f00cadd9</t>
  </si>
  <si>
    <t xml:space="preserve">2024-04-30 09:18:34-05:00</t>
  </si>
  <si>
    <t xml:space="preserve">2024:04:30 09:18:34-05:00</t>
  </si>
  <si>
    <t xml:space="preserve">[0 - 111541], [127927 - 133597]</t>
  </si>
  <si>
    <t xml:space="preserve">179 0 obj</t>
  </si>
  <si>
    <t xml:space="preserve">Signature_f76d2533-415b-43d1-a43f-a936770e0f7f</t>
  </si>
  <si>
    <t xml:space="preserve">2024-04-30 09:18:26-05:00</t>
  </si>
  <si>
    <t xml:space="preserve">2024:04:30 09:18:26-05:00</t>
  </si>
  <si>
    <t xml:space="preserve">[0 - 795244], [811630 - 816221]</t>
  </si>
  <si>
    <t xml:space="preserve">Signature_48f7b083-381d-4329-a286-d0b7ad684c20</t>
  </si>
  <si>
    <t xml:space="preserve">2024-04-30 09:18:50-05:00</t>
  </si>
  <si>
    <t xml:space="preserve">2024:04:30 09:18:50-05:00</t>
  </si>
  <si>
    <t xml:space="preserve">[0 - 70762], [87148 - 95714]</t>
  </si>
  <si>
    <t xml:space="preserve">Signature_a97210de-43ca-4e2a-962e-714ecff09a7a</t>
  </si>
  <si>
    <t xml:space="preserve">2024-04-30 09:18:37-05:00</t>
  </si>
  <si>
    <t xml:space="preserve">2024:04:30 09:18:37-05:00</t>
  </si>
  <si>
    <t xml:space="preserve">[0 - 69794], [86180 - 94667]</t>
  </si>
  <si>
    <t xml:space="preserve">Signature_66d67066-7601-41de-97f2-d2687467c39e</t>
  </si>
  <si>
    <t xml:space="preserve">2024-04-30 09:18:24-05:00</t>
  </si>
  <si>
    <t xml:space="preserve">2024:04:30 09:18:24-05:00</t>
  </si>
  <si>
    <t xml:space="preserve">[0 - 72827], [89213 - 97700]</t>
  </si>
  <si>
    <t xml:space="preserve">Signature_0b22764d-7eb4-4618-b423-3c16d38fccf2</t>
  </si>
  <si>
    <t xml:space="preserve">2024-04-30 09:18:16-05:00</t>
  </si>
  <si>
    <t xml:space="preserve">2024:04:30 09:18:16-05:00</t>
  </si>
  <si>
    <t xml:space="preserve">[0 - 286733], [303119 - 311606]</t>
  </si>
  <si>
    <t xml:space="preserve">Signature_4cc695b4-c72b-4a31-9aef-cf6eaf29dac9</t>
  </si>
  <si>
    <t xml:space="preserve">2024-04-30 09:18:12-05:00</t>
  </si>
  <si>
    <t xml:space="preserve">2024:04:30 09:18:12-05:00</t>
  </si>
  <si>
    <t xml:space="preserve">[0 - 273012], [289398 - 297885]</t>
  </si>
  <si>
    <t xml:space="preserve">Signature_de6399ed-a1ec-40f1-8f18-b8e0c4b1e4ed</t>
  </si>
  <si>
    <t xml:space="preserve">2024-04-30 09:18:42-05:00</t>
  </si>
  <si>
    <t xml:space="preserve">2024:04:30 09:18:42-05:00</t>
  </si>
  <si>
    <t xml:space="preserve">[0 - 85889], [102275 - 106748]</t>
  </si>
  <si>
    <t xml:space="preserve">Signature_c36b5634-e490-40d7-b575-dff0bf2f9384</t>
  </si>
  <si>
    <t xml:space="preserve">2024-04-30 09:18:41-05:00</t>
  </si>
  <si>
    <t xml:space="preserve">2024:04:30 09:18:41-05:00</t>
  </si>
  <si>
    <t xml:space="preserve">[0 - 78303], [94689 - 99155]</t>
  </si>
  <si>
    <t xml:space="preserve">Signature_97a6f73b-2938-4de7-8d38-3cd7bbc8c5b6</t>
  </si>
  <si>
    <t xml:space="preserve">2024-04-30 09:18:38-05:00</t>
  </si>
  <si>
    <t xml:space="preserve">2024:04:30 09:18:38-05:00</t>
  </si>
  <si>
    <t xml:space="preserve">[0 - 64707], [81093 - 85564]</t>
  </si>
  <si>
    <t xml:space="preserve">Signature_a4519d95-9edd-45a4-8d7c-bc233e0f95d1</t>
  </si>
  <si>
    <t xml:space="preserve">2024-04-30 09:18:33-05:00</t>
  </si>
  <si>
    <t xml:space="preserve">2024:04:30 09:18:33-05:00</t>
  </si>
  <si>
    <t xml:space="preserve">[0 - 70646], [87032 - 95519]</t>
  </si>
  <si>
    <t xml:space="preserve">Signature_c0d4f6a8-7742-4d9e-9573-077c2370ed92</t>
  </si>
  <si>
    <t xml:space="preserve">2024-04-30 09:18:07-05:00</t>
  </si>
  <si>
    <t xml:space="preserve">2024:04:30 09:18:07-05:00</t>
  </si>
  <si>
    <t xml:space="preserve">[0 - 234847], [251233 - 255844]</t>
  </si>
  <si>
    <t xml:space="preserve">Signature_19ac040d-28cc-470d-a2e9-d381dc0614fb</t>
  </si>
  <si>
    <t xml:space="preserve">2024-04-30 09:18:57-05:00</t>
  </si>
  <si>
    <t xml:space="preserve">2024:04:30 09:18:57-05:00</t>
  </si>
  <si>
    <t xml:space="preserve">[0 - 224052], [240438 - 244751]</t>
  </si>
  <si>
    <t xml:space="preserve">Signature_4346bd1f-2aa2-4230-8dd6-6b957725e994</t>
  </si>
  <si>
    <t xml:space="preserve">2024-04-30 09:18:51-05:00</t>
  </si>
  <si>
    <t xml:space="preserve">2024:04:30 09:18:51-05:00</t>
  </si>
  <si>
    <t xml:space="preserve">[0 - 222449], [238835 - 243149]</t>
  </si>
  <si>
    <t xml:space="preserve">Signature_d52a7aef-fc73-4473-b74c-aee8f79299b7</t>
  </si>
  <si>
    <t xml:space="preserve">2024-04-30 09:18:36-05:00</t>
  </si>
  <si>
    <t xml:space="preserve">2024:04:30 09:18:36-05:00</t>
  </si>
  <si>
    <t xml:space="preserve">[0 - 165274], [181660 - 187189]</t>
  </si>
  <si>
    <t xml:space="preserve">135 0 obj</t>
  </si>
  <si>
    <t xml:space="preserve">Signature_178053c0-1f0b-4ab0-8f2d-30b465c31d19</t>
  </si>
  <si>
    <t xml:space="preserve">2024-04-30 09:18:20-05:00</t>
  </si>
  <si>
    <t xml:space="preserve">2024:04:30 09:18:20-05:00</t>
  </si>
  <si>
    <t xml:space="preserve">[0 - 289989], [306375 - 311958]</t>
  </si>
  <si>
    <t xml:space="preserve">326 0 obj</t>
  </si>
  <si>
    <t xml:space="preserve">Signature_c0147622-4c0c-465c-a5a7-86834076be32</t>
  </si>
  <si>
    <t xml:space="preserve">2024-04-30 09:18:14-05:00</t>
  </si>
  <si>
    <t xml:space="preserve">2024:04:30 09:18:14-05:00</t>
  </si>
  <si>
    <t xml:space="preserve">[0 - 822701], [839087 - 844618]</t>
  </si>
  <si>
    <t xml:space="preserve">305 0 obj</t>
  </si>
  <si>
    <t xml:space="preserve">Signature_2e04f8d5-9d06-4c51-8423-84da1f996af7</t>
  </si>
  <si>
    <t xml:space="preserve">2024-04-30 09:18:11-05:00</t>
  </si>
  <si>
    <t xml:space="preserve">2024:04:30 09:18:11-05:00</t>
  </si>
  <si>
    <t xml:space="preserve">[0 - 236576], [252962 - 258416]</t>
  </si>
  <si>
    <t xml:space="preserve">303 0 obj</t>
  </si>
  <si>
    <t xml:space="preserve">Signature_4831bc80-dc10-4518-8841-a792981ec9c1</t>
  </si>
  <si>
    <t xml:space="preserve">2024-04-30 09:18:10-05:00</t>
  </si>
  <si>
    <t xml:space="preserve">2024:04:30 09:18:10-05:00</t>
  </si>
  <si>
    <t xml:space="preserve">[0 - 234668], [251054 - 255665]</t>
  </si>
  <si>
    <t xml:space="preserve">Signature_047f4847-d9eb-4d3a-be93-5e8b70b89f91</t>
  </si>
  <si>
    <t xml:space="preserve">2024-04-30 09:18:08-05:00</t>
  </si>
  <si>
    <t xml:space="preserve">2024:04:30 09:18:08-05:00</t>
  </si>
  <si>
    <t xml:space="preserve">[0 - 234645], [251031 - 255643]</t>
  </si>
  <si>
    <t xml:space="preserve">Signature_9ec6ad9d-43f9-4b2f-8e3b-76dd7c9830fa</t>
  </si>
  <si>
    <t xml:space="preserve">2024-04-30 09:19:00-05:00</t>
  </si>
  <si>
    <t xml:space="preserve">2024:04:30 09:19:00-05:00</t>
  </si>
  <si>
    <t xml:space="preserve">[0 - 151543], [167929 - 176545]</t>
  </si>
  <si>
    <t xml:space="preserve">Signature_2ed5923c-7387-4991-9604-ca0b15203cf9</t>
  </si>
  <si>
    <t xml:space="preserve">2024-04-30 09:18:54-05:00</t>
  </si>
  <si>
    <t xml:space="preserve">2024:04:30 09:18:54-05:00</t>
  </si>
  <si>
    <t xml:space="preserve">[0 - 843178], [859564 - 868180]</t>
  </si>
  <si>
    <t xml:space="preserve">Signature_4d47b6b3-18a9-4789-8684-553c8eb71e46</t>
  </si>
  <si>
    <t xml:space="preserve">2024-04-30 09:18:43-05:00</t>
  </si>
  <si>
    <t xml:space="preserve">2024:04:30 09:18:43-05:00</t>
  </si>
  <si>
    <t xml:space="preserve">[0 - 460787], [477173 - 482259]</t>
  </si>
  <si>
    <t xml:space="preserve">391 0 obj</t>
  </si>
  <si>
    <t xml:space="preserve">Signature_c34d9003-bd7f-4a68-9417-11a712a58a38</t>
  </si>
  <si>
    <t xml:space="preserve">2024-04-30 09:18:29-05:00</t>
  </si>
  <si>
    <t xml:space="preserve">2024:04:30 09:18:29-05:00</t>
  </si>
  <si>
    <t xml:space="preserve">[0 - 490026], [506412 - 511818]</t>
  </si>
  <si>
    <t xml:space="preserve">Signature_72529b52-ee24-47bf-98d2-be3b251bd1e5</t>
  </si>
  <si>
    <t xml:space="preserve">2024-04-30 09:18:23-05:00</t>
  </si>
  <si>
    <t xml:space="preserve">2024:04:30 09:18:23-05:00</t>
  </si>
  <si>
    <t xml:space="preserve">[0 - 808245], [824631 - 829223]</t>
  </si>
  <si>
    <t xml:space="preserve">98 0 obj</t>
  </si>
  <si>
    <t xml:space="preserve">Signature_65847504-d135-4c62-9356-7be76d961a93</t>
  </si>
  <si>
    <t xml:space="preserve">2024-04-30 09:18:18-05:00</t>
  </si>
  <si>
    <t xml:space="preserve">2024:04:30 09:18:18-05:00</t>
  </si>
  <si>
    <t xml:space="preserve">[0 - 802148], [818534 - 823503]</t>
  </si>
  <si>
    <t xml:space="preserve">397 0 obj</t>
  </si>
  <si>
    <t xml:space="preserve">Signature_047f3e02-0e99-4d67-a2ee-84cf12ebd5ec</t>
  </si>
  <si>
    <t xml:space="preserve">2024-04-30 09:18:17-05:00</t>
  </si>
  <si>
    <t xml:space="preserve">2024:04:30 09:18:17-05:00</t>
  </si>
  <si>
    <t xml:space="preserve">[0 - 891709], [908095 - 913099]</t>
  </si>
  <si>
    <t xml:space="preserve">416 0 obj</t>
  </si>
  <si>
    <t xml:space="preserve">Signature_309ea1ea-8479-4dae-8bcf-7f924703af7e</t>
  </si>
  <si>
    <t xml:space="preserve">[0 - 740687], [757073 - 761664]</t>
  </si>
  <si>
    <t xml:space="preserve">Signature_9c4b2c1b-3a11-4135-bcf3-9f1bfadf7250</t>
  </si>
  <si>
    <t xml:space="preserve">2024-04-30 09:18:49-05:00</t>
  </si>
  <si>
    <t xml:space="preserve">2024:04:30 09:18:49-05:00</t>
  </si>
  <si>
    <t xml:space="preserve">[0 - 92938], [109324 - 113847]</t>
  </si>
  <si>
    <t xml:space="preserve">Signature_a63a02be-0844-4923-bcf3-f759734e92c3</t>
  </si>
  <si>
    <t xml:space="preserve">2024-04-30 09:18:48-05:00</t>
  </si>
  <si>
    <t xml:space="preserve">2024:04:30 09:18:48-05:00</t>
  </si>
  <si>
    <t xml:space="preserve">[0 - 68454], [84840 - 89362]</t>
  </si>
  <si>
    <t xml:space="preserve">Signature_15573331-fa6b-41f9-9182-48f636d9d335</t>
  </si>
  <si>
    <t xml:space="preserve">2024-04-30 09:18:46-05:00</t>
  </si>
  <si>
    <t xml:space="preserve">2024:04:30 09:18:46-05:00</t>
  </si>
  <si>
    <t xml:space="preserve">[0 - 92695], [109081 - 113604]</t>
  </si>
  <si>
    <t xml:space="preserve">Signature_1a98060d-9b92-4395-8450-386eee0bd739</t>
  </si>
  <si>
    <t xml:space="preserve">2024-04-30 09:18:30-05:00</t>
  </si>
  <si>
    <t xml:space="preserve">2024:04:30 09:18:30-05:00</t>
  </si>
  <si>
    <t xml:space="preserve">[0 - 134118], [150504 - 159037]</t>
  </si>
  <si>
    <t xml:space="preserve">Signature_1ed60c9a-d93a-4c20-a496-f8e9e14b4390</t>
  </si>
  <si>
    <t xml:space="preserve">[0 - 1145959], [1162345 - 1167055]</t>
  </si>
  <si>
    <t xml:space="preserve">167 0 obj</t>
  </si>
  <si>
    <t xml:space="preserve">Signature_48254e47-012d-46ad-8dd9-d44a097551e1</t>
  </si>
  <si>
    <t xml:space="preserve">2024-04-30 09:18:25-05:00</t>
  </si>
  <si>
    <t xml:space="preserve">2024:04:30 09:18:25-05:00</t>
  </si>
  <si>
    <t xml:space="preserve">[0 - 172511], [188897 - 194382]</t>
  </si>
  <si>
    <t xml:space="preserve">Signature_0ea3866a-2108-4e2e-8e76-23564657b850</t>
  </si>
  <si>
    <t xml:space="preserve">2024-04-30 09:18:56-05:00</t>
  </si>
  <si>
    <t xml:space="preserve">2024:04:30 09:18:56-05:00</t>
  </si>
  <si>
    <t xml:space="preserve">[0 - 319882], [336268 - 341687]</t>
  </si>
  <si>
    <t xml:space="preserve">291 0 obj</t>
  </si>
  <si>
    <t xml:space="preserve">Signature_70e52a00-93c7-48d2-8640-5f029c2512e6</t>
  </si>
  <si>
    <t xml:space="preserve">2024-04-30 09:18:45-05:00</t>
  </si>
  <si>
    <t xml:space="preserve">2024:04:30 09:18:45-05:00</t>
  </si>
  <si>
    <t xml:space="preserve">[0 - 281828], [298214 - 302747]</t>
  </si>
  <si>
    <t xml:space="preserve">81 0 obj</t>
  </si>
  <si>
    <t xml:space="preserve">Signature_030d728f-567d-43e8-8ca0-fb2913d2b8f7</t>
  </si>
  <si>
    <t xml:space="preserve">2024-04-30 09:18:53-05:00</t>
  </si>
  <si>
    <t xml:space="preserve">2024:04:30 09:18:53-05:00</t>
  </si>
  <si>
    <t xml:space="preserve">[0 - 68102], [84488 - 89243]</t>
  </si>
  <si>
    <t xml:space="preserve">Signature_d26cf794-bac9-4209-b5dd-b7edabb2e251</t>
  </si>
  <si>
    <t xml:space="preserve">2024-04-30 09:18:40-05:00</t>
  </si>
  <si>
    <t xml:space="preserve">2024:04:30 09:18:40-05:00</t>
  </si>
  <si>
    <t xml:space="preserve">[0 - 348325], [364711 - 369189]</t>
  </si>
  <si>
    <t xml:space="preserve">53 0 obj</t>
  </si>
  <si>
    <t xml:space="preserve">Signature_4e787b5b-959a-40b9-b2a4-442927954111</t>
  </si>
  <si>
    <t xml:space="preserve">2024-04-30 09:18:21-05:00</t>
  </si>
  <si>
    <t xml:space="preserve">2024:04:30 09:18:21-05:00</t>
  </si>
  <si>
    <t xml:space="preserve">[0 - 156977], [173363 - 178722]</t>
  </si>
  <si>
    <t xml:space="preserve">147 0 obj</t>
  </si>
  <si>
    <t xml:space="preserve">Signature_0fe4322a-4dcf-429e-88d9-870be909d2bd</t>
  </si>
  <si>
    <t xml:space="preserve">2024-04-30 09:18:32-05:00</t>
  </si>
  <si>
    <t xml:space="preserve">2024:04:30 09:18:32-05:00</t>
  </si>
  <si>
    <t xml:space="preserve">[0 - 140261], [156647 - 165136]</t>
  </si>
  <si>
    <t xml:space="preserve">Signature_fe86ff72-9aa7-4b22-9256-f270ff7c33c2</t>
  </si>
  <si>
    <t xml:space="preserve">2024-04-30 09:18:06-05:00</t>
  </si>
  <si>
    <t xml:space="preserve">2024:04:30 09:18:06-05:00</t>
  </si>
  <si>
    <t xml:space="preserve">[0 - 63544], [79930 - 88415]</t>
  </si>
  <si>
    <t xml:space="preserve">Signature_a7302ab1-85fe-4545-8d80-9c6db7b633a7</t>
  </si>
  <si>
    <t xml:space="preserve">2024-04-30 09:18:44-05:00</t>
  </si>
  <si>
    <t xml:space="preserve">2024:04:30 09:18:44-05:00</t>
  </si>
  <si>
    <t xml:space="preserve">[0 - 119112], [135498 - 140862]</t>
  </si>
  <si>
    <t xml:space="preserve">Signature_82ccf9bc-95ad-4aae-a3df-66419cf14e61</t>
  </si>
  <si>
    <t xml:space="preserve">2024-04-30 09:18:35-05:00</t>
  </si>
  <si>
    <t xml:space="preserve">2024:04:30 09:18:35-05:00</t>
  </si>
  <si>
    <t xml:space="preserve">[0 - 120318], [136704 - 142074]</t>
  </si>
  <si>
    <t xml:space="preserve">122 0 obj</t>
  </si>
  <si>
    <t xml:space="preserve">Signature_0bdc4bf5-3093-45b5-9913-8238b8fdfb68</t>
  </si>
  <si>
    <t xml:space="preserve">2024-04-30 09:20:01-05:00</t>
  </si>
  <si>
    <t xml:space="preserve">2024:04:30 09:20:01-05:00</t>
  </si>
  <si>
    <t xml:space="preserve">[0 - 70594], [86980 - 91714]</t>
  </si>
  <si>
    <t xml:space="preserve">Signature_ef3b0b2d-66b2-4d38-b710-ce5986119d80</t>
  </si>
  <si>
    <t xml:space="preserve">2024-04-30 09:19:58-05:00</t>
  </si>
  <si>
    <t xml:space="preserve">2024:04:30 09:19:58-05:00</t>
  </si>
  <si>
    <t xml:space="preserve">[0 - 286017], [302403 - 308470]</t>
  </si>
  <si>
    <t xml:space="preserve">Signature_4d6a39d3-2128-41ea-91d4-d2e57af8f94f</t>
  </si>
  <si>
    <t xml:space="preserve">2024-04-30 09:19:42-05:00</t>
  </si>
  <si>
    <t xml:space="preserve">2024:04:30 09:19:42-05:00</t>
  </si>
  <si>
    <t xml:space="preserve">[0 - 172004], [188390 - 193499]</t>
  </si>
  <si>
    <t xml:space="preserve">Signature_af049a3d-3e70-4e5d-a6a7-2cf448bd653f</t>
  </si>
  <si>
    <t xml:space="preserve">2024-04-30 09:20:05-05:00</t>
  </si>
  <si>
    <t xml:space="preserve">2024:04:30 09:20:05-05:00</t>
  </si>
  <si>
    <t xml:space="preserve">[0 - 456759], [473145 - 475882]</t>
  </si>
  <si>
    <t xml:space="preserve">368 0 obj</t>
  </si>
  <si>
    <t xml:space="preserve">Signature_0a4821a2-acbb-4c0e-bc92-4e57fb5b6caf</t>
  </si>
  <si>
    <t xml:space="preserve">2024-04-30 09:19:32-05:00</t>
  </si>
  <si>
    <t xml:space="preserve">2024:04:30 09:19:32-05:00</t>
  </si>
  <si>
    <t xml:space="preserve">[0 - 941965], [958351 - 963637]</t>
  </si>
  <si>
    <t xml:space="preserve">Signature_d4414930-5761-485e-be74-09f20fc5d15d</t>
  </si>
  <si>
    <t xml:space="preserve">2024-04-30 09:19:24-05:00</t>
  </si>
  <si>
    <t xml:space="preserve">2024:04:30 09:19:24-05:00</t>
  </si>
  <si>
    <t xml:space="preserve">[0 - 937739], [954125 - 959867]</t>
  </si>
  <si>
    <t xml:space="preserve">Signature_f5618667-c568-4598-aa86-fd8ae4e35435</t>
  </si>
  <si>
    <t xml:space="preserve">2024-04-30 09:20:02-05:00</t>
  </si>
  <si>
    <t xml:space="preserve">2024:04:30 09:20:02-05:00</t>
  </si>
  <si>
    <t xml:space="preserve">[0 - 280608], [296994 - 302465]</t>
  </si>
  <si>
    <t xml:space="preserve">Signature_34e0fbc9-5893-4bb2-a8ca-00d51d099ac3</t>
  </si>
  <si>
    <t xml:space="preserve">2024-04-30 09:19:49-05:00</t>
  </si>
  <si>
    <t xml:space="preserve">2024:04:30 09:19:49-05:00</t>
  </si>
  <si>
    <t xml:space="preserve">Signature_490df83d-dd01-4291-98fd-4ab73dafefb2</t>
  </si>
  <si>
    <t xml:space="preserve">2024-04-30 09:19:59-05:00</t>
  </si>
  <si>
    <t xml:space="preserve">2024:04:30 09:19:59-05:00</t>
  </si>
  <si>
    <t xml:space="preserve">[0 - 494491], [510877 - 519445]</t>
  </si>
  <si>
    <t xml:space="preserve">Signature_fea01d21-ee78-40c8-be0e-ef8fc5c3fcdb</t>
  </si>
  <si>
    <t xml:space="preserve">2024-04-30 09:19:55-05:00</t>
  </si>
  <si>
    <t xml:space="preserve">2024:04:30 09:19:55-05:00</t>
  </si>
  <si>
    <t xml:space="preserve">[0 - 74877], [91263 - 99829]</t>
  </si>
  <si>
    <t xml:space="preserve">Signature_6eca0fbb-a456-4094-a92b-e0b5b652f5a9</t>
  </si>
  <si>
    <t xml:space="preserve">2024-04-30 09:19:54-05:00</t>
  </si>
  <si>
    <t xml:space="preserve">2024:04:30 09:19:54-05:00</t>
  </si>
  <si>
    <t xml:space="preserve">[0 - 68682], [85068 - 89590]</t>
  </si>
  <si>
    <t xml:space="preserve">Signature_3a372ab3-6d5e-4f1a-8ccc-aaefe39a7838</t>
  </si>
  <si>
    <t xml:space="preserve">2024-04-30 09:19:53-05:00</t>
  </si>
  <si>
    <t xml:space="preserve">2024:04:30 09:19:53-05:00</t>
  </si>
  <si>
    <t xml:space="preserve">[0 - 68867], [85253 - 89775]</t>
  </si>
  <si>
    <t xml:space="preserve">Signature_0259fdc6-1884-4491-9f5a-a91a5283b5eb</t>
  </si>
  <si>
    <t xml:space="preserve">2024-04-30 09:19:51-05:00</t>
  </si>
  <si>
    <t xml:space="preserve">2024:04:30 09:19:51-05:00</t>
  </si>
  <si>
    <t xml:space="preserve">[0 - 71207], [87593 - 92114]</t>
  </si>
  <si>
    <t xml:space="preserve">Signature_4d778367-ef6e-41a8-bfb6-724604a18437</t>
  </si>
  <si>
    <t xml:space="preserve">2024-04-30 09:19:50-05:00</t>
  </si>
  <si>
    <t xml:space="preserve">2024:04:30 09:19:50-05:00</t>
  </si>
  <si>
    <t xml:space="preserve">Signature_dd6abadf-5d5d-4d56-a53c-6d01dcd55fa3</t>
  </si>
  <si>
    <t xml:space="preserve">2024-04-30 09:19:46-05:00</t>
  </si>
  <si>
    <t xml:space="preserve">2024:04:30 09:19:46-05:00</t>
  </si>
  <si>
    <t xml:space="preserve">[0 - 77513], [93899 - 98420]</t>
  </si>
  <si>
    <t xml:space="preserve">Signature_7e40b7e1-0685-4827-9c59-74930404371f</t>
  </si>
  <si>
    <t xml:space="preserve">2024-04-30 09:19:40-05:00</t>
  </si>
  <si>
    <t xml:space="preserve">2024:04:30 09:19:40-05:00</t>
  </si>
  <si>
    <t xml:space="preserve">[0 - 169589], [185975 - 191506]</t>
  </si>
  <si>
    <t xml:space="preserve">Signature_77265ffc-95df-4503-97c2-789d25a54cc8</t>
  </si>
  <si>
    <t xml:space="preserve">2024-04-30 09:19:39-05:00</t>
  </si>
  <si>
    <t xml:space="preserve">2024:04:30 09:19:39-05:00</t>
  </si>
  <si>
    <t xml:space="preserve">[0 - 170006], [186392 - 191924]</t>
  </si>
  <si>
    <t xml:space="preserve">Signature_f70396cf-a124-4bd7-bc66-5953cafa9b7d</t>
  </si>
  <si>
    <t xml:space="preserve">2024-04-30 09:19:37-05:00</t>
  </si>
  <si>
    <t xml:space="preserve">2024:04:30 09:19:37-05:00</t>
  </si>
  <si>
    <t xml:space="preserve">[0 - 169728], [186114 - 191649]</t>
  </si>
  <si>
    <t xml:space="preserve">Signature_204ff118-aeb6-46ea-a068-348fd5111c3e</t>
  </si>
  <si>
    <t xml:space="preserve">2024-04-30 09:19:45-05:00</t>
  </si>
  <si>
    <t xml:space="preserve">2024:04:30 09:19:45-05:00</t>
  </si>
  <si>
    <t xml:space="preserve">[0 - 289936], [306322 - 311900]</t>
  </si>
  <si>
    <t xml:space="preserve">Signature_18709d58-d868-4226-b520-08f0e356eccf</t>
  </si>
  <si>
    <t xml:space="preserve">2024-04-30 09:19:44-05:00</t>
  </si>
  <si>
    <t xml:space="preserve">2024:04:30 09:19:44-05:00</t>
  </si>
  <si>
    <t xml:space="preserve">Signature_eff49629-4ea6-4ece-9b92-d7f23e6c4dc6</t>
  </si>
  <si>
    <t xml:space="preserve">2024-04-30 09:19:35-05:00</t>
  </si>
  <si>
    <t xml:space="preserve">2024:04:30 09:19:35-05:00</t>
  </si>
  <si>
    <t xml:space="preserve">[0 - 827041], [843427 - 848937]</t>
  </si>
  <si>
    <t xml:space="preserve">Signature_aaf2b8de-d80c-43a8-b327-7d26407a0857</t>
  </si>
  <si>
    <t xml:space="preserve">2024-04-30 09:19:33-05:00</t>
  </si>
  <si>
    <t xml:space="preserve">2024:04:30 09:19:33-05:00</t>
  </si>
  <si>
    <t xml:space="preserve">[0 - 827921], [844307 - 849818]</t>
  </si>
  <si>
    <t xml:space="preserve">Signature_f7a091a5-fdda-4ba0-9734-69a7646e793d</t>
  </si>
  <si>
    <t xml:space="preserve">2024-04-30 09:19:31-05:00</t>
  </si>
  <si>
    <t xml:space="preserve">2024:04:30 09:19:31-05:00</t>
  </si>
  <si>
    <t xml:space="preserve">[0 - 821807], [838193 - 843736]</t>
  </si>
  <si>
    <t xml:space="preserve">Signature_0de6158a-0700-47fe-adb1-6325f102e9d0</t>
  </si>
  <si>
    <t xml:space="preserve">2024-04-30 09:19:28-05:00</t>
  </si>
  <si>
    <t xml:space="preserve">2024:04:30 09:19:28-05:00</t>
  </si>
  <si>
    <t xml:space="preserve">[0 - 248833], [265219 - 269829]</t>
  </si>
  <si>
    <t xml:space="preserve">Signature_ad150b85-4250-4d88-bccb-4e4f9d42b0cd</t>
  </si>
  <si>
    <t xml:space="preserve">2024-04-30 09:19:25-05:00</t>
  </si>
  <si>
    <t xml:space="preserve">2024:04:30 09:19:25-05:00</t>
  </si>
  <si>
    <t xml:space="preserve">[0 - 233786], [250172 - 254783]</t>
  </si>
  <si>
    <t xml:space="preserve">Signature_c2ff215a-6dae-47bb-b388-b8343f490d0a</t>
  </si>
  <si>
    <t xml:space="preserve">2024-04-30 09:19:52-05:00</t>
  </si>
  <si>
    <t xml:space="preserve">2024:04:30 09:19:52-05:00</t>
  </si>
  <si>
    <t xml:space="preserve">[0 - 433768], [450154 - 455241]</t>
  </si>
  <si>
    <t xml:space="preserve">Signature_784e6cc8-9d6a-45e7-8852-9bd0628db230</t>
  </si>
  <si>
    <t xml:space="preserve">2024-04-30 09:19:48-05:00</t>
  </si>
  <si>
    <t xml:space="preserve">2024:04:30 09:19:48-05:00</t>
  </si>
  <si>
    <t xml:space="preserve">[0 - 433206], [449592 - 454698]</t>
  </si>
  <si>
    <t xml:space="preserve">Signature_60912723-95d0-45c5-8ac6-7fbec8b536ea</t>
  </si>
  <si>
    <t xml:space="preserve">2024-04-30 09:19:34-05:00</t>
  </si>
  <si>
    <t xml:space="preserve">2024:04:30 09:19:34-05:00</t>
  </si>
  <si>
    <t xml:space="preserve">[0 - 866098], [882484 - 887461]</t>
  </si>
  <si>
    <t xml:space="preserve">Signature_feee711c-3bcb-472c-ab36-93b48774a039</t>
  </si>
  <si>
    <t xml:space="preserve">2024-04-30 09:19:29-05:00</t>
  </si>
  <si>
    <t xml:space="preserve">2024:04:30 09:19:29-05:00</t>
  </si>
  <si>
    <t xml:space="preserve">[0 - 846019], [862405 - 867382]</t>
  </si>
  <si>
    <t xml:space="preserve">Signature_e1246821-47c9-4b58-a5a2-bd862077a9c8</t>
  </si>
  <si>
    <t xml:space="preserve">2024-04-30 09:19:56-05:00</t>
  </si>
  <si>
    <t xml:space="preserve">2024:04:30 09:19:56-05:00</t>
  </si>
  <si>
    <t xml:space="preserve">[0 - 236318], [252704 - 257677]</t>
  </si>
  <si>
    <t xml:space="preserve">Signature_7a83deb7-ef24-422b-9c3d-4572db1d3c25</t>
  </si>
  <si>
    <t xml:space="preserve">2024-04-30 09:20:00-05:00</t>
  </si>
  <si>
    <t xml:space="preserve">2024:04:30 09:20:00-05:00</t>
  </si>
  <si>
    <t xml:space="preserve">[0 - 320349], [336735 - 342157]</t>
  </si>
  <si>
    <t xml:space="preserve">Signature_a529a2ad-8bd6-4450-a781-fcc523cbbbef</t>
  </si>
  <si>
    <t xml:space="preserve">2024-04-30 09:19:36-05:00</t>
  </si>
  <si>
    <t xml:space="preserve">2024:04:30 09:19:36-05:00</t>
  </si>
  <si>
    <t xml:space="preserve">[0 - 122016], [138402 - 143432]</t>
  </si>
  <si>
    <t xml:space="preserve">Signature_598cebd3-220e-4933-9f6e-70e78e803b23</t>
  </si>
  <si>
    <t xml:space="preserve">2024-04-30 09:19:27-05:00</t>
  </si>
  <si>
    <t xml:space="preserve">2024:04:30 09:19:27-05:00</t>
  </si>
  <si>
    <t xml:space="preserve">[0 - 194927], [211313 - 216847]</t>
  </si>
  <si>
    <t xml:space="preserve">Signature_19026e39-8e8c-472d-a1bc-7248c1e237cf</t>
  </si>
  <si>
    <t xml:space="preserve">2024-04-30 09:19:57-05:00</t>
  </si>
  <si>
    <t xml:space="preserve">2024:04:30 09:19:57-05:00</t>
  </si>
  <si>
    <t xml:space="preserve">[0 - 173085], [189471 - 194693]</t>
  </si>
  <si>
    <t xml:space="preserve">Signature_d134f54c-a538-41ea-ace8-41592e31a5f5</t>
  </si>
  <si>
    <t xml:space="preserve">2024-04-30 09:19:41-05:00</t>
  </si>
  <si>
    <t xml:space="preserve">2024:04:30 09:19:41-05:00</t>
  </si>
  <si>
    <t xml:space="preserve">[0 - 120415], [136801 - 141838]</t>
  </si>
  <si>
    <t xml:space="preserve">Signature_1eeb1c9b-05e1-4b41-9fac-169d91a9889c</t>
  </si>
  <si>
    <t xml:space="preserve">2024-04-30 09:19:43-05:00</t>
  </si>
  <si>
    <t xml:space="preserve">2024:04:30 09:19:43-05:00</t>
  </si>
  <si>
    <t xml:space="preserve">[0 - 68855], [85241 - 93728]</t>
  </si>
  <si>
    <t xml:space="preserve">Signature_e3088dce-183d-46ac-ae5b-713a18da7c57</t>
  </si>
  <si>
    <t xml:space="preserve">2024-04-30 09:19:38-05:00</t>
  </si>
  <si>
    <t xml:space="preserve">2024:04:30 09:19:38-05:00</t>
  </si>
  <si>
    <t xml:space="preserve">[0 - 287945], [304331 - 308851]</t>
  </si>
  <si>
    <t xml:space="preserve">Signature_dca54e89-1450-4166-82be-b7257b57942d</t>
  </si>
  <si>
    <t xml:space="preserve">2024-04-30 09:19:26-05:00</t>
  </si>
  <si>
    <t xml:space="preserve">2024:04:30 09:19:26-05:00</t>
  </si>
  <si>
    <t xml:space="preserve">[0 - 87223], [103609 - 112139]</t>
  </si>
  <si>
    <t xml:space="preserve">Signature_89debc62-42a9-49e9-92d8-2cd5c74dd8ca</t>
  </si>
  <si>
    <t xml:space="preserve">2024-04-30 09:20:03-05:00</t>
  </si>
  <si>
    <t xml:space="preserve">2024:04:30 09:20:04-05:00</t>
  </si>
  <si>
    <t xml:space="preserve">[0 - 255089], [271475 - 273485]</t>
  </si>
  <si>
    <t xml:space="preserve">Signature_20f11e30-8201-47b1-80e5-e5647af7af3a</t>
  </si>
  <si>
    <t xml:space="preserve">2024-04-30 09:12:44-05:00</t>
  </si>
  <si>
    <t xml:space="preserve">2024:04:30 09:12:44-05:00</t>
  </si>
  <si>
    <t xml:space="preserve">[0 - 70593], [86979 - 91713]</t>
  </si>
  <si>
    <t xml:space="preserve">Signature_f2c8dfcb-fd75-4b71-9544-a63926b2475a</t>
  </si>
  <si>
    <t xml:space="preserve">2024-04-30 09:12:40-05:00</t>
  </si>
  <si>
    <t xml:space="preserve">2024:04:30 09:12:40-05:00</t>
  </si>
  <si>
    <t xml:space="preserve">[0 - 286012], [302398 - 308465]</t>
  </si>
  <si>
    <t xml:space="preserve">Signature_ec7848a1-7f78-4eec-85ae-38384641027a</t>
  </si>
  <si>
    <t xml:space="preserve">2024-04-30 09:12:24-05:00</t>
  </si>
  <si>
    <t xml:space="preserve">2024:04:30 09:12:24-05:00</t>
  </si>
  <si>
    <t xml:space="preserve">[0 - 172000], [188386 - 193493]</t>
  </si>
  <si>
    <t xml:space="preserve">Signature_931a3f5f-7fd6-4265-a238-e141b8c3d425</t>
  </si>
  <si>
    <t xml:space="preserve">2024-04-30 09:12:52-05:00</t>
  </si>
  <si>
    <t xml:space="preserve">2024:04:30 09:12:52-05:00</t>
  </si>
  <si>
    <t xml:space="preserve">[0 - 523444], [539830 - 545644]</t>
  </si>
  <si>
    <t xml:space="preserve">Signature_56153aaf-b34f-4506-aef6-014b25b7e19a</t>
  </si>
  <si>
    <t xml:space="preserve">2024-04-30 09:12:53-05:00</t>
  </si>
  <si>
    <t xml:space="preserve">2024:04:30 09:12:53-05:00</t>
  </si>
  <si>
    <t xml:space="preserve">[0 - 464056], [480442 - 483555]</t>
  </si>
  <si>
    <t xml:space="preserve">Signature_96051ac6-5a52-4d63-b43c-8ec96d07379a</t>
  </si>
  <si>
    <t xml:space="preserve">2024-04-30 09:12:13-05:00</t>
  </si>
  <si>
    <t xml:space="preserve">2024:04:30 09:12:13-05:00</t>
  </si>
  <si>
    <t xml:space="preserve">[0 - 941967], [958353 - 963637]</t>
  </si>
  <si>
    <t xml:space="preserve">Signature_87428a74-6699-4f41-90a1-c187c210c02b</t>
  </si>
  <si>
    <t xml:space="preserve">2024-04-30 09:12:06-05:00</t>
  </si>
  <si>
    <t xml:space="preserve">2024:04:30 09:12:06-05:00</t>
  </si>
  <si>
    <t xml:space="preserve">[0 - 937744], [954130 - 959871]</t>
  </si>
  <si>
    <t xml:space="preserve">Signature_fb7047af-a4c4-4da2-ad25-fe3bf525eba9</t>
  </si>
  <si>
    <t xml:space="preserve">2024-04-30 09:12:48-05:00</t>
  </si>
  <si>
    <t xml:space="preserve">2024:04:30 09:12:48-05:00</t>
  </si>
  <si>
    <t xml:space="preserve">[0 - 255444], [271830 - 277274]</t>
  </si>
  <si>
    <t xml:space="preserve">Signature_c79e2ed4-da08-4427-86af-a0bdf347ea5f</t>
  </si>
  <si>
    <t xml:space="preserve">2024-04-30 09:12:45-05:00</t>
  </si>
  <si>
    <t xml:space="preserve">2024:04:30 09:12:45-05:00</t>
  </si>
  <si>
    <t xml:space="preserve">[0 - 280609], [296995 - 302468]</t>
  </si>
  <si>
    <t xml:space="preserve">Signature_163fbdf8-801a-482a-a0de-4ab435720596</t>
  </si>
  <si>
    <t xml:space="preserve">2024-04-30 09:12:30-05:00</t>
  </si>
  <si>
    <t xml:space="preserve">2024:04:30 09:12:30-05:00</t>
  </si>
  <si>
    <t xml:space="preserve">[0 - 122284], [138670 - 143450]</t>
  </si>
  <si>
    <t xml:space="preserve">Signature_5b3010e3-87d2-4ea7-832b-cec03dd4bc1c</t>
  </si>
  <si>
    <t xml:space="preserve">2024-04-30 09:12:42-05:00</t>
  </si>
  <si>
    <t xml:space="preserve">2024:04:30 09:12:42-05:00</t>
  </si>
  <si>
    <t xml:space="preserve">[0 - 498128], [514514 - 523082]</t>
  </si>
  <si>
    <t xml:space="preserve">Signature_6f69ce6b-c4af-4921-bb2b-ca618665f47d</t>
  </si>
  <si>
    <t xml:space="preserve">2024-04-30 09:12:41-05:00</t>
  </si>
  <si>
    <t xml:space="preserve">2024:04:30 09:12:41-05:00</t>
  </si>
  <si>
    <t xml:space="preserve">[0 - 261692], [278078 - 286646]</t>
  </si>
  <si>
    <t xml:space="preserve">Signature_03344f4c-5517-4fd6-9f6b-c7a5d85be4d1</t>
  </si>
  <si>
    <t xml:space="preserve">2024-04-30 09:12:36-05:00</t>
  </si>
  <si>
    <t xml:space="preserve">2024:04:30 09:12:36-05:00</t>
  </si>
  <si>
    <t xml:space="preserve">[0 - 76155], [92541 - 101108]</t>
  </si>
  <si>
    <t xml:space="preserve">Signature_65537375-fd83-4169-8147-0ca795332ff0</t>
  </si>
  <si>
    <t xml:space="preserve">2024-04-30 09:12:35-05:00</t>
  </si>
  <si>
    <t xml:space="preserve">2024:04:30 09:12:35-05:00</t>
  </si>
  <si>
    <t xml:space="preserve">[0 - 68681], [85067 - 89589]</t>
  </si>
  <si>
    <t xml:space="preserve">Signature_d6943329-2acf-4198-a32f-97237575f2ce</t>
  </si>
  <si>
    <t xml:space="preserve">2024-04-30 09:12:34-05:00</t>
  </si>
  <si>
    <t xml:space="preserve">2024:04:30 09:12:34-05:00</t>
  </si>
  <si>
    <t xml:space="preserve">[0 - 68863], [85249 - 89771]</t>
  </si>
  <si>
    <t xml:space="preserve">Signature_45072dd1-1052-4d34-bedc-1ac020e1afe2</t>
  </si>
  <si>
    <t xml:space="preserve">2024-04-30 09:12:32-05:00</t>
  </si>
  <si>
    <t xml:space="preserve">2024:04:30 09:12:32-05:00</t>
  </si>
  <si>
    <t xml:space="preserve">[0 - 71203], [87589 - 92110]</t>
  </si>
  <si>
    <t xml:space="preserve">Signature_52daeb69-6f66-4200-8673-cdc76edaa379</t>
  </si>
  <si>
    <t xml:space="preserve">2024-04-30 09:12:31-05:00</t>
  </si>
  <si>
    <t xml:space="preserve">2024:04:30 09:12:31-05:00</t>
  </si>
  <si>
    <t xml:space="preserve">[0 - 76072], [92458 - 96979]</t>
  </si>
  <si>
    <t xml:space="preserve">Signature_bd5a51ac-b9d4-4d2d-b722-d67b0ab1649c</t>
  </si>
  <si>
    <t xml:space="preserve">2024-04-30 09:12:28-05:00</t>
  </si>
  <si>
    <t xml:space="preserve">2024:04:30 09:12:28-05:00</t>
  </si>
  <si>
    <t xml:space="preserve">[0 - 77509], [93895 - 98416]</t>
  </si>
  <si>
    <t xml:space="preserve">Signature_58041d91-11f3-46d2-b105-1e1b87b6b916</t>
  </si>
  <si>
    <t xml:space="preserve">2024-04-30 09:12:21-05:00</t>
  </si>
  <si>
    <t xml:space="preserve">2024:04:30 09:12:21-05:00</t>
  </si>
  <si>
    <t xml:space="preserve">[0 - 169587], [185973 - 191503]</t>
  </si>
  <si>
    <t xml:space="preserve">Signature_157ef735-d7bb-4c9a-b881-04fc1f10d109</t>
  </si>
  <si>
    <t xml:space="preserve">[0 - 170005], [186391 - 191924]</t>
  </si>
  <si>
    <t xml:space="preserve">Signature_5f937127-2d25-4cef-8c67-da78b815658c</t>
  </si>
  <si>
    <t xml:space="preserve">2024-04-30 09:12:18-05:00</t>
  </si>
  <si>
    <t xml:space="preserve">2024:04:30 09:12:18-05:00</t>
  </si>
  <si>
    <t xml:space="preserve">[0 - 169730], [186116 - 191651]</t>
  </si>
  <si>
    <t xml:space="preserve">Signature_c0976da2-86af-4dc4-92c8-a684ab995074</t>
  </si>
  <si>
    <t xml:space="preserve">2024-04-30 09:12:47-05:00</t>
  </si>
  <si>
    <t xml:space="preserve">2024:04:30 09:12:47-05:00</t>
  </si>
  <si>
    <t xml:space="preserve">[0 - 217469], [233855 - 238944]</t>
  </si>
  <si>
    <t xml:space="preserve">Signature_dbc60d37-4b6c-486b-8a0c-b548e960b83a</t>
  </si>
  <si>
    <t xml:space="preserve">2024-04-30 09:12:27-05:00</t>
  </si>
  <si>
    <t xml:space="preserve">2024:04:30 09:12:27-05:00</t>
  </si>
  <si>
    <t xml:space="preserve">[0 - 289938], [306324 - 311904]</t>
  </si>
  <si>
    <t xml:space="preserve">Signature_774f8068-7949-4306-bf98-71485a780fa7</t>
  </si>
  <si>
    <t xml:space="preserve">2024-04-30 09:12:26-05:00</t>
  </si>
  <si>
    <t xml:space="preserve">2024:04:30 09:12:26-05:00</t>
  </si>
  <si>
    <t xml:space="preserve">Signature_5ecfadf6-f680-4b6c-945b-c5d1c3b1eae5</t>
  </si>
  <si>
    <t xml:space="preserve">2024-04-30 09:12:16-05:00</t>
  </si>
  <si>
    <t xml:space="preserve">2024:04:30 09:12:16-05:00</t>
  </si>
  <si>
    <t xml:space="preserve">[0 - 827042], [843428 - 848939]</t>
  </si>
  <si>
    <t xml:space="preserve">Signature_429d6937-89d7-43ac-b930-5d898b6c6c00</t>
  </si>
  <si>
    <t xml:space="preserve">2024-04-30 09:12:14-05:00</t>
  </si>
  <si>
    <t xml:space="preserve">2024:04:30 09:12:14-05:00</t>
  </si>
  <si>
    <t xml:space="preserve">Signature_42a10f11-d34e-4a55-ab44-1690f3d9161d</t>
  </si>
  <si>
    <t xml:space="preserve">2024-04-30 09:12:12-05:00</t>
  </si>
  <si>
    <t xml:space="preserve">2024:04:30 09:12:12-05:00</t>
  </si>
  <si>
    <t xml:space="preserve">Signature_843fa41c-a7f3-44ee-9f35-9e3970330880</t>
  </si>
  <si>
    <t xml:space="preserve">2024-04-30 09:12:10-05:00</t>
  </si>
  <si>
    <t xml:space="preserve">2024:04:30 09:12:10-05:00</t>
  </si>
  <si>
    <t xml:space="preserve">[0 - 248833], [265219 - 269828]</t>
  </si>
  <si>
    <t xml:space="preserve">Signature_82042670-cc92-402b-86d3-dc2e2c7a14c8</t>
  </si>
  <si>
    <t xml:space="preserve">[0 - 233788], [250174 - 254783]</t>
  </si>
  <si>
    <t xml:space="preserve">Signature_54296717-4f51-47d5-9794-b024d17a6788</t>
  </si>
  <si>
    <t xml:space="preserve">2024-04-30 09:12:50-05:00</t>
  </si>
  <si>
    <t xml:space="preserve">2024:04:30 09:12:50-05:00</t>
  </si>
  <si>
    <t xml:space="preserve">[0 - 136948], [153334 - 161392]</t>
  </si>
  <si>
    <t xml:space="preserve">Signature_d1ce04e3-4678-4544-9408-ffe9b28c50fd</t>
  </si>
  <si>
    <t xml:space="preserve">2024-04-30 09:12:49-05:00</t>
  </si>
  <si>
    <t xml:space="preserve">2024:04:30 09:12:49-05:00</t>
  </si>
  <si>
    <t xml:space="preserve">[0 - 141549], [157935 - 162701]</t>
  </si>
  <si>
    <t xml:space="preserve">Signature_9019b5dc-f455-4d29-b879-d8684f79e7b4</t>
  </si>
  <si>
    <t xml:space="preserve">2024-04-30 09:12:33-05:00</t>
  </si>
  <si>
    <t xml:space="preserve">2024:04:30 09:12:33-05:00</t>
  </si>
  <si>
    <t xml:space="preserve">[0 - 433770], [450156 - 455242]</t>
  </si>
  <si>
    <t xml:space="preserve">Signature_b3cd8590-1aa1-4f9d-b8c8-bf4751e2b7c8</t>
  </si>
  <si>
    <t xml:space="preserve">2024-04-30 09:12:29-05:00</t>
  </si>
  <si>
    <t xml:space="preserve">2024:04:30 09:12:29-05:00</t>
  </si>
  <si>
    <t xml:space="preserve">[0 - 433194], [449580 - 454687]</t>
  </si>
  <si>
    <t xml:space="preserve">Signature_86e16f14-c3af-44ad-8b05-d8d1f6881078</t>
  </si>
  <si>
    <t xml:space="preserve">2024-04-30 09:12:15-05:00</t>
  </si>
  <si>
    <t xml:space="preserve">2024:04:30 09:12:15-05:00</t>
  </si>
  <si>
    <t xml:space="preserve">[0 - 866097], [882483 - 887460]</t>
  </si>
  <si>
    <t xml:space="preserve">Signature_774668fc-d8dc-4d10-952f-069f3db0c3a0</t>
  </si>
  <si>
    <t xml:space="preserve">2024-04-30 09:12:11-05:00</t>
  </si>
  <si>
    <t xml:space="preserve">2024:04:30 09:12:11-05:00</t>
  </si>
  <si>
    <t xml:space="preserve">[0 - 846022], [862408 - 867385]</t>
  </si>
  <si>
    <t xml:space="preserve">Signature_90bafb64-971c-40ef-99f3-25114527b872</t>
  </si>
  <si>
    <t xml:space="preserve">2024-04-30 09:12:37-05:00</t>
  </si>
  <si>
    <t xml:space="preserve">2024:04:30 09:12:37-05:00</t>
  </si>
  <si>
    <t xml:space="preserve">[0 - 236305], [252691 - 257665]</t>
  </si>
  <si>
    <t xml:space="preserve">Signature_1466b190-6b55-4a9a-84a7-aadba3fe568e</t>
  </si>
  <si>
    <t xml:space="preserve">2024-04-30 09:12:43-05:00</t>
  </si>
  <si>
    <t xml:space="preserve">2024:04:30 09:12:43-05:00</t>
  </si>
  <si>
    <t xml:space="preserve">[0 - 320017], [336403 - 341827]</t>
  </si>
  <si>
    <t xml:space="preserve">Signature_4de9a9a9-4477-4018-924c-a2db4e04ab9d</t>
  </si>
  <si>
    <t xml:space="preserve">2024-04-30 09:12:17-05:00</t>
  </si>
  <si>
    <t xml:space="preserve">2024:04:30 09:12:17-05:00</t>
  </si>
  <si>
    <t xml:space="preserve">[0 - 122015], [138401 - 143429]</t>
  </si>
  <si>
    <t xml:space="preserve">Signature_876f9154-cc2f-4818-8bf6-24ebdad916eb</t>
  </si>
  <si>
    <t xml:space="preserve">2024-04-30 09:12:46-05:00</t>
  </si>
  <si>
    <t xml:space="preserve">2024:04:30 09:12:46-05:00</t>
  </si>
  <si>
    <t xml:space="preserve">[0 - 68297], [84683 - 89438]</t>
  </si>
  <si>
    <t xml:space="preserve">Signature_31932c82-981e-4277-9ce2-b1814551d565</t>
  </si>
  <si>
    <t xml:space="preserve">2024-04-30 09:12:09-05:00</t>
  </si>
  <si>
    <t xml:space="preserve">2024:04:30 09:12:09-05:00</t>
  </si>
  <si>
    <t xml:space="preserve">[0 - 195345], [211731 - 217264]</t>
  </si>
  <si>
    <t xml:space="preserve">Signature_a507c1b3-507f-4ea5-bd80-71297749149c</t>
  </si>
  <si>
    <t xml:space="preserve">2024-04-30 09:12:39-05:00</t>
  </si>
  <si>
    <t xml:space="preserve">2024:04:30 09:12:39-05:00</t>
  </si>
  <si>
    <t xml:space="preserve">[0 - 173079], [189465 - 194687]</t>
  </si>
  <si>
    <t xml:space="preserve">Signature_b94b37d5-7e10-4c3c-aa52-e23855807322</t>
  </si>
  <si>
    <t xml:space="preserve">2024-04-30 09:12:22-05:00</t>
  </si>
  <si>
    <t xml:space="preserve">2024:04:30 09:12:22-05:00</t>
  </si>
  <si>
    <t xml:space="preserve">[0 - 120410], [136796 - 141834]</t>
  </si>
  <si>
    <t xml:space="preserve">Signature_7461f262-21e3-40e4-8c5b-be18731a3df8</t>
  </si>
  <si>
    <t xml:space="preserve">2024-04-30 09:12:25-05:00</t>
  </si>
  <si>
    <t xml:space="preserve">2024:04:30 09:12:25-05:00</t>
  </si>
  <si>
    <t xml:space="preserve">[0 - 68963], [85349 - 93836]</t>
  </si>
  <si>
    <t xml:space="preserve">Signature_2e74085f-20a2-4fb2-b612-c6f5766992cf</t>
  </si>
  <si>
    <t xml:space="preserve">2024-04-30 09:12:19-05:00</t>
  </si>
  <si>
    <t xml:space="preserve">2024:04:30 09:12:19-05:00</t>
  </si>
  <si>
    <t xml:space="preserve">Signature_369594fa-64e8-43fb-a69c-2f8bb5171c29</t>
  </si>
  <si>
    <t xml:space="preserve">2024-04-30 09:12:08-05:00</t>
  </si>
  <si>
    <t xml:space="preserve">2024:04:30 09:12:08-05:00</t>
  </si>
  <si>
    <t xml:space="preserve">[0 - 88024], [104410 - 112940]</t>
  </si>
  <si>
    <t xml:space="preserve">Signature_ff173618-5e7e-40d0-adaa-1467387860a8</t>
  </si>
  <si>
    <t xml:space="preserve">2024-04-30 09:20:40-05:00</t>
  </si>
  <si>
    <t xml:space="preserve">2024:04:30 09:20:40-05:00</t>
  </si>
  <si>
    <t xml:space="preserve">[0 - 189493], [205879 - 211260]</t>
  </si>
  <si>
    <t xml:space="preserve">Signature_e9984fda-b748-408c-9bc8-8a186e6a0ec4</t>
  </si>
  <si>
    <t xml:space="preserve">2024-04-30 09:21:08-05:00</t>
  </si>
  <si>
    <t xml:space="preserve">2024:04:30 09:21:08-05:00</t>
  </si>
  <si>
    <t xml:space="preserve">[0 - 773381], [789767 - 796034]</t>
  </si>
  <si>
    <t xml:space="preserve">469 0 obj</t>
  </si>
  <si>
    <t xml:space="preserve">Signature_87033c26-a5ff-4b06-bfb4-fe67b92b0886</t>
  </si>
  <si>
    <t xml:space="preserve">2024-04-30 09:21:13-05:00</t>
  </si>
  <si>
    <t xml:space="preserve">2024:04:30 09:21:13-05:00</t>
  </si>
  <si>
    <t xml:space="preserve">[0 - 458075], [474461 - 477198]</t>
  </si>
  <si>
    <t xml:space="preserve">Signature_cd95e899-dcd1-4f15-9c4f-ae6939d0db6b</t>
  </si>
  <si>
    <t xml:space="preserve">2024-04-30 09:20:30-05:00</t>
  </si>
  <si>
    <t xml:space="preserve">2024:04:30 09:20:30-05:00</t>
  </si>
  <si>
    <t xml:space="preserve">[0 - 810968], [827354 - 832562]</t>
  </si>
  <si>
    <t xml:space="preserve">Signature_0bd1c4f9-ebbd-4855-9daf-4d19cbd44e02</t>
  </si>
  <si>
    <t xml:space="preserve">2024-04-30 09:20:45-05:00</t>
  </si>
  <si>
    <t xml:space="preserve">2024:04:30 09:20:45-05:00</t>
  </si>
  <si>
    <t xml:space="preserve">[0 - 319006], [335392 - 340927]</t>
  </si>
  <si>
    <t xml:space="preserve">Signature_2987c387-36e1-4cbf-b2f5-26678cb35419</t>
  </si>
  <si>
    <t xml:space="preserve">2024-04-30 09:21:05-05:00</t>
  </si>
  <si>
    <t xml:space="preserve">2024:04:30 09:21:05-05:00</t>
  </si>
  <si>
    <t xml:space="preserve">[0 - 279210], [295596 - 301071]</t>
  </si>
  <si>
    <t xml:space="preserve">Signature_ff74392c-86c0-4d5c-91d7-0edf47867d59</t>
  </si>
  <si>
    <t xml:space="preserve">2024-04-30 09:21:04-05:00</t>
  </si>
  <si>
    <t xml:space="preserve">2024:04:30 09:21:04-05:00</t>
  </si>
  <si>
    <t xml:space="preserve">[0 - 222486], [238872 - 243186]</t>
  </si>
  <si>
    <t xml:space="preserve">Signature_3d165c31-e465-43f1-85df-40443f356307</t>
  </si>
  <si>
    <t xml:space="preserve">2024-04-30 09:20:54-05:00</t>
  </si>
  <si>
    <t xml:space="preserve">2024:04:30 09:20:54-05:00</t>
  </si>
  <si>
    <t xml:space="preserve">[0 - 111436], [127822 - 132275]</t>
  </si>
  <si>
    <t xml:space="preserve">Signature_bd4c0144-ed23-4bc8-a06c-a2626be273e9</t>
  </si>
  <si>
    <t xml:space="preserve">2024-04-30 09:20:51-05:00</t>
  </si>
  <si>
    <t xml:space="preserve">2024:04:30 09:20:51-05:00</t>
  </si>
  <si>
    <t xml:space="preserve">[0 - 111542], [127928 - 133595]</t>
  </si>
  <si>
    <t xml:space="preserve">Signature_3bc82550-116b-48be-9f31-88ef4bde4aff</t>
  </si>
  <si>
    <t xml:space="preserve">2024-04-30 09:20:44-05:00</t>
  </si>
  <si>
    <t xml:space="preserve">2024:04:30 09:20:44-05:00</t>
  </si>
  <si>
    <t xml:space="preserve">[0 - 795243], [811629 - 816220]</t>
  </si>
  <si>
    <t xml:space="preserve">Signature_ae6c9f39-f980-419c-b511-bb358ad42dd0</t>
  </si>
  <si>
    <t xml:space="preserve">2024-04-30 09:20:52-05:00</t>
  </si>
  <si>
    <t xml:space="preserve">2024:04:30 09:20:52-05:00</t>
  </si>
  <si>
    <t xml:space="preserve">[0 - 70160], [86546 - 95033]</t>
  </si>
  <si>
    <t xml:space="preserve">Signature_3b7e3e62-8159-4215-a43f-933f3217bec2</t>
  </si>
  <si>
    <t xml:space="preserve">2024-04-30 09:20:42-05:00</t>
  </si>
  <si>
    <t xml:space="preserve">2024:04:30 09:20:42-05:00</t>
  </si>
  <si>
    <t xml:space="preserve">[0 - 72493], [88879 - 97366]</t>
  </si>
  <si>
    <t xml:space="preserve">Signature_4453bc19-1d65-4400-9789-3ee8083f9c1c</t>
  </si>
  <si>
    <t xml:space="preserve">2024-04-30 09:20:35-05:00</t>
  </si>
  <si>
    <t xml:space="preserve">2024:04:30 09:20:35-05:00</t>
  </si>
  <si>
    <t xml:space="preserve">[0 - 286170], [302556 - 311043]</t>
  </si>
  <si>
    <t xml:space="preserve">Signature_3c1fd921-2ca2-464c-a880-18930e533639</t>
  </si>
  <si>
    <t xml:space="preserve">2024-04-30 09:20:32-05:00</t>
  </si>
  <si>
    <t xml:space="preserve">2024:04:30 09:20:32-05:00</t>
  </si>
  <si>
    <t xml:space="preserve">[0 - 269886], [286272 - 294759]</t>
  </si>
  <si>
    <t xml:space="preserve">Signature_b2dbad07-ac34-4f12-8d96-d9b3330e9b25</t>
  </si>
  <si>
    <t xml:space="preserve">2024-04-30 09:21:09-05:00</t>
  </si>
  <si>
    <t xml:space="preserve">2024:04:30 09:21:09-05:00</t>
  </si>
  <si>
    <t xml:space="preserve">[0 - 87034], [103420 - 111979]</t>
  </si>
  <si>
    <t xml:space="preserve">Signature_78d84cbb-e8d6-4683-bebd-f622c703ef93</t>
  </si>
  <si>
    <t xml:space="preserve">2024-04-30 09:21:10-05:00</t>
  </si>
  <si>
    <t xml:space="preserve">2024:04:30 09:21:10-05:00</t>
  </si>
  <si>
    <t xml:space="preserve">[0 - 87451], [103837 - 112396]</t>
  </si>
  <si>
    <t xml:space="preserve">Signature_54be88c8-7940-4dae-a151-3cf472ef495a</t>
  </si>
  <si>
    <t xml:space="preserve">2024-04-30 09:20:57-05:00</t>
  </si>
  <si>
    <t xml:space="preserve">2024:04:30 09:20:57-05:00</t>
  </si>
  <si>
    <t xml:space="preserve">[0 - 85884], [102270 - 106743]</t>
  </si>
  <si>
    <t xml:space="preserve">Signature_d8b110eb-e5e4-49b9-ae07-1ee48ba7d561</t>
  </si>
  <si>
    <t xml:space="preserve">2024-04-30 09:20:53-05:00</t>
  </si>
  <si>
    <t xml:space="preserve">2024:04:30 09:20:53-05:00</t>
  </si>
  <si>
    <t xml:space="preserve">Signature_4f6e45c2-7405-4f99-8a41-b846c68737d4</t>
  </si>
  <si>
    <t xml:space="preserve">2024-04-30 09:20:28-05:00</t>
  </si>
  <si>
    <t xml:space="preserve">2024:04:30 09:20:28-05:00</t>
  </si>
  <si>
    <t xml:space="preserve">[0 - 234847], [251233 - 255845]</t>
  </si>
  <si>
    <t xml:space="preserve">Signature_4163b145-1b86-4543-82b4-2a252f60070a</t>
  </si>
  <si>
    <t xml:space="preserve">2024-04-30 09:20:49-05:00</t>
  </si>
  <si>
    <t xml:space="preserve">2024:04:30 09:20:49-05:00</t>
  </si>
  <si>
    <t xml:space="preserve">[0 - 165273], [181659 - 187185]</t>
  </si>
  <si>
    <t xml:space="preserve">Signature_c1f1c4af-21fb-4030-94d1-669961a24a99</t>
  </si>
  <si>
    <t xml:space="preserve">2024-04-30 09:20:34-05:00</t>
  </si>
  <si>
    <t xml:space="preserve">2024:04:30 09:20:34-05:00</t>
  </si>
  <si>
    <t xml:space="preserve">[0 - 822699], [839085 - 844620]</t>
  </si>
  <si>
    <t xml:space="preserve">Signature_f8b0f143-7331-4b04-86af-3ea7a5729c2d</t>
  </si>
  <si>
    <t xml:space="preserve">2024-04-30 09:20:31-05:00</t>
  </si>
  <si>
    <t xml:space="preserve">2024:04:30 09:20:31-05:00</t>
  </si>
  <si>
    <t xml:space="preserve">[0 - 234666], [251052 - 255663]</t>
  </si>
  <si>
    <t xml:space="preserve">Signature_ef6328f1-3075-4411-94e3-d5ea47d10d14</t>
  </si>
  <si>
    <t xml:space="preserve">2024-04-30 09:20:29-05:00</t>
  </si>
  <si>
    <t xml:space="preserve">2024:04:30 09:20:29-05:00</t>
  </si>
  <si>
    <t xml:space="preserve">[0 - 234641], [251027 - 255638]</t>
  </si>
  <si>
    <t xml:space="preserve">Signature_54736ba8-b1e4-4b61-987b-9921c5edc249</t>
  </si>
  <si>
    <t xml:space="preserve">2024-04-30 09:21:12-05:00</t>
  </si>
  <si>
    <t xml:space="preserve">2024:04:30 09:21:12-05:00</t>
  </si>
  <si>
    <t xml:space="preserve">[0 - 150240], [166626 - 175242]</t>
  </si>
  <si>
    <t xml:space="preserve">Signature_3228e8ac-a3fa-4979-8647-fefd8bafa2e6</t>
  </si>
  <si>
    <t xml:space="preserve">2024-04-30 09:21:07-05:00</t>
  </si>
  <si>
    <t xml:space="preserve">2024:04:30 09:21:07-05:00</t>
  </si>
  <si>
    <t xml:space="preserve">[0 - 844138], [860524 - 869140]</t>
  </si>
  <si>
    <t xml:space="preserve">Signature_e76eb992-2b77-4e22-9fd8-2b76b399c4c4</t>
  </si>
  <si>
    <t xml:space="preserve">2024-04-30 09:20:58-05:00</t>
  </si>
  <si>
    <t xml:space="preserve">2024:04:30 09:20:58-05:00</t>
  </si>
  <si>
    <t xml:space="preserve">[0 - 460795], [477181 - 482266]</t>
  </si>
  <si>
    <t xml:space="preserve">Signature_aee22967-fee4-428d-a526-ee290fbe7e22</t>
  </si>
  <si>
    <t xml:space="preserve">2024-04-30 09:20:47-05:00</t>
  </si>
  <si>
    <t xml:space="preserve">2024:04:30 09:20:47-05:00</t>
  </si>
  <si>
    <t xml:space="preserve">[0 - 489319], [505705 - 511109]</t>
  </si>
  <si>
    <t xml:space="preserve">Signature_004593b8-af12-4550-9109-47e44d0da803</t>
  </si>
  <si>
    <t xml:space="preserve">2024-04-30 09:20:41-05:00</t>
  </si>
  <si>
    <t xml:space="preserve">2024:04:30 09:20:41-05:00</t>
  </si>
  <si>
    <t xml:space="preserve">Signature_1c778bed-43a5-4d97-bb4e-81abf4235483</t>
  </si>
  <si>
    <t xml:space="preserve">2024-04-30 09:20:38-05:00</t>
  </si>
  <si>
    <t xml:space="preserve">2024:04:30 09:20:38-05:00</t>
  </si>
  <si>
    <t xml:space="preserve">[0 - 802147], [818533 - 823503]</t>
  </si>
  <si>
    <t xml:space="preserve">Signature_9f1f46c2-9e46-4b6e-ab43-af98fbc58beb</t>
  </si>
  <si>
    <t xml:space="preserve">2024-04-30 09:20:37-05:00</t>
  </si>
  <si>
    <t xml:space="preserve">2024:04:30 09:20:37-05:00</t>
  </si>
  <si>
    <t xml:space="preserve">[0 - 891707], [908093 - 913098]</t>
  </si>
  <si>
    <t xml:space="preserve">Signature_ee51fe07-fd25-4b81-b756-ae6de93ed243</t>
  </si>
  <si>
    <t xml:space="preserve">2024-04-30 09:20:33-05:00</t>
  </si>
  <si>
    <t xml:space="preserve">2024:04:30 09:20:33-05:00</t>
  </si>
  <si>
    <t xml:space="preserve">[0 - 740688], [757074 - 761665]</t>
  </si>
  <si>
    <t xml:space="preserve">Signature_94e11300-309b-4e45-a12e-9720f072346f</t>
  </si>
  <si>
    <t xml:space="preserve">2024-04-30 09:21:03-05:00</t>
  </si>
  <si>
    <t xml:space="preserve">2024:04:30 09:21:03-05:00</t>
  </si>
  <si>
    <t xml:space="preserve">Signature_696095bd-f460-4b14-a610-356b66e34b8d</t>
  </si>
  <si>
    <t xml:space="preserve">2024-04-30 09:21:02-05:00</t>
  </si>
  <si>
    <t xml:space="preserve">2024:04:30 09:21:02-05:00</t>
  </si>
  <si>
    <t xml:space="preserve">Signature_4be54484-85e0-41a0-8bbe-5449a44ea229</t>
  </si>
  <si>
    <t xml:space="preserve">2024-04-30 09:21:01-05:00</t>
  </si>
  <si>
    <t xml:space="preserve">2024:04:30 09:21:01-05:00</t>
  </si>
  <si>
    <t xml:space="preserve">Signature_5b18f9c8-f59f-415b-9bd0-3641015f3a8a</t>
  </si>
  <si>
    <t xml:space="preserve">2024-04-30 09:20:48-05:00</t>
  </si>
  <si>
    <t xml:space="preserve">2024:04:30 09:20:48-05:00</t>
  </si>
  <si>
    <t xml:space="preserve">[0 - 133969], [150355 - 158888]</t>
  </si>
  <si>
    <t xml:space="preserve">Signature_478bee3e-5244-48ea-b6a5-367931c7b1b1</t>
  </si>
  <si>
    <t xml:space="preserve">2024-04-30 09:20:46-05:00</t>
  </si>
  <si>
    <t xml:space="preserve">2024:04:30 09:20:46-05:00</t>
  </si>
  <si>
    <t xml:space="preserve">[0 - 1145960], [1162346 - 1167053]</t>
  </si>
  <si>
    <t xml:space="preserve">Signature_bac3d115-7259-4685-b006-457af9151f00</t>
  </si>
  <si>
    <t xml:space="preserve">2024-04-30 09:20:43-05:00</t>
  </si>
  <si>
    <t xml:space="preserve">2024:04:30 09:20:43-05:00</t>
  </si>
  <si>
    <t xml:space="preserve">[0 - 172506], [188892 - 194379]</t>
  </si>
  <si>
    <t xml:space="preserve">Signature_08634ed2-4523-44bc-9b51-410954015ebd</t>
  </si>
  <si>
    <t xml:space="preserve">2024-04-30 09:21:00-05:00</t>
  </si>
  <si>
    <t xml:space="preserve">2024:04:30 09:21:00-05:00</t>
  </si>
  <si>
    <t xml:space="preserve">Signature_65e20362-8447-4040-ba79-30ad551e37f0</t>
  </si>
  <si>
    <t xml:space="preserve">2024-04-30 09:21:06-05:00</t>
  </si>
  <si>
    <t xml:space="preserve">2024:04:30 09:21:06-05:00</t>
  </si>
  <si>
    <t xml:space="preserve">[0 - 68103], [84489 - 89244]</t>
  </si>
  <si>
    <t xml:space="preserve">Signature_36d36f8a-b81d-4a18-ae7e-b98e9ef44324</t>
  </si>
  <si>
    <t xml:space="preserve">2024-04-30 09:20:56-05:00</t>
  </si>
  <si>
    <t xml:space="preserve">2024:04:30 09:20:56-05:00</t>
  </si>
  <si>
    <t xml:space="preserve">Signature_76df2bbc-a711-4c7e-9691-295df470c04b</t>
  </si>
  <si>
    <t xml:space="preserve">[0 - 156973], [173359 - 178720]</t>
  </si>
  <si>
    <t xml:space="preserve">Signature_cd4feb7e-f684-441d-a3cf-516f95ed25ac</t>
  </si>
  <si>
    <t xml:space="preserve">2024-04-30 09:20:27-05:00</t>
  </si>
  <si>
    <t xml:space="preserve">2024:04:30 09:20:27-05:00</t>
  </si>
  <si>
    <t xml:space="preserve">[0 - 63392], [79778 - 88263]</t>
  </si>
  <si>
    <t xml:space="preserve">Signature_f167ec0d-0218-469a-abb4-e5380ac11e15</t>
  </si>
  <si>
    <t xml:space="preserve">2024-04-30 09:20:59-05:00</t>
  </si>
  <si>
    <t xml:space="preserve">2024:04:30 09:20:59-05:00</t>
  </si>
  <si>
    <t xml:space="preserve">[0 - 119118], [135504 - 140863]</t>
  </si>
  <si>
    <t xml:space="preserve">Signature_e4a4f607-4cd6-4790-9228-bea8a8bd5f1f</t>
  </si>
  <si>
    <t xml:space="preserve">2024-04-30 09:20:50-05:00</t>
  </si>
  <si>
    <t xml:space="preserve">2024:04:30 09:20:50-05:00</t>
  </si>
  <si>
    <t xml:space="preserve">[0 - 120453], [136839 - 142206]</t>
  </si>
  <si>
    <t xml:space="preserve">Signature_f6db25a6-cf00-4f51-8630-013e2edb8381</t>
  </si>
  <si>
    <t xml:space="preserve">2024-04-30 09:22:19-05:00</t>
  </si>
  <si>
    <t xml:space="preserve">2024:04:30 09:22:19-05:00</t>
  </si>
  <si>
    <t xml:space="preserve">[0 - 1207256], [1223642 - 1232301]</t>
  </si>
  <si>
    <t xml:space="preserve">Signature_923c5989-c337-4d11-9327-b5feb2b22966</t>
  </si>
  <si>
    <t xml:space="preserve">2024-04-30 09:21:56-05:00</t>
  </si>
  <si>
    <t xml:space="preserve">2024:04:30 09:21:56-05:00</t>
  </si>
  <si>
    <t xml:space="preserve">[0 - 83353], [99739 - 104262]</t>
  </si>
  <si>
    <t xml:space="preserve">Signature_6cc3bb10-9b91-44cd-a762-05b7fcaaa256</t>
  </si>
  <si>
    <t xml:space="preserve">2024-04-30 09:21:53-05:00</t>
  </si>
  <si>
    <t xml:space="preserve">2024:04:30 09:21:53-05:00</t>
  </si>
  <si>
    <t xml:space="preserve">[0 - 102790], [119176 - 127663]</t>
  </si>
  <si>
    <t xml:space="preserve">Signature_e5090a95-2078-4378-a3ce-3adef8eb7615</t>
  </si>
  <si>
    <t xml:space="preserve">2024-04-30 09:21:54-05:00</t>
  </si>
  <si>
    <t xml:space="preserve">2024:04:30 09:21:54-05:00</t>
  </si>
  <si>
    <t xml:space="preserve">[0 - 165502], [181888 - 190419]</t>
  </si>
  <si>
    <t xml:space="preserve">Signature_8488ff25-15e7-466c-9460-10baae99bb28</t>
  </si>
  <si>
    <t xml:space="preserve">2024-04-30 09:21:57-05:00</t>
  </si>
  <si>
    <t xml:space="preserve">2024:04:30 09:21:57-05:00</t>
  </si>
  <si>
    <t xml:space="preserve">[0 - 501770], [518156 - 522462]</t>
  </si>
  <si>
    <t xml:space="preserve">Signature_1c287e68-fcc3-40e6-91fa-4bd03ac1c38c</t>
  </si>
  <si>
    <t xml:space="preserve">2024-04-30 09:21:38-05:00</t>
  </si>
  <si>
    <t xml:space="preserve">2024:04:30 09:21:38-05:00</t>
  </si>
  <si>
    <t xml:space="preserve">[0 - 95362], [111748 - 120234]</t>
  </si>
  <si>
    <t xml:space="preserve">Signature_66d7f701-9d19-4a00-9fa3-68b84f784821</t>
  </si>
  <si>
    <t xml:space="preserve">2024-04-30 09:21:39-05:00</t>
  </si>
  <si>
    <t xml:space="preserve">2024:04:30 09:21:39-05:00</t>
  </si>
  <si>
    <t xml:space="preserve">[0 - 101710], [118096 - 126583]</t>
  </si>
  <si>
    <t xml:space="preserve">Signature_43dd0031-3ec2-4c04-a6de-b60975aecdb9</t>
  </si>
  <si>
    <t xml:space="preserve">2024-04-30 09:21:43-05:00</t>
  </si>
  <si>
    <t xml:space="preserve">2024:04:30 09:21:43-05:00</t>
  </si>
  <si>
    <t xml:space="preserve">[0 - 894256], [910642 - 914948]</t>
  </si>
  <si>
    <t xml:space="preserve">Signature_72d752a6-701c-454f-9ee4-093f687f82ff</t>
  </si>
  <si>
    <t xml:space="preserve">2024-04-30 09:21:35-05:00</t>
  </si>
  <si>
    <t xml:space="preserve">2024:04:30 09:21:35-05:00</t>
  </si>
  <si>
    <t xml:space="preserve">[0 - 733250], [749636 - 755005]</t>
  </si>
  <si>
    <t xml:space="preserve">309 0 obj</t>
  </si>
  <si>
    <t xml:space="preserve">Signature_71d51af0-7477-4f7d-ad6c-bc565b2f799a</t>
  </si>
  <si>
    <t xml:space="preserve">2024-04-30 09:21:34-05:00</t>
  </si>
  <si>
    <t xml:space="preserve">2024:04:30 09:21:34-05:00</t>
  </si>
  <si>
    <t xml:space="preserve">[0 - 377109], [393495 - 401982]</t>
  </si>
  <si>
    <t xml:space="preserve">Signature_a6642726-6e4a-4c95-8adb-a9ddbe80c9a7</t>
  </si>
  <si>
    <t xml:space="preserve">2024-04-30 09:22:24-05:00</t>
  </si>
  <si>
    <t xml:space="preserve">2024:04:30 09:22:25-05:00</t>
  </si>
  <si>
    <t xml:space="preserve">[0 - 513166], [529552 - 532806]</t>
  </si>
  <si>
    <t xml:space="preserve">462 0 obj</t>
  </si>
  <si>
    <t xml:space="preserve">Signature_19f5139a-c4da-4ed3-b786-ecc8e47460ac</t>
  </si>
  <si>
    <t xml:space="preserve">2024-04-30 09:22:21-05:00</t>
  </si>
  <si>
    <t xml:space="preserve">2024:04:30 09:22:21-05:00</t>
  </si>
  <si>
    <t xml:space="preserve">[0 - 84086], [100472 - 109039]</t>
  </si>
  <si>
    <t xml:space="preserve">Signature_0dd424c5-07a3-41d6-a8c0-b9a545058552</t>
  </si>
  <si>
    <t xml:space="preserve">2024-04-30 09:21:41-05:00</t>
  </si>
  <si>
    <t xml:space="preserve">2024:04:30 09:21:41-05:00</t>
  </si>
  <si>
    <t xml:space="preserve">[0 - 192437], [208823 - 214563]</t>
  </si>
  <si>
    <t xml:space="preserve">151 0 obj</t>
  </si>
  <si>
    <t xml:space="preserve">Signature_4b18eadf-795d-4edd-a809-90d5f11610f0</t>
  </si>
  <si>
    <t xml:space="preserve">2024-04-30 09:22:20-05:00</t>
  </si>
  <si>
    <t xml:space="preserve">2024:04:30 09:22:20-05:00</t>
  </si>
  <si>
    <t xml:space="preserve">[0 - 356377], [372763 - 381331]</t>
  </si>
  <si>
    <t xml:space="preserve">Signature_f7b14dec-cd0e-41de-abeb-cfadd8b9e961</t>
  </si>
  <si>
    <t xml:space="preserve">2024-04-30 09:22:17-05:00</t>
  </si>
  <si>
    <t xml:space="preserve">2024:04:30 09:22:17-05:00</t>
  </si>
  <si>
    <t xml:space="preserve">[0 - 72407], [88793 - 97359]</t>
  </si>
  <si>
    <t xml:space="preserve">Signature_37b6d855-8252-48ba-ba7c-4c976c964ad1</t>
  </si>
  <si>
    <t xml:space="preserve">2024-04-30 09:22:14-05:00</t>
  </si>
  <si>
    <t xml:space="preserve">2024:04:30 09:22:14-05:00</t>
  </si>
  <si>
    <t xml:space="preserve">[0 - 365292], [381678 - 390165]</t>
  </si>
  <si>
    <t xml:space="preserve">Signature_3b817fab-d11b-4503-90c7-fca63a45b24f</t>
  </si>
  <si>
    <t xml:space="preserve">2024-04-30 09:22:13-05:00</t>
  </si>
  <si>
    <t xml:space="preserve">2024:04:30 09:22:13-05:00</t>
  </si>
  <si>
    <t xml:space="preserve">[0 - 86103], [102489 - 110975]</t>
  </si>
  <si>
    <t xml:space="preserve">Signature_2d49e93f-75c9-4df5-9ef1-748ff5fccb2e</t>
  </si>
  <si>
    <t xml:space="preserve">2024-04-30 09:22:01-05:00</t>
  </si>
  <si>
    <t xml:space="preserve">2024:04:30 09:22:01-05:00</t>
  </si>
  <si>
    <t xml:space="preserve">[0 - 708763], [725149 - 729733]</t>
  </si>
  <si>
    <t xml:space="preserve">Signature_f82a7a6e-5f42-45cd-a60a-90111a85814b</t>
  </si>
  <si>
    <t xml:space="preserve">2024-04-30 09:21:48-05:00</t>
  </si>
  <si>
    <t xml:space="preserve">2024:04:30 09:21:48-05:00</t>
  </si>
  <si>
    <t xml:space="preserve">[0 - 76083], [92469 - 100955]</t>
  </si>
  <si>
    <t xml:space="preserve">Signature_5ea9dcd9-5030-4171-aeaa-75c2b3c0bf1f</t>
  </si>
  <si>
    <t xml:space="preserve">2024-04-30 09:21:49-05:00</t>
  </si>
  <si>
    <t xml:space="preserve">2024:04:30 09:21:49-05:00</t>
  </si>
  <si>
    <t xml:space="preserve">[0 - 76970], [93356 - 101842]</t>
  </si>
  <si>
    <t xml:space="preserve">Signature_5ab39231-9cc5-42af-9927-9007b13e14a0</t>
  </si>
  <si>
    <t xml:space="preserve">2024-04-30 09:21:46-05:00</t>
  </si>
  <si>
    <t xml:space="preserve">2024:04:30 09:21:46-05:00</t>
  </si>
  <si>
    <t xml:space="preserve">[0 - 75483], [91869 - 100354]</t>
  </si>
  <si>
    <t xml:space="preserve">Signature_a5e09dd5-b36b-427d-9d93-41f09fe3e4e4</t>
  </si>
  <si>
    <t xml:space="preserve">2024-04-30 09:22:12-05:00</t>
  </si>
  <si>
    <t xml:space="preserve">2024:04:30 09:22:12-05:00</t>
  </si>
  <si>
    <t xml:space="preserve">[0 - 126618], [143004 - 151535]</t>
  </si>
  <si>
    <t xml:space="preserve">Signature_5f2d8993-ebfc-4b41-a5c0-0dabd45a2cac</t>
  </si>
  <si>
    <t xml:space="preserve">2024-04-30 09:22:08-05:00</t>
  </si>
  <si>
    <t xml:space="preserve">2024:04:30 09:22:08-05:00</t>
  </si>
  <si>
    <t xml:space="preserve">[0 - 834589], [850975 - 855573]</t>
  </si>
  <si>
    <t xml:space="preserve">Signature_5542c706-45ed-4806-8bab-7fabb88b7bad</t>
  </si>
  <si>
    <t xml:space="preserve">2024-04-30 09:22:03-05:00</t>
  </si>
  <si>
    <t xml:space="preserve">2024:04:30 09:22:03-05:00</t>
  </si>
  <si>
    <t xml:space="preserve">[0 - 882473], [898859 - 903455]</t>
  </si>
  <si>
    <t xml:space="preserve">Signature_91e2d1a0-bb2c-486a-b208-7bc2d40e7be3</t>
  </si>
  <si>
    <t xml:space="preserve">2024-04-30 09:21:55-05:00</t>
  </si>
  <si>
    <t xml:space="preserve">2024:04:30 09:21:55-05:00</t>
  </si>
  <si>
    <t xml:space="preserve">[0 - 825522], [841908 - 847479]</t>
  </si>
  <si>
    <t xml:space="preserve">Signature_9c959448-9b3d-42c6-b92b-2024708f2069</t>
  </si>
  <si>
    <t xml:space="preserve">2024-04-30 09:22:07-05:00</t>
  </si>
  <si>
    <t xml:space="preserve">2024:04:30 09:22:07-05:00</t>
  </si>
  <si>
    <t xml:space="preserve">[0 - 569118], [585504 - 593991]</t>
  </si>
  <si>
    <t xml:space="preserve">Signature_3e03ce4c-57de-4262-acc4-da2be9b04f29</t>
  </si>
  <si>
    <t xml:space="preserve">[0 - 469605], [485991 - 494478]</t>
  </si>
  <si>
    <t xml:space="preserve">Signature_776d43bf-58f7-40d6-a548-a833b8decd84</t>
  </si>
  <si>
    <t xml:space="preserve">2024-04-30 09:21:58-05:00</t>
  </si>
  <si>
    <t xml:space="preserve">2024:04:30 09:21:58-05:00</t>
  </si>
  <si>
    <t xml:space="preserve">[0 - 470448], [486834 - 495321]</t>
  </si>
  <si>
    <t xml:space="preserve">Signature_61c32f38-745c-41c9-81d8-0fda6f414f9d</t>
  </si>
  <si>
    <t xml:space="preserve">2024-04-30 09:21:59-05:00</t>
  </si>
  <si>
    <t xml:space="preserve">2024:04:30 09:21:59-05:00</t>
  </si>
  <si>
    <t xml:space="preserve">[0 - 476353], [492739 - 501226]</t>
  </si>
  <si>
    <t xml:space="preserve">Signature_0373fa63-7f80-4ee6-b466-5c9834942e63</t>
  </si>
  <si>
    <t xml:space="preserve">2024-04-30 09:21:50-05:00</t>
  </si>
  <si>
    <t xml:space="preserve">2024:04:30 09:21:50-05:00</t>
  </si>
  <si>
    <t xml:space="preserve">[0 - 89342], [105728 - 114214]</t>
  </si>
  <si>
    <t xml:space="preserve">Signature_2b06f581-b782-456b-8221-fdfe0c893b2c</t>
  </si>
  <si>
    <t xml:space="preserve">2024-04-30 09:21:51-05:00</t>
  </si>
  <si>
    <t xml:space="preserve">2024:04:30 09:21:51-05:00</t>
  </si>
  <si>
    <t xml:space="preserve">[0 - 90946], [107332 - 115818]</t>
  </si>
  <si>
    <t xml:space="preserve">Signature_589b5c29-9c30-4cec-891f-ca2ddde3c897</t>
  </si>
  <si>
    <t xml:space="preserve">2024-04-30 09:21:44-05:00</t>
  </si>
  <si>
    <t xml:space="preserve">2024:04:30 09:21:44-05:00</t>
  </si>
  <si>
    <t xml:space="preserve">[0 - 515156], [531542 - 540029]</t>
  </si>
  <si>
    <t xml:space="preserve">Signature_fb2b1b0c-9b3e-48f7-925a-ff4fbcccc20d</t>
  </si>
  <si>
    <t xml:space="preserve">2024-04-30 09:21:37-05:00</t>
  </si>
  <si>
    <t xml:space="preserve">2024:04:30 09:21:37-05:00</t>
  </si>
  <si>
    <t xml:space="preserve">[0 - 87394], [103780 - 112266]</t>
  </si>
  <si>
    <t xml:space="preserve">Signature_59b7afe6-eb3d-4fc6-8155-14b0e7725089</t>
  </si>
  <si>
    <t xml:space="preserve">2024-04-30 09:22:04-05:00</t>
  </si>
  <si>
    <t xml:space="preserve">2024:04:30 09:22:04-05:00</t>
  </si>
  <si>
    <t xml:space="preserve">[0 - 297810], [314196 - 319636]</t>
  </si>
  <si>
    <t xml:space="preserve">158 0 obj</t>
  </si>
  <si>
    <t xml:space="preserve">Signature_f00f887e-737f-4659-967f-a09883813d8f</t>
  </si>
  <si>
    <t xml:space="preserve">2024-04-30 09:21:47-05:00</t>
  </si>
  <si>
    <t xml:space="preserve">2024:04:30 09:21:47-05:00</t>
  </si>
  <si>
    <t xml:space="preserve">[0 - 299207], [315593 - 321303]</t>
  </si>
  <si>
    <t xml:space="preserve">Signature_5eadc8a9-75a5-4507-8b06-8cacd26ea7a4</t>
  </si>
  <si>
    <t xml:space="preserve">[0 - 301155], [317541 - 323249]</t>
  </si>
  <si>
    <t xml:space="preserve">166 0 obj</t>
  </si>
  <si>
    <t xml:space="preserve">Signature_1605deeb-94a1-496d-9dc6-b35c71bb5d9b</t>
  </si>
  <si>
    <t xml:space="preserve">2024-04-30 09:22:10-05:00</t>
  </si>
  <si>
    <t xml:space="preserve">2024:04:30 09:22:10-05:00</t>
  </si>
  <si>
    <t xml:space="preserve">[0 - 122380], [138766 - 147297]</t>
  </si>
  <si>
    <t xml:space="preserve">Signature_96a2de1e-bef3-4df5-9875-d1c8448d7f5a</t>
  </si>
  <si>
    <t xml:space="preserve">2024-04-30 09:22:11-05:00</t>
  </si>
  <si>
    <t xml:space="preserve">2024:04:30 09:22:11-05:00</t>
  </si>
  <si>
    <t xml:space="preserve">[0 - 121984], [138370 - 146901]</t>
  </si>
  <si>
    <t xml:space="preserve">Signature_90d6baab-c5b5-40be-94e3-8a91447334bf</t>
  </si>
  <si>
    <t xml:space="preserve">2024-04-30 09:22:05-05:00</t>
  </si>
  <si>
    <t xml:space="preserve">2024:04:30 09:22:05-05:00</t>
  </si>
  <si>
    <t xml:space="preserve">[0 - 403857], [420243 - 425290]</t>
  </si>
  <si>
    <t xml:space="preserve">88 0 obj</t>
  </si>
  <si>
    <t xml:space="preserve">Signature_06a5262f-a33d-4773-95d1-064ae5d44ea4</t>
  </si>
  <si>
    <t xml:space="preserve">2024-04-30 09:21:45-05:00</t>
  </si>
  <si>
    <t xml:space="preserve">2024:04:30 09:21:45-05:00</t>
  </si>
  <si>
    <t xml:space="preserve">[0 - 246883], [263269 - 268952]</t>
  </si>
  <si>
    <t xml:space="preserve">154 0 obj</t>
  </si>
  <si>
    <t xml:space="preserve">Signature_9229460f-c920-402b-b9c8-ae57093d581c</t>
  </si>
  <si>
    <t xml:space="preserve">2024-04-30 09:21:36-05:00</t>
  </si>
  <si>
    <t xml:space="preserve">2024:04:30 09:21:36-05:00</t>
  </si>
  <si>
    <t xml:space="preserve">[0 - 246694], [263080 - 268785]</t>
  </si>
  <si>
    <t xml:space="preserve">Signature_e4e00a02-57a7-4361-8371-02a13f2af49a</t>
  </si>
  <si>
    <t xml:space="preserve">2024-04-30 09:22:16-05:00</t>
  </si>
  <si>
    <t xml:space="preserve">2024:04:30 09:22:16-05:00</t>
  </si>
  <si>
    <t xml:space="preserve">[0 - 12073692], [12090078 - 12094390]</t>
  </si>
  <si>
    <t xml:space="preserve">Signature_e1174993-5695-4f6b-9136-0068335ab323</t>
  </si>
  <si>
    <t xml:space="preserve">[0 - 810238], [826624 - 831682]</t>
  </si>
  <si>
    <t xml:space="preserve">222 0 obj</t>
  </si>
  <si>
    <t xml:space="preserve">Signature_b918c802-4fd8-46c1-a282-7f93b7618da4</t>
  </si>
  <si>
    <t xml:space="preserve">2024-04-30 09:22:15-05:00</t>
  </si>
  <si>
    <t xml:space="preserve">2024:04:30 09:22:15-05:00</t>
  </si>
  <si>
    <t xml:space="preserve">[0 - 807044], [823430 - 828057]</t>
  </si>
  <si>
    <t xml:space="preserve">66 0 obj</t>
  </si>
  <si>
    <t xml:space="preserve">Signature_4d7475a4-71ad-458b-9d64-e2ce1b912e4d</t>
  </si>
  <si>
    <t xml:space="preserve">2024-04-30 09:22:23-05:00</t>
  </si>
  <si>
    <t xml:space="preserve">2024:04:30 09:22:23-05:00</t>
  </si>
  <si>
    <t xml:space="preserve">[0 - 254597], [270983 - 272993]</t>
  </si>
  <si>
    <t xml:space="preserve">207 0 obj</t>
  </si>
  <si>
    <t xml:space="preserve">Signature_bb592ed4-35a9-44ef-b9da-a8edf22bdf8e</t>
  </si>
  <si>
    <t xml:space="preserve">2024-04-30 09:22:09-05:00</t>
  </si>
  <si>
    <t xml:space="preserve">2024:04:30 09:22:09-05:00</t>
  </si>
  <si>
    <t xml:space="preserve">[0 - 361691], [378077 - 383039]</t>
  </si>
  <si>
    <t xml:space="preserve">141 0 obj</t>
  </si>
  <si>
    <t xml:space="preserve">Signature_46cb8a68-8a4c-4026-89f9-c482c6985ec8</t>
  </si>
  <si>
    <t xml:space="preserve">2024-04-30 09:22:22-05:00</t>
  </si>
  <si>
    <t xml:space="preserve">2024:04:30 09:22:22-05:00</t>
  </si>
  <si>
    <t xml:space="preserve">[0 - 144825], [161211 - 166997]</t>
  </si>
  <si>
    <t xml:space="preserve">Signature_77f18ac8-4ef1-458d-989c-b2a91e2548f1</t>
  </si>
  <si>
    <t xml:space="preserve">2024-04-30 09:23:08-05:00</t>
  </si>
  <si>
    <t xml:space="preserve">2024:04:30 09:23:09-05:00</t>
  </si>
  <si>
    <t xml:space="preserve">[0 - 458627], [475013 - 478126]</t>
  </si>
  <si>
    <t xml:space="preserve">364 0 obj</t>
  </si>
  <si>
    <t xml:space="preserve">Signature_bed67b8c-796c-4b77-955e-d683d548420f</t>
  </si>
  <si>
    <t xml:space="preserve">2024-04-30 09:23:02-05:00</t>
  </si>
  <si>
    <t xml:space="preserve">2024:04:30 09:23:02-05:00</t>
  </si>
  <si>
    <t xml:space="preserve">[0 - 59817], [76203 - 81487]</t>
  </si>
  <si>
    <t xml:space="preserve">136 0 obj</t>
  </si>
  <si>
    <t xml:space="preserve">Signature_d5746423-afd0-4290-9a3a-ef689c353907</t>
  </si>
  <si>
    <t xml:space="preserve">2024-04-30 09:23:03-05:00</t>
  </si>
  <si>
    <t xml:space="preserve">2024:04:30 09:23:03-05:00</t>
  </si>
  <si>
    <t xml:space="preserve">[0 - 85669], [102055 - 110543]</t>
  </si>
  <si>
    <t xml:space="preserve">Signature_bbaf0c95-469a-4c73-ac7b-db7e6d6cd8e5</t>
  </si>
  <si>
    <t xml:space="preserve">2024-04-30 09:23:00-05:00</t>
  </si>
  <si>
    <t xml:space="preserve">2024:04:30 09:23:00-05:00</t>
  </si>
  <si>
    <t xml:space="preserve">[0 - 76166], [92552 - 101038]</t>
  </si>
  <si>
    <t xml:space="preserve">Signature_7fb1057d-ae4b-484d-93d1-f8d0b5252f57</t>
  </si>
  <si>
    <t xml:space="preserve">2024-04-30 09:22:56-05:00</t>
  </si>
  <si>
    <t xml:space="preserve">2024:04:30 09:22:56-05:00</t>
  </si>
  <si>
    <t xml:space="preserve">[0 - 304627], [321013 - 329500]</t>
  </si>
  <si>
    <t xml:space="preserve">Signature_7f83c7ae-3035-459b-8ab6-0eb4876b12cd</t>
  </si>
  <si>
    <t xml:space="preserve">2024-04-30 09:22:58-05:00</t>
  </si>
  <si>
    <t xml:space="preserve">2024:04:30 09:22:58-05:00</t>
  </si>
  <si>
    <t xml:space="preserve">[0 - 313259], [329645 - 338132]</t>
  </si>
  <si>
    <t xml:space="preserve">Signature_16e487aa-6683-44a7-bac4-51fc7c14fe13</t>
  </si>
  <si>
    <t xml:space="preserve">2024-04-30 09:22:55-05:00</t>
  </si>
  <si>
    <t xml:space="preserve">2024:04:30 09:22:55-05:00</t>
  </si>
  <si>
    <t xml:space="preserve">[0 - 418159], [434545 - 443032]</t>
  </si>
  <si>
    <t xml:space="preserve">Signature_3cf1692b-f1b2-404e-826b-8391f19f665e</t>
  </si>
  <si>
    <t xml:space="preserve">2024-04-30 09:22:59-05:00</t>
  </si>
  <si>
    <t xml:space="preserve">2024:04:30 09:22:59-05:00</t>
  </si>
  <si>
    <t xml:space="preserve">[0 - 997831], [1014217 - 1022749]</t>
  </si>
  <si>
    <t xml:space="preserve">Signature_8d024900-3985-4816-998f-fec5ced4777f</t>
  </si>
  <si>
    <t xml:space="preserve">2024-04-30 09:22:54-05:00</t>
  </si>
  <si>
    <t xml:space="preserve">2024:04:30 09:22:54-05:00</t>
  </si>
  <si>
    <t xml:space="preserve">[0 - 221990], [238376 - 243495]</t>
  </si>
  <si>
    <t xml:space="preserve">138 0 obj</t>
  </si>
  <si>
    <t xml:space="preserve">Signature_1b3df859-6f85-45d9-8d04-34f288846e1f</t>
  </si>
  <si>
    <t xml:space="preserve">2024-04-30 09:23:01-05:00</t>
  </si>
  <si>
    <t xml:space="preserve">2024:04:30 09:23:01-05:00</t>
  </si>
  <si>
    <t xml:space="preserve">[0 - 117879], [134265 - 139571]</t>
  </si>
  <si>
    <t xml:space="preserve">155 0 obj</t>
  </si>
  <si>
    <t xml:space="preserve">Signature_203bd40b-b1bf-41d0-8ecd-89423b011dc0</t>
  </si>
  <si>
    <t xml:space="preserve">2024-04-30 09:23:06-05:00</t>
  </si>
  <si>
    <t xml:space="preserve">2024:04:30 09:23:06-05:00</t>
  </si>
  <si>
    <t xml:space="preserve">[0 - 145662], [162048 - 166733]</t>
  </si>
  <si>
    <t xml:space="preserve">Signature_fd0faa81-5010-41a5-9203-394d2337c9f9</t>
  </si>
  <si>
    <t xml:space="preserve">2024-04-30 09:23:04-05:00</t>
  </si>
  <si>
    <t xml:space="preserve">2024:04:30 09:23:04-05:00</t>
  </si>
  <si>
    <t xml:space="preserve">[0 - 267005], [283391 - 291880]</t>
  </si>
  <si>
    <t xml:space="preserve">Signature_11c9891a-4b00-4337-86b0-f830c5edab34</t>
  </si>
  <si>
    <t xml:space="preserve">2024-04-30 09:23:07-05:00</t>
  </si>
  <si>
    <t xml:space="preserve">2024:04:30 09:23:08-05:00</t>
  </si>
  <si>
    <t xml:space="preserve">[0 - 255774], [272160 - 274170]</t>
  </si>
  <si>
    <t xml:space="preserve">Signature_43f32bce-72e1-42c9-b567-4cfa5cc9463d</t>
  </si>
  <si>
    <t xml:space="preserve">2024-04-30 09:23:05-05:00</t>
  </si>
  <si>
    <t xml:space="preserve">2024:04:30 09:23:05-05:00</t>
  </si>
  <si>
    <t xml:space="preserve">[0 - 67540], [83926 - 88485]</t>
  </si>
  <si>
    <t xml:space="preserve">Signature_5bd7b501-b518-41c2-99d4-a9c4e866a49f</t>
  </si>
  <si>
    <t xml:space="preserve">2024-04-30 09:23:47-05:00</t>
  </si>
  <si>
    <t xml:space="preserve">2024:04:30 09:23:47-05:00</t>
  </si>
  <si>
    <t xml:space="preserve">[0 - 221140], [237526 - 242912]</t>
  </si>
  <si>
    <t xml:space="preserve">Signature_55d3ab13-87c0-4247-99ca-f4434d1e12b1</t>
  </si>
  <si>
    <t xml:space="preserve">2024-04-30 09:24:15-05:00</t>
  </si>
  <si>
    <t xml:space="preserve">2024:04:30 09:24:15-05:00</t>
  </si>
  <si>
    <t xml:space="preserve">[0 - 783270], [799656 - 805926]</t>
  </si>
  <si>
    <t xml:space="preserve">478 0 obj</t>
  </si>
  <si>
    <t xml:space="preserve">Signature_9954a7b8-5c37-4a2c-ba24-524f62a99294</t>
  </si>
  <si>
    <t xml:space="preserve">2024-04-30 09:23:43-05:00</t>
  </si>
  <si>
    <t xml:space="preserve">2024:04:30 09:23:43-05:00</t>
  </si>
  <si>
    <t xml:space="preserve">[0 - 117359], [133745 - 139393]</t>
  </si>
  <si>
    <t xml:space="preserve">Signature_c91bc9ff-b51c-42b8-bd5f-196a60d09cfe</t>
  </si>
  <si>
    <t xml:space="preserve">2024-04-30 09:24:16-05:00</t>
  </si>
  <si>
    <t xml:space="preserve">2024:04:30 09:24:17-05:00</t>
  </si>
  <si>
    <t xml:space="preserve">[0 - 457112], [473498 - 476235]</t>
  </si>
  <si>
    <t xml:space="preserve">Signature_fd930743-9aa7-4598-9746-7583528474da</t>
  </si>
  <si>
    <t xml:space="preserve">2024-04-30 09:23:56-05:00</t>
  </si>
  <si>
    <t xml:space="preserve">2024:04:30 09:23:56-05:00</t>
  </si>
  <si>
    <t xml:space="preserve">[0 - 317510], [333896 - 338947]</t>
  </si>
  <si>
    <t xml:space="preserve">253 0 obj</t>
  </si>
  <si>
    <t xml:space="preserve">Signature_ba316a49-f2f0-4abb-9703-6f39f34cbb2c</t>
  </si>
  <si>
    <t xml:space="preserve">2024-04-30 09:24:12-05:00</t>
  </si>
  <si>
    <t xml:space="preserve">2024:04:30 09:24:12-05:00</t>
  </si>
  <si>
    <t xml:space="preserve">[0 - 234108], [250494 - 256118]</t>
  </si>
  <si>
    <t xml:space="preserve">Signature_8e915577-e85b-4321-9fc3-96152e705b7b</t>
  </si>
  <si>
    <t xml:space="preserve">2024-04-30 09:24:13-05:00</t>
  </si>
  <si>
    <t xml:space="preserve">2024:04:30 09:24:13-05:00</t>
  </si>
  <si>
    <t xml:space="preserve">[0 - 70500], [86886 - 95452]</t>
  </si>
  <si>
    <t xml:space="preserve">Signature_0861ecd5-8da2-4981-82fa-2e079705ce9b</t>
  </si>
  <si>
    <t xml:space="preserve">2024-04-30 09:24:03-05:00</t>
  </si>
  <si>
    <t xml:space="preserve">2024:04:30 09:24:03-05:00</t>
  </si>
  <si>
    <t xml:space="preserve">[0 - 77777], [94163 - 102651]</t>
  </si>
  <si>
    <t xml:space="preserve">Signature_4886e7ec-480c-425e-9e83-a2eec5e34ffc</t>
  </si>
  <si>
    <t xml:space="preserve">2024-04-30 09:23:54-05:00</t>
  </si>
  <si>
    <t xml:space="preserve">2024:04:30 09:23:54-05:00</t>
  </si>
  <si>
    <t xml:space="preserve">[0 - 72755], [89141 - 97628]</t>
  </si>
  <si>
    <t xml:space="preserve">Signature_8daae35b-367a-4afe-a2ad-6a64ac6de80a</t>
  </si>
  <si>
    <t xml:space="preserve">2024-04-30 09:23:44-05:00</t>
  </si>
  <si>
    <t xml:space="preserve">2024:04:30 09:23:44-05:00</t>
  </si>
  <si>
    <t xml:space="preserve">[0 - 288693], [305079 - 313566]</t>
  </si>
  <si>
    <t xml:space="preserve">Signature_a6fafba8-1a17-4b49-b014-42b4665d686d</t>
  </si>
  <si>
    <t xml:space="preserve">2024-04-30 09:24:08-05:00</t>
  </si>
  <si>
    <t xml:space="preserve">2024:04:30 09:24:08-05:00</t>
  </si>
  <si>
    <t xml:space="preserve">[0 - 134593], [150979 - 159512]</t>
  </si>
  <si>
    <t xml:space="preserve">Signature_85b30513-8e23-4b18-901f-b417542217e8</t>
  </si>
  <si>
    <t xml:space="preserve">2024-04-30 09:24:00-05:00</t>
  </si>
  <si>
    <t xml:space="preserve">2024:04:30 09:24:00-05:00</t>
  </si>
  <si>
    <t xml:space="preserve">[0 - 135561], [151947 - 160480]</t>
  </si>
  <si>
    <t xml:space="preserve">Signature_50cc908e-dfe3-4ab9-9537-6e04058be45f</t>
  </si>
  <si>
    <t xml:space="preserve">2024-04-30 09:24:14-05:00</t>
  </si>
  <si>
    <t xml:space="preserve">2024:04:30 09:24:14-05:00</t>
  </si>
  <si>
    <t xml:space="preserve">[0 - 152844], [169230 - 177846]</t>
  </si>
  <si>
    <t xml:space="preserve">Signature_2db091b1-9440-4efe-a5bf-bbac045ca011</t>
  </si>
  <si>
    <t xml:space="preserve">2024-04-30 09:24:10-05:00</t>
  </si>
  <si>
    <t xml:space="preserve">2024:04:30 09:24:10-05:00</t>
  </si>
  <si>
    <t xml:space="preserve">[0 - 460021], [476407 - 481490]</t>
  </si>
  <si>
    <t xml:space="preserve">390 0 obj</t>
  </si>
  <si>
    <t xml:space="preserve">Signature_e14295af-b3a9-4870-9ce4-a457cce461c2</t>
  </si>
  <si>
    <t xml:space="preserve">2024-04-30 09:24:06-05:00</t>
  </si>
  <si>
    <t xml:space="preserve">2024:04:30 09:24:06-05:00</t>
  </si>
  <si>
    <t xml:space="preserve">[0 - 885864], [902250 - 907567]</t>
  </si>
  <si>
    <t xml:space="preserve">Signature_4ef9455a-8a0a-405a-bf6c-a75351e13e9c</t>
  </si>
  <si>
    <t xml:space="preserve">2024-04-30 09:24:04-05:00</t>
  </si>
  <si>
    <t xml:space="preserve">2024:04:30 09:24:04-05:00</t>
  </si>
  <si>
    <t xml:space="preserve">[0 - 750951], [767337 - 773057]</t>
  </si>
  <si>
    <t xml:space="preserve">312 0 obj</t>
  </si>
  <si>
    <t xml:space="preserve">Signature_55c6fa5d-c0f2-42e2-b6b3-435320cd48f8</t>
  </si>
  <si>
    <t xml:space="preserve">2024-04-30 09:23:59-05:00</t>
  </si>
  <si>
    <t xml:space="preserve">2024:04:30 09:23:59-05:00</t>
  </si>
  <si>
    <t xml:space="preserve">[0 - 160768], [177154 - 185687]</t>
  </si>
  <si>
    <t xml:space="preserve">Signature_5a81faea-e67d-4653-9315-a932353c81ef</t>
  </si>
  <si>
    <t xml:space="preserve">2024-04-30 09:23:57-05:00</t>
  </si>
  <si>
    <t xml:space="preserve">2024:04:30 09:23:57-05:00</t>
  </si>
  <si>
    <t xml:space="preserve">[0 - 169955], [186341 - 194874]</t>
  </si>
  <si>
    <t xml:space="preserve">Signature_2a8da320-a4d3-484a-861c-0a8f6268dffd</t>
  </si>
  <si>
    <t xml:space="preserve">[0 - 256621], [273007 - 277732]</t>
  </si>
  <si>
    <t xml:space="preserve">Signature_53635258-2d06-496b-800c-7adc65d9edec</t>
  </si>
  <si>
    <t xml:space="preserve">2024-04-30 09:23:45-05:00</t>
  </si>
  <si>
    <t xml:space="preserve">2024:04:30 09:23:45-05:00</t>
  </si>
  <si>
    <t xml:space="preserve">[0 - 789833], [806219 - 811295]</t>
  </si>
  <si>
    <t xml:space="preserve">388 0 obj</t>
  </si>
  <si>
    <t xml:space="preserve">Signature_25d6493c-0495-45d6-9976-28d1dc6e1a03</t>
  </si>
  <si>
    <t xml:space="preserve">2024-04-30 09:24:11-05:00</t>
  </si>
  <si>
    <t xml:space="preserve">2024:04:30 09:24:11-05:00</t>
  </si>
  <si>
    <t xml:space="preserve">[0 - 616725], [633111 - 641679]</t>
  </si>
  <si>
    <t xml:space="preserve">Signature_3d9980de-c3c9-4375-a5e6-3865b336301d</t>
  </si>
  <si>
    <t xml:space="preserve">2024-04-30 09:24:09-05:00</t>
  </si>
  <si>
    <t xml:space="preserve">2024:04:30 09:24:09-05:00</t>
  </si>
  <si>
    <t xml:space="preserve">[0 - 918292], [934678 - 943167]</t>
  </si>
  <si>
    <t xml:space="preserve">Signature_b27ea3ed-a429-4e0a-bcc0-174d531410ff</t>
  </si>
  <si>
    <t xml:space="preserve">2024-04-30 09:24:01-05:00</t>
  </si>
  <si>
    <t xml:space="preserve">2024:04:30 09:24:01-05:00</t>
  </si>
  <si>
    <t xml:space="preserve">[0 - 109127], [125513 - 134002]</t>
  </si>
  <si>
    <t xml:space="preserve">Signature_635e0214-6974-4913-8312-35da91e8e8f5</t>
  </si>
  <si>
    <t xml:space="preserve">2024-04-30 09:23:58-05:00</t>
  </si>
  <si>
    <t xml:space="preserve">2024:04:30 09:23:58-05:00</t>
  </si>
  <si>
    <t xml:space="preserve">[0 - 112893], [129279 - 137768]</t>
  </si>
  <si>
    <t xml:space="preserve">Signature_13bd05f4-3344-4bd6-90e5-8e564a453b50</t>
  </si>
  <si>
    <t xml:space="preserve">2024-04-30 09:23:55-05:00</t>
  </si>
  <si>
    <t xml:space="preserve">2024:04:30 09:23:55-05:00</t>
  </si>
  <si>
    <t xml:space="preserve">[0 - 188338], [204724 - 209924]</t>
  </si>
  <si>
    <t xml:space="preserve">199 0 obj</t>
  </si>
  <si>
    <t xml:space="preserve">Signature_218300f2-0956-4478-a378-928000001fc0</t>
  </si>
  <si>
    <t xml:space="preserve">2024-04-30 09:23:50-05:00</t>
  </si>
  <si>
    <t xml:space="preserve">2024:04:30 09:23:50-05:00</t>
  </si>
  <si>
    <t xml:space="preserve">[0 - 163794], [180180 - 185639]</t>
  </si>
  <si>
    <t xml:space="preserve">Signature_6ec48654-0ae9-4aaf-9f7e-6a2c10344ec8</t>
  </si>
  <si>
    <t xml:space="preserve">2024-04-30 09:23:48-05:00</t>
  </si>
  <si>
    <t xml:space="preserve">2024:04:30 09:23:48-05:00</t>
  </si>
  <si>
    <t xml:space="preserve">[0 - 222086], [238472 - 243964]</t>
  </si>
  <si>
    <t xml:space="preserve">Signature_5e4b3fba-8bc2-49b2-9332-f8ebdcac0250</t>
  </si>
  <si>
    <t xml:space="preserve">[0 - 476341], [492727 - 497920]</t>
  </si>
  <si>
    <t xml:space="preserve">421 0 obj</t>
  </si>
  <si>
    <t xml:space="preserve">Signature_a1d44150-1852-4e9b-8641-324175913be0</t>
  </si>
  <si>
    <t xml:space="preserve">2024-04-30 09:23:46-05:00</t>
  </si>
  <si>
    <t xml:space="preserve">2022:09:14 14:29:27-05:00</t>
  </si>
  <si>
    <t xml:space="preserve">[0 - 199194], [215580 - 219604]</t>
  </si>
  <si>
    <t xml:space="preserve">143 0 obj</t>
  </si>
  <si>
    <t xml:space="preserve">Signature_9f873abb-9db6-4754-8e41-cd57e5584173</t>
  </si>
  <si>
    <t xml:space="preserve">2024-04-30 09:24:02-05:00</t>
  </si>
  <si>
    <t xml:space="preserve">2024:04:30 09:24:02-05:00</t>
  </si>
  <si>
    <t xml:space="preserve">[0 - 73119], [89505 - 97992]</t>
  </si>
  <si>
    <t xml:space="preserve">Signature_a18c3167-007d-4af0-a4d0-bb6b88671271</t>
  </si>
  <si>
    <t xml:space="preserve">2024-04-30 09:23:53-05:00</t>
  </si>
  <si>
    <t xml:space="preserve">2024:04:30 09:23:53-05:00</t>
  </si>
  <si>
    <t xml:space="preserve">[0 - 55255], [71641 - 76162]</t>
  </si>
  <si>
    <t xml:space="preserve">Signature_e74ef42a-856c-41a6-a3ca-e05b107b777f</t>
  </si>
  <si>
    <t xml:space="preserve">2024-04-30 09:13:54-05:00</t>
  </si>
  <si>
    <t xml:space="preserve">2024:04:30 09:13:54-05:00</t>
  </si>
  <si>
    <t xml:space="preserve">Signature_89cffbd1-8461-4256-ae3e-85744d649fa9</t>
  </si>
  <si>
    <t xml:space="preserve">2024-04-30 09:13:51-05:00</t>
  </si>
  <si>
    <t xml:space="preserve">2024:04:30 09:13:51-05:00</t>
  </si>
  <si>
    <t xml:space="preserve">Signature_5946e2fa-e165-46e6-a1e0-fbcec02630ef</t>
  </si>
  <si>
    <t xml:space="preserve">2024-04-30 09:13:35-05:00</t>
  </si>
  <si>
    <t xml:space="preserve">2024:04:30 09:13:35-05:00</t>
  </si>
  <si>
    <t xml:space="preserve">[0 - 171999], [188385 - 193491]</t>
  </si>
  <si>
    <t xml:space="preserve">Signature_eb10f9f5-6f20-4792-8dc1-fb3b63441316</t>
  </si>
  <si>
    <t xml:space="preserve">2024-04-30 09:14:00-05:00</t>
  </si>
  <si>
    <t xml:space="preserve">2024:04:30 09:14:01-05:00</t>
  </si>
  <si>
    <t xml:space="preserve">[0 - 456321], [472707 - 475444]</t>
  </si>
  <si>
    <t xml:space="preserve">370 0 obj</t>
  </si>
  <si>
    <t xml:space="preserve">Signature_492cc8b2-3bcb-48c6-a4e1-d8a9bc05f833</t>
  </si>
  <si>
    <t xml:space="preserve">2024-04-30 09:13:25-05:00</t>
  </si>
  <si>
    <t xml:space="preserve">2024:04:30 09:13:25-05:00</t>
  </si>
  <si>
    <t xml:space="preserve">Signature_9992aca7-8e42-42bd-864d-cc6d4046f0ed</t>
  </si>
  <si>
    <t xml:space="preserve">2024-04-30 09:13:18-05:00</t>
  </si>
  <si>
    <t xml:space="preserve">2024:04:30 09:13:18-05:00</t>
  </si>
  <si>
    <t xml:space="preserve">Signature_a98cc6a5-fcf1-4222-966a-deca42abf409</t>
  </si>
  <si>
    <t xml:space="preserve">2024-04-30 09:13:59-05:00</t>
  </si>
  <si>
    <t xml:space="preserve">2024:04:30 09:13:59-05:00</t>
  </si>
  <si>
    <t xml:space="preserve">[0 - 255442], [271828 - 277272]</t>
  </si>
  <si>
    <t xml:space="preserve">Signature_43075dc5-098e-48d5-8edb-bc1c0b8919f2</t>
  </si>
  <si>
    <t xml:space="preserve">2024-04-30 09:13:55-05:00</t>
  </si>
  <si>
    <t xml:space="preserve">2024:04:30 09:13:55-05:00</t>
  </si>
  <si>
    <t xml:space="preserve">[0 - 280609], [296995 - 302469]</t>
  </si>
  <si>
    <t xml:space="preserve">Signature_150e9e14-945f-458e-8ea7-8e5be21a4184</t>
  </si>
  <si>
    <t xml:space="preserve">2024-04-30 09:13:42-05:00</t>
  </si>
  <si>
    <t xml:space="preserve">2024:04:30 09:13:42-05:00</t>
  </si>
  <si>
    <t xml:space="preserve">Signature_4c8ced45-4e5f-4555-9bd2-4fa35fe4c9f7</t>
  </si>
  <si>
    <t xml:space="preserve">2024-04-30 09:13:52-05:00</t>
  </si>
  <si>
    <t xml:space="preserve">2024:04:30 09:13:52-05:00</t>
  </si>
  <si>
    <t xml:space="preserve">[0 - 491295], [507681 - 516249]</t>
  </si>
  <si>
    <t xml:space="preserve">Signature_bbafac2f-3bd2-4d54-bd19-90d021b333bb</t>
  </si>
  <si>
    <t xml:space="preserve">2024-04-30 09:13:48-05:00</t>
  </si>
  <si>
    <t xml:space="preserve">2024:04:30 09:13:48-05:00</t>
  </si>
  <si>
    <t xml:space="preserve">Signature_f59c7744-0a4b-44c1-97bc-165dadae24fd</t>
  </si>
  <si>
    <t xml:space="preserve">2024-04-30 09:13:47-05:00</t>
  </si>
  <si>
    <t xml:space="preserve">2024:04:30 09:13:47-05:00</t>
  </si>
  <si>
    <t xml:space="preserve">[0 - 68680], [85066 - 89588]</t>
  </si>
  <si>
    <t xml:space="preserve">Signature_fb147acd-5572-4007-8632-e3d22291c5c6</t>
  </si>
  <si>
    <t xml:space="preserve">2024-04-30 09:13:46-05:00</t>
  </si>
  <si>
    <t xml:space="preserve">2024:04:30 09:13:46-05:00</t>
  </si>
  <si>
    <t xml:space="preserve">Signature_497c32d7-2095-4ff2-80e4-8b0b7fdd1f70</t>
  </si>
  <si>
    <t xml:space="preserve">2024-04-30 09:13:44-05:00</t>
  </si>
  <si>
    <t xml:space="preserve">2024:04:30 09:13:44-05:00</t>
  </si>
  <si>
    <t xml:space="preserve">Signature_ade1ed54-903d-4f43-8367-28525203e7d4</t>
  </si>
  <si>
    <t xml:space="preserve">2024-04-30 09:13:43-05:00</t>
  </si>
  <si>
    <t xml:space="preserve">2024:04:30 09:13:43-05:00</t>
  </si>
  <si>
    <t xml:space="preserve">Signature_be79bbde-b525-4db0-8155-2394b428854e</t>
  </si>
  <si>
    <t xml:space="preserve">2024-04-30 09:13:39-05:00</t>
  </si>
  <si>
    <t xml:space="preserve">2024:04:30 09:13:39-05:00</t>
  </si>
  <si>
    <t xml:space="preserve">Signature_f0af1bda-646f-41cb-901f-00693051bfd2</t>
  </si>
  <si>
    <t xml:space="preserve">2024-04-30 09:13:33-05:00</t>
  </si>
  <si>
    <t xml:space="preserve">2024:04:30 09:13:33-05:00</t>
  </si>
  <si>
    <t xml:space="preserve">[0 - 169586], [185972 - 191504]</t>
  </si>
  <si>
    <t xml:space="preserve">Signature_0e1e745c-636e-45e9-a5a3-79e0f2380072</t>
  </si>
  <si>
    <t xml:space="preserve">2024-04-30 09:13:32-05:00</t>
  </si>
  <si>
    <t xml:space="preserve">2024:04:30 09:13:32-05:00</t>
  </si>
  <si>
    <t xml:space="preserve">[0 - 170005], [186391 - 191921]</t>
  </si>
  <si>
    <t xml:space="preserve">Signature_0ff94871-776e-4217-8166-faa65b48d402</t>
  </si>
  <si>
    <t xml:space="preserve">2024-04-30 09:13:30-05:00</t>
  </si>
  <si>
    <t xml:space="preserve">2024:04:30 09:13:30-05:00</t>
  </si>
  <si>
    <t xml:space="preserve">[0 - 169728], [186114 - 191648]</t>
  </si>
  <si>
    <t xml:space="preserve">Signature_a917fb97-b194-42db-b468-a273e2491a70</t>
  </si>
  <si>
    <t xml:space="preserve">2024-04-30 09:13:58-05:00</t>
  </si>
  <si>
    <t xml:space="preserve">2024:04:30 09:13:58-05:00</t>
  </si>
  <si>
    <t xml:space="preserve">[0 - 210244], [226630 - 231447]</t>
  </si>
  <si>
    <t xml:space="preserve">Signature_38ddbf7f-d656-425f-86b9-b594eaf56208</t>
  </si>
  <si>
    <t xml:space="preserve">2024-04-30 09:13:38-05:00</t>
  </si>
  <si>
    <t xml:space="preserve">2024:04:30 09:13:38-05:00</t>
  </si>
  <si>
    <t xml:space="preserve">[0 - 289935], [306321 - 311900]</t>
  </si>
  <si>
    <t xml:space="preserve">Signature_b2ab75ae-6498-4aa2-95dc-f377b9ac9f9b</t>
  </si>
  <si>
    <t xml:space="preserve">2024-04-30 09:13:37-05:00</t>
  </si>
  <si>
    <t xml:space="preserve">2024:04:30 09:13:37-05:00</t>
  </si>
  <si>
    <t xml:space="preserve">[0 - 122027], [138413 - 142889]</t>
  </si>
  <si>
    <t xml:space="preserve">Signature_c6367840-abc5-4ed5-823c-3dc52375376f</t>
  </si>
  <si>
    <t xml:space="preserve">2024-04-30 09:13:28-05:00</t>
  </si>
  <si>
    <t xml:space="preserve">2024:04:30 09:13:28-05:00</t>
  </si>
  <si>
    <t xml:space="preserve">[0 - 827042], [843428 - 848938]</t>
  </si>
  <si>
    <t xml:space="preserve">Signature_0f557de2-fa74-48ab-97b4-c62dcb64f87c</t>
  </si>
  <si>
    <t xml:space="preserve">2024-04-30 09:13:26-05:00</t>
  </si>
  <si>
    <t xml:space="preserve">2024:04:30 09:13:26-05:00</t>
  </si>
  <si>
    <t xml:space="preserve">[0 - 827923], [844309 - 849821]</t>
  </si>
  <si>
    <t xml:space="preserve">Signature_2af05007-9d06-46fe-9ca7-09bfc607ed71</t>
  </si>
  <si>
    <t xml:space="preserve">2024-04-30 09:13:24-05:00</t>
  </si>
  <si>
    <t xml:space="preserve">2024:04:30 09:13:24-05:00</t>
  </si>
  <si>
    <t xml:space="preserve">[0 - 821806], [838192 - 843735]</t>
  </si>
  <si>
    <t xml:space="preserve">Signature_ff6fef0e-74d1-498f-9e30-8fd37d32c078</t>
  </si>
  <si>
    <t xml:space="preserve">2024-04-30 09:13:21-05:00</t>
  </si>
  <si>
    <t xml:space="preserve">2024:04:30 09:13:21-05:00</t>
  </si>
  <si>
    <t xml:space="preserve">[0 - 248837], [265223 - 269832]</t>
  </si>
  <si>
    <t xml:space="preserve">Signature_5add2ce6-17fe-40ca-b88a-ecafdcbe53a1</t>
  </si>
  <si>
    <t xml:space="preserve">2024-04-30 09:13:19-05:00</t>
  </si>
  <si>
    <t xml:space="preserve">2024:04:30 09:13:19-05:00</t>
  </si>
  <si>
    <t xml:space="preserve">[0 - 233787], [250173 - 254783]</t>
  </si>
  <si>
    <t xml:space="preserve">Signature_94753061-66c2-41e3-897b-73ff44537bd2</t>
  </si>
  <si>
    <t xml:space="preserve">2024-04-30 09:13:45-05:00</t>
  </si>
  <si>
    <t xml:space="preserve">2024:04:30 09:13:45-05:00</t>
  </si>
  <si>
    <t xml:space="preserve">[0 - 433770], [450156 - 455240]</t>
  </si>
  <si>
    <t xml:space="preserve">Signature_7fc1529e-a467-4258-b064-9579b13bdbdc</t>
  </si>
  <si>
    <t xml:space="preserve">2024-04-30 09:13:41-05:00</t>
  </si>
  <si>
    <t xml:space="preserve">2024:04:30 09:13:41-05:00</t>
  </si>
  <si>
    <t xml:space="preserve">[0 - 433201], [449587 - 454693]</t>
  </si>
  <si>
    <t xml:space="preserve">Signature_ce2d6aa6-8c90-497b-a5a5-6b7e3a27a798</t>
  </si>
  <si>
    <t xml:space="preserve">2024-04-30 09:13:27-05:00</t>
  </si>
  <si>
    <t xml:space="preserve">2024:04:30 09:13:27-05:00</t>
  </si>
  <si>
    <t xml:space="preserve">Signature_655ad38c-e6a6-493f-8f48-536b4e54db99</t>
  </si>
  <si>
    <t xml:space="preserve">2024-04-30 09:13:22-05:00</t>
  </si>
  <si>
    <t xml:space="preserve">2024:04:30 09:13:22-05:00</t>
  </si>
  <si>
    <t xml:space="preserve">[0 - 846023], [862409 - 867385]</t>
  </si>
  <si>
    <t xml:space="preserve">Signature_49606362-1d3e-4ccd-93b8-f7d11969fabf</t>
  </si>
  <si>
    <t xml:space="preserve">2024-04-30 09:13:53-05:00</t>
  </si>
  <si>
    <t xml:space="preserve">2024:04:30 09:13:53-05:00</t>
  </si>
  <si>
    <t xml:space="preserve">[0 - 320346], [336732 - 342152]</t>
  </si>
  <si>
    <t xml:space="preserve">Signature_d9577857-d0b5-4462-8ed0-7b5c74b531a7</t>
  </si>
  <si>
    <t xml:space="preserve">2024-04-30 09:13:49-05:00</t>
  </si>
  <si>
    <t xml:space="preserve">2024:04:30 09:13:49-05:00</t>
  </si>
  <si>
    <t xml:space="preserve">[0 - 236313], [252699 - 257672]</t>
  </si>
  <si>
    <t xml:space="preserve">Signature_74204b40-f1ef-4717-a907-f6dd154ca8f8</t>
  </si>
  <si>
    <t xml:space="preserve">2024-04-30 09:13:29-05:00</t>
  </si>
  <si>
    <t xml:space="preserve">2024:04:30 09:13:29-05:00</t>
  </si>
  <si>
    <t xml:space="preserve">[0 - 122014], [138400 - 143429]</t>
  </si>
  <si>
    <t xml:space="preserve">Signature_43e85ae5-17fb-46dc-9611-81d60f43ab14</t>
  </si>
  <si>
    <t xml:space="preserve">2024-04-30 09:13:56-05:00</t>
  </si>
  <si>
    <t xml:space="preserve">2024:04:30 09:13:56-05:00</t>
  </si>
  <si>
    <t xml:space="preserve">Signature_d6de5ee3-7931-47cf-88b1-66671fab911c</t>
  </si>
  <si>
    <t xml:space="preserve">2024-04-30 09:13:20-05:00</t>
  </si>
  <si>
    <t xml:space="preserve">2024:04:30 09:13:20-05:00</t>
  </si>
  <si>
    <t xml:space="preserve">[0 - 194928], [211314 - 216849]</t>
  </si>
  <si>
    <t xml:space="preserve">Signature_0117cdbf-6867-4a70-9a70-8a7dac27a9dc</t>
  </si>
  <si>
    <t xml:space="preserve">2024-04-30 09:13:50-05:00</t>
  </si>
  <si>
    <t xml:space="preserve">2024:04:30 09:13:50-05:00</t>
  </si>
  <si>
    <t xml:space="preserve">[0 - 173082], [189468 - 194691]</t>
  </si>
  <si>
    <t xml:space="preserve">Signature_5fd3daf0-a6f2-4f34-893b-62b68b4a42b8</t>
  </si>
  <si>
    <t xml:space="preserve">2024-04-30 09:13:34-05:00</t>
  </si>
  <si>
    <t xml:space="preserve">2024:04:30 09:13:34-05:00</t>
  </si>
  <si>
    <t xml:space="preserve">[0 - 120412], [136798 - 141839]</t>
  </si>
  <si>
    <t xml:space="preserve">Signature_925ec2dc-30a0-4b1f-887d-a8104cbc6aef</t>
  </si>
  <si>
    <t xml:space="preserve">2024-04-30 09:13:36-05:00</t>
  </si>
  <si>
    <t xml:space="preserve">2024:04:30 09:13:36-05:00</t>
  </si>
  <si>
    <t xml:space="preserve">[0 - 68744], [85130 - 93617]</t>
  </si>
  <si>
    <t xml:space="preserve">Signature_020a077d-40f8-404f-9a3c-509883f447a5</t>
  </si>
  <si>
    <t xml:space="preserve">2024-04-30 09:13:31-05:00</t>
  </si>
  <si>
    <t xml:space="preserve">2024:04:30 09:13:31-05:00</t>
  </si>
  <si>
    <t xml:space="preserve">Signature_c60a9e94-a1e1-42ff-9166-7a5f98be8d9c</t>
  </si>
  <si>
    <t xml:space="preserve">2024-04-30 09:11:41-05:00</t>
  </si>
  <si>
    <t xml:space="preserve">2024:04:30 09:11:42-05:00</t>
  </si>
  <si>
    <t xml:space="preserve">[0 - 505458], [521844 - 525004]</t>
  </si>
  <si>
    <t xml:space="preserve">436 0 obj</t>
  </si>
  <si>
    <t xml:space="preserve">Signature_ec713cab-e7ce-45ea-8ed5-957dca003a9a</t>
  </si>
  <si>
    <t xml:space="preserve">2024-04-30 09:11:00-05:00</t>
  </si>
  <si>
    <t xml:space="preserve">2024:04:30 09:11:00-05:00</t>
  </si>
  <si>
    <t xml:space="preserve">[0 - 929913], [946299 - 952007]</t>
  </si>
  <si>
    <t xml:space="preserve">243 0 obj</t>
  </si>
  <si>
    <t xml:space="preserve">Signature_404644cf-53f1-406f-bbe7-e89b3566f8ff</t>
  </si>
  <si>
    <t xml:space="preserve">2024-04-30 09:11:04-05:00</t>
  </si>
  <si>
    <t xml:space="preserve">2024:04:30 09:11:04-05:00</t>
  </si>
  <si>
    <t xml:space="preserve">[0 - 266491], [282877 - 287863]</t>
  </si>
  <si>
    <t xml:space="preserve">231 0 obj</t>
  </si>
  <si>
    <t xml:space="preserve">Signature_91f114af-c636-43aa-a860-d8ba214a0898</t>
  </si>
  <si>
    <t xml:space="preserve">2024-04-30 09:11:38-05:00</t>
  </si>
  <si>
    <t xml:space="preserve">2024:04:30 09:11:38-05:00</t>
  </si>
  <si>
    <t xml:space="preserve">[0 - 98156], [114542 - 122493]</t>
  </si>
  <si>
    <t xml:space="preserve">Signature_78409e7d-6e5a-4e4d-9a65-1addbe7a6ec1</t>
  </si>
  <si>
    <t xml:space="preserve">2024-04-30 09:11:39-05:00</t>
  </si>
  <si>
    <t xml:space="preserve">2024:04:30 09:11:39-05:00</t>
  </si>
  <si>
    <t xml:space="preserve">[0 - 183340], [199726 - 207678]</t>
  </si>
  <si>
    <t xml:space="preserve">Signature_aaf7b5cc-ec97-489a-9300-5a66ba18eb8e</t>
  </si>
  <si>
    <t xml:space="preserve">2024-04-30 09:11:30-05:00</t>
  </si>
  <si>
    <t xml:space="preserve">2024:04:30 09:11:30-05:00</t>
  </si>
  <si>
    <t xml:space="preserve">[0 - 1965159], [1981545 - 1990163]</t>
  </si>
  <si>
    <t xml:space="preserve">Signature_26117337-0409-4ffd-89ee-fa592bdaabff</t>
  </si>
  <si>
    <t xml:space="preserve">2024-04-30 09:11:34-05:00</t>
  </si>
  <si>
    <t xml:space="preserve">2024:04:30 09:11:34-05:00</t>
  </si>
  <si>
    <t xml:space="preserve">[0 - 82478], [98864 - 107423]</t>
  </si>
  <si>
    <t xml:space="preserve">Signature_960aaeb2-142e-41dd-b0d0-2a2c304b46d9</t>
  </si>
  <si>
    <t xml:space="preserve">2024-04-30 09:11:37-05:00</t>
  </si>
  <si>
    <t xml:space="preserve">2024:04:30 09:11:37-05:00</t>
  </si>
  <si>
    <t xml:space="preserve">[0 - 86221], [102607 - 110652]</t>
  </si>
  <si>
    <t xml:space="preserve">Signature_15efe85d-841e-4b53-8324-9977de671f09</t>
  </si>
  <si>
    <t xml:space="preserve">2024-04-30 09:11:35-05:00</t>
  </si>
  <si>
    <t xml:space="preserve">2024:04:30 09:11:35-05:00</t>
  </si>
  <si>
    <t xml:space="preserve">[0 - 88281], [104667 - 113226]</t>
  </si>
  <si>
    <t xml:space="preserve">Signature_a7c5583f-8ceb-49a3-a313-37b559f003d9</t>
  </si>
  <si>
    <t xml:space="preserve">[0 - 88050], [104436 - 112995]</t>
  </si>
  <si>
    <t xml:space="preserve">Signature_065c27f0-8dab-4ea6-a9ce-206b8899b417</t>
  </si>
  <si>
    <t xml:space="preserve">2024-04-30 09:11:32-05:00</t>
  </si>
  <si>
    <t xml:space="preserve">2024:04:30 09:11:32-05:00</t>
  </si>
  <si>
    <t xml:space="preserve">[0 - 909732], [926118 - 934678]</t>
  </si>
  <si>
    <t xml:space="preserve">Signature_8fc2c89e-9769-49f6-93f7-af968f83e547</t>
  </si>
  <si>
    <t xml:space="preserve">2024-04-30 09:11:17-05:00</t>
  </si>
  <si>
    <t xml:space="preserve">2024:04:30 09:11:17-05:00</t>
  </si>
  <si>
    <t xml:space="preserve">[0 - 189611], [205997 - 210731]</t>
  </si>
  <si>
    <t xml:space="preserve">74 0 obj</t>
  </si>
  <si>
    <t xml:space="preserve">Signature_bc7bd233-aa5f-4705-b0e6-ffd6474fce27</t>
  </si>
  <si>
    <t xml:space="preserve">2024-04-30 09:10:58-05:00</t>
  </si>
  <si>
    <t xml:space="preserve">2024:04:30 09:10:58-05:00</t>
  </si>
  <si>
    <t xml:space="preserve">[0 - 718626], [735012 - 740529]</t>
  </si>
  <si>
    <t xml:space="preserve">287 0 obj</t>
  </si>
  <si>
    <t xml:space="preserve">Signature_aed2c8fc-6ec2-4cbe-bc81-32daac24ca41</t>
  </si>
  <si>
    <t xml:space="preserve">2024-04-30 09:10:57-05:00</t>
  </si>
  <si>
    <t xml:space="preserve">2024:04:30 09:10:57-05:00</t>
  </si>
  <si>
    <t xml:space="preserve">[0 - 74507], [90893 - 99378]</t>
  </si>
  <si>
    <t xml:space="preserve">Signature_7ac38328-9cc7-49e0-99d2-5855a45467bf</t>
  </si>
  <si>
    <t xml:space="preserve">2024-04-30 09:11:03-05:00</t>
  </si>
  <si>
    <t xml:space="preserve">2024:04:30 09:11:03-05:00</t>
  </si>
  <si>
    <t xml:space="preserve">[0 - 115870], [132256 - 137909]</t>
  </si>
  <si>
    <t xml:space="preserve">123 0 obj</t>
  </si>
  <si>
    <t xml:space="preserve">Signature_5fe1898c-b82c-4354-9eca-438d63fd04f4</t>
  </si>
  <si>
    <t xml:space="preserve">2024-04-30 09:11:25-05:00</t>
  </si>
  <si>
    <t xml:space="preserve">2024:04:30 09:11:25-05:00</t>
  </si>
  <si>
    <t xml:space="preserve">[0 - 132781], [149167 - 157700]</t>
  </si>
  <si>
    <t xml:space="preserve">Signature_3b82eb0a-7219-4a8b-acf8-b0c03739fdd5</t>
  </si>
  <si>
    <t xml:space="preserve">2024-04-30 09:11:24-05:00</t>
  </si>
  <si>
    <t xml:space="preserve">2024:04:30 09:11:24-05:00</t>
  </si>
  <si>
    <t xml:space="preserve">[0 - 1292092], [1308478 - 1313970]</t>
  </si>
  <si>
    <t xml:space="preserve">308 0 obj</t>
  </si>
  <si>
    <t xml:space="preserve">Signature_9508d32a-0db3-44cb-8161-b7c58371eefa</t>
  </si>
  <si>
    <t xml:space="preserve">2024-04-30 09:11:22-05:00</t>
  </si>
  <si>
    <t xml:space="preserve">2024:04:30 09:11:22-05:00</t>
  </si>
  <si>
    <t xml:space="preserve">[0 - 133815], [150201 - 158734]</t>
  </si>
  <si>
    <t xml:space="preserve">Signature_a4bee28c-326a-4f8f-94b5-e6f3c1ce1af1</t>
  </si>
  <si>
    <t xml:space="preserve">[0 - 858853], [875239 - 883772]</t>
  </si>
  <si>
    <t xml:space="preserve">Signature_47d66a62-c131-4b61-b66a-0fd58033ae68</t>
  </si>
  <si>
    <t xml:space="preserve">2024-04-30 09:11:20-05:00</t>
  </si>
  <si>
    <t xml:space="preserve">2024:04:30 09:11:20-05:00</t>
  </si>
  <si>
    <t xml:space="preserve">[0 - 130889], [147275 - 155808]</t>
  </si>
  <si>
    <t xml:space="preserve">Signature_e4fe00ac-5493-4db8-8b57-1c1d7e5df120</t>
  </si>
  <si>
    <t xml:space="preserve">2024-04-30 09:11:19-05:00</t>
  </si>
  <si>
    <t xml:space="preserve">2024:04:30 09:11:19-05:00</t>
  </si>
  <si>
    <t xml:space="preserve">[0 - 868492], [884878 - 889473]</t>
  </si>
  <si>
    <t xml:space="preserve">Signature_f9bb6363-05fa-4872-996a-005f193ef60f</t>
  </si>
  <si>
    <t xml:space="preserve">2024-04-30 09:11:18-05:00</t>
  </si>
  <si>
    <t xml:space="preserve">2024:04:30 09:11:18-05:00</t>
  </si>
  <si>
    <t xml:space="preserve">[0 - 832135], [848521 - 854085]</t>
  </si>
  <si>
    <t xml:space="preserve">Signature_1e63871b-4e5c-419d-9cb3-a9debdcc1131</t>
  </si>
  <si>
    <t xml:space="preserve">2024-04-30 09:11:16-05:00</t>
  </si>
  <si>
    <t xml:space="preserve">2024:04:30 09:11:16-05:00</t>
  </si>
  <si>
    <t xml:space="preserve">[0 - 868536], [884922 - 889520]</t>
  </si>
  <si>
    <t xml:space="preserve">Signature_94fbb6d9-c5f0-4433-b5da-bfbcd60e935a</t>
  </si>
  <si>
    <t xml:space="preserve">2024-04-30 09:11:15-05:00</t>
  </si>
  <si>
    <t xml:space="preserve">2024:04:30 09:11:15-05:00</t>
  </si>
  <si>
    <t xml:space="preserve">[0 - 120670], [137056 - 141548]</t>
  </si>
  <si>
    <t xml:space="preserve">38 0 obj</t>
  </si>
  <si>
    <t xml:space="preserve">Signature_7931a426-6494-4d9b-9615-deeca6f2f5eb</t>
  </si>
  <si>
    <t xml:space="preserve">2024-04-30 09:11:13-05:00</t>
  </si>
  <si>
    <t xml:space="preserve">2024:04:30 09:11:13-05:00</t>
  </si>
  <si>
    <t xml:space="preserve">[0 - 800760], [817146 - 821735]</t>
  </si>
  <si>
    <t xml:space="preserve">110 0 obj</t>
  </si>
  <si>
    <t xml:space="preserve">Signature_e217a6cb-428c-4084-9160-42309051e302</t>
  </si>
  <si>
    <t xml:space="preserve">2024-04-30 09:11:14-05:00</t>
  </si>
  <si>
    <t xml:space="preserve">2024:04:30 09:11:14-05:00</t>
  </si>
  <si>
    <t xml:space="preserve">[0 - 800806], [817192 - 821783]</t>
  </si>
  <si>
    <t xml:space="preserve">Signature_e7c72108-46ab-4ba8-9998-611bc4f8c59c</t>
  </si>
  <si>
    <t xml:space="preserve">2024-04-30 09:11:11-05:00</t>
  </si>
  <si>
    <t xml:space="preserve">2024:04:30 09:11:11-05:00</t>
  </si>
  <si>
    <t xml:space="preserve">[0 - 820521], [836907 - 841499]</t>
  </si>
  <si>
    <t xml:space="preserve">Signature_e9531720-5bd9-4f51-9bb0-09de7ea6568d</t>
  </si>
  <si>
    <t xml:space="preserve">2024-04-30 09:11:12-05:00</t>
  </si>
  <si>
    <t xml:space="preserve">2024:04:30 09:11:12-05:00</t>
  </si>
  <si>
    <t xml:space="preserve">[0 - 359370], [375756 - 380356]</t>
  </si>
  <si>
    <t xml:space="preserve">Signature_832f9389-6bea-443a-a468-ca7bfdf6b6c2</t>
  </si>
  <si>
    <t xml:space="preserve">2024-04-30 09:11:10-05:00</t>
  </si>
  <si>
    <t xml:space="preserve">2024:04:30 09:11:10-05:00</t>
  </si>
  <si>
    <t xml:space="preserve">[0 - 804429], [820815 - 829348]</t>
  </si>
  <si>
    <t xml:space="preserve">Signature_f003c1fe-e7a8-43aa-980b-4597d5079df1</t>
  </si>
  <si>
    <t xml:space="preserve">2024-04-30 09:11:09-05:00</t>
  </si>
  <si>
    <t xml:space="preserve">2024:04:30 09:11:09-05:00</t>
  </si>
  <si>
    <t xml:space="preserve">[0 - 346818], [363204 - 367800]</t>
  </si>
  <si>
    <t xml:space="preserve">124 0 obj</t>
  </si>
  <si>
    <t xml:space="preserve">Signature_2a2294ae-e64f-4b1d-93a3-a425242a372b</t>
  </si>
  <si>
    <t xml:space="preserve">2024-04-30 09:11:06-05:00</t>
  </si>
  <si>
    <t xml:space="preserve">2024:04:30 09:11:06-05:00</t>
  </si>
  <si>
    <t xml:space="preserve">[0 - 819289], [835675 - 840265]</t>
  </si>
  <si>
    <t xml:space="preserve">Signature_46e0067e-b9d8-42b2-a8fc-f6d9dfeaef02</t>
  </si>
  <si>
    <t xml:space="preserve">2024-04-30 09:11:07-05:00</t>
  </si>
  <si>
    <t xml:space="preserve">2024:04:30 09:11:07-05:00</t>
  </si>
  <si>
    <t xml:space="preserve">[0 - 819198], [835584 - 840175]</t>
  </si>
  <si>
    <t xml:space="preserve">Signature_a7a8ffd7-c6f1-4a4c-9fce-c514a0b771bb</t>
  </si>
  <si>
    <t xml:space="preserve">2024-04-30 09:10:59-05:00</t>
  </si>
  <si>
    <t xml:space="preserve">2024:04:30 09:10:59-05:00</t>
  </si>
  <si>
    <t xml:space="preserve">[0 - 823692], [840078 - 845655]</t>
  </si>
  <si>
    <t xml:space="preserve">318 0 obj</t>
  </si>
  <si>
    <t xml:space="preserve">Signature_e3e04670-8103-45f2-9420-36acec7a21a3</t>
  </si>
  <si>
    <t xml:space="preserve">2024-04-30 09:11:36-05:00</t>
  </si>
  <si>
    <t xml:space="preserve">2024:04:30 09:11:36-05:00</t>
  </si>
  <si>
    <t xml:space="preserve">[0 - 153414], [169800 - 178416]</t>
  </si>
  <si>
    <t xml:space="preserve">Signature_ac853605-1446-4f3b-920a-28762a4a0ee8</t>
  </si>
  <si>
    <t xml:space="preserve">2024-04-30 09:11:08-05:00</t>
  </si>
  <si>
    <t xml:space="preserve">2024:04:30 09:11:08-05:00</t>
  </si>
  <si>
    <t xml:space="preserve">[0 - 3032059], [3048445 - 3053427]</t>
  </si>
  <si>
    <t xml:space="preserve">68 0 obj</t>
  </si>
  <si>
    <t xml:space="preserve">Signature_c1ad72ac-db1a-42f9-bf68-b0780ef01ec9</t>
  </si>
  <si>
    <t xml:space="preserve">2024-04-30 09:11:02-05:00</t>
  </si>
  <si>
    <t xml:space="preserve">2024:04:30 09:11:02-05:00</t>
  </si>
  <si>
    <t xml:space="preserve">[0 - 789299], [805685 - 810763]</t>
  </si>
  <si>
    <t xml:space="preserve">Signature_64f018f7-0994-4e92-be49-e64e7783e5cd</t>
  </si>
  <si>
    <t xml:space="preserve">2024-04-30 09:11:01-05:00</t>
  </si>
  <si>
    <t xml:space="preserve">2024:04:30 09:11:01-05:00</t>
  </si>
  <si>
    <t xml:space="preserve">[0 - 831236], [847622 - 852696]</t>
  </si>
  <si>
    <t xml:space="preserve">428 0 obj</t>
  </si>
  <si>
    <t xml:space="preserve">Signature_d4da36a7-49ef-437d-93ce-4d98b08f9eb7</t>
  </si>
  <si>
    <t xml:space="preserve">2024-04-30 09:11:29-05:00</t>
  </si>
  <si>
    <t xml:space="preserve">2024:04:30 09:11:29-05:00</t>
  </si>
  <si>
    <t xml:space="preserve">[0 - 218487], [234873 - 243547]</t>
  </si>
  <si>
    <t xml:space="preserve">Signature_f580de14-cfc9-419f-921d-4b41fbad6f6e</t>
  </si>
  <si>
    <t xml:space="preserve">2024-04-30 09:11:26-05:00</t>
  </si>
  <si>
    <t xml:space="preserve">2024:04:30 09:11:26-05:00</t>
  </si>
  <si>
    <t xml:space="preserve">[0 - 250593], [266979 - 272372]</t>
  </si>
  <si>
    <t xml:space="preserve">603 0 obj</t>
  </si>
  <si>
    <t xml:space="preserve">Signature_ced4d1ed-0d32-40ff-864c-86bce6a91534</t>
  </si>
  <si>
    <t xml:space="preserve">2024-04-30 09:11:31-05:00</t>
  </si>
  <si>
    <t xml:space="preserve">2024:04:30 09:11:31-05:00</t>
  </si>
  <si>
    <t xml:space="preserve">[0 - 2816529], [2832915 - 2841591]</t>
  </si>
  <si>
    <t xml:space="preserve">Signature_a21657f1-189b-4144-8efa-f416faa40d08</t>
  </si>
  <si>
    <t xml:space="preserve">2024-04-30 09:11:28-05:00</t>
  </si>
  <si>
    <t xml:space="preserve">2024:04:30 09:11:28-05:00</t>
  </si>
  <si>
    <t xml:space="preserve">[0 - 78637], [95023 - 103582]</t>
  </si>
  <si>
    <t xml:space="preserve">Signature_0ff36f59-2947-4db1-a5b2-cd2629166336</t>
  </si>
  <si>
    <t xml:space="preserve">2024-04-30 09:11:27-05:00</t>
  </si>
  <si>
    <t xml:space="preserve">2024:04:30 09:11:27-05:00</t>
  </si>
  <si>
    <t xml:space="preserve">[0 - 933626], [950012 - 955205]</t>
  </si>
  <si>
    <t xml:space="preserve">Signature_60723455-1bb9-4942-ae16-cf1eb5d9d9d9</t>
  </si>
  <si>
    <t xml:space="preserve">2024-04-30 09:14:59-05:00</t>
  </si>
  <si>
    <t xml:space="preserve">2024:04:30 09:14:59-05:00</t>
  </si>
  <si>
    <t xml:space="preserve">[0 - 709232], [725618 - 730691]</t>
  </si>
  <si>
    <t xml:space="preserve">Signature_27e2414a-bdd3-4271-be5f-73a62bb93a53</t>
  </si>
  <si>
    <t xml:space="preserve">2024-04-30 09:14:46-05:00</t>
  </si>
  <si>
    <t xml:space="preserve">2024:04:30 09:14:46-05:00</t>
  </si>
  <si>
    <t xml:space="preserve">[0 - 75732], [92118 - 100604]</t>
  </si>
  <si>
    <t xml:space="preserve">Signature_f160ec07-c87f-4689-8367-96c8c4dd2992</t>
  </si>
  <si>
    <t xml:space="preserve">2024-04-30 09:15:15-05:00</t>
  </si>
  <si>
    <t xml:space="preserve">2024:04:30 09:15:16-05:00</t>
  </si>
  <si>
    <t xml:space="preserve">[0 - 450799], [467185 - 469922]</t>
  </si>
  <si>
    <t xml:space="preserve">345 0 obj</t>
  </si>
  <si>
    <t xml:space="preserve">Signature_54396833-0086-4d22-a38b-4192500b847b</t>
  </si>
  <si>
    <t xml:space="preserve">2024-04-30 09:14:49-05:00</t>
  </si>
  <si>
    <t xml:space="preserve">2024:04:30 09:14:49-05:00</t>
  </si>
  <si>
    <t xml:space="preserve">[0 - 941730], [958116 - 963405]</t>
  </si>
  <si>
    <t xml:space="preserve">Signature_3ea170ec-258d-4566-966c-c1e74c1f2908</t>
  </si>
  <si>
    <t xml:space="preserve">2024-04-30 09:14:58-05:00</t>
  </si>
  <si>
    <t xml:space="preserve">2024:04:30 09:14:58-05:00</t>
  </si>
  <si>
    <t xml:space="preserve">[0 - 82151], [98537 - 103014]</t>
  </si>
  <si>
    <t xml:space="preserve">Signature_ac5016b9-cc96-4648-b33a-5ffa6407bc13</t>
  </si>
  <si>
    <t xml:space="preserve">2024-04-30 09:14:52-05:00</t>
  </si>
  <si>
    <t xml:space="preserve">2024:04:30 09:14:52-05:00</t>
  </si>
  <si>
    <t xml:space="preserve">[0 - 72191], [88577 - 97064]</t>
  </si>
  <si>
    <t xml:space="preserve">Signature_32381b1a-6033-4ad7-8b76-20e0ce63b32c</t>
  </si>
  <si>
    <t xml:space="preserve">2024-04-30 09:15:14-05:00</t>
  </si>
  <si>
    <t xml:space="preserve">2024:04:30 09:15:14-05:00</t>
  </si>
  <si>
    <t xml:space="preserve">[0 - 88887], [105273 - 113832]</t>
  </si>
  <si>
    <t xml:space="preserve">Signature_b33578f8-a2ff-4b20-9c7e-81cf848da1db</t>
  </si>
  <si>
    <t xml:space="preserve">2024-04-30 09:15:12-05:00</t>
  </si>
  <si>
    <t xml:space="preserve">2024:04:30 09:15:12-05:00</t>
  </si>
  <si>
    <t xml:space="preserve">[0 - 91213], [107599 - 116158]</t>
  </si>
  <si>
    <t xml:space="preserve">Signature_086f055c-651b-4240-841a-698c70f663bb</t>
  </si>
  <si>
    <t xml:space="preserve">2024-04-30 09:15:10-05:00</t>
  </si>
  <si>
    <t xml:space="preserve">2024:04:30 09:15:10-05:00</t>
  </si>
  <si>
    <t xml:space="preserve">[0 - 90907], [107293 - 115852]</t>
  </si>
  <si>
    <t xml:space="preserve">Signature_7eed85cb-3df0-48c7-8b8c-9cb453212f3e</t>
  </si>
  <si>
    <t xml:space="preserve">2024-04-30 09:15:09-05:00</t>
  </si>
  <si>
    <t xml:space="preserve">2024:04:30 09:15:09-05:00</t>
  </si>
  <si>
    <t xml:space="preserve">[0 - 86036], [102422 - 110981]</t>
  </si>
  <si>
    <t xml:space="preserve">Signature_e938b4f8-db55-4b76-85fe-e7490d7c0d59</t>
  </si>
  <si>
    <t xml:space="preserve">2024-04-30 09:15:06-05:00</t>
  </si>
  <si>
    <t xml:space="preserve">2024:04:30 09:15:06-05:00</t>
  </si>
  <si>
    <t xml:space="preserve">[0 - 489994], [506380 - 514940]</t>
  </si>
  <si>
    <t xml:space="preserve">Signature_1b8dc8d4-3998-4bb0-93e2-35af8548f0a1</t>
  </si>
  <si>
    <t xml:space="preserve">2024-04-30 09:15:07-05:00</t>
  </si>
  <si>
    <t xml:space="preserve">2024:04:30 09:15:07-05:00</t>
  </si>
  <si>
    <t xml:space="preserve">[0 - 494342], [510728 - 519288]</t>
  </si>
  <si>
    <t xml:space="preserve">Signature_cbbfe97f-8e1c-4a8e-beb5-beeff0fc0d0b</t>
  </si>
  <si>
    <t xml:space="preserve">2024-04-30 09:15:05-05:00</t>
  </si>
  <si>
    <t xml:space="preserve">2024:04:30 09:15:05-05:00</t>
  </si>
  <si>
    <t xml:space="preserve">[0 - 88970], [105356 - 113915]</t>
  </si>
  <si>
    <t xml:space="preserve">Signature_d1688ffd-b4e9-480e-b211-4384699794d2</t>
  </si>
  <si>
    <t xml:space="preserve">2024-04-30 09:15:04-05:00</t>
  </si>
  <si>
    <t xml:space="preserve">2024:04:30 09:15:04-05:00</t>
  </si>
  <si>
    <t xml:space="preserve">[0 - 86680], [103066 - 111625]</t>
  </si>
  <si>
    <t xml:space="preserve">Signature_b5da2796-c9f3-47b2-ab91-f82933940f43</t>
  </si>
  <si>
    <t xml:space="preserve">2024-04-30 09:15:03-05:00</t>
  </si>
  <si>
    <t xml:space="preserve">2024:04:30 09:15:03-05:00</t>
  </si>
  <si>
    <t xml:space="preserve">[0 - 85035], [101421 - 109980]</t>
  </si>
  <si>
    <t xml:space="preserve">Signature_76e68503-f64d-432e-84bc-c0aede4d83ee</t>
  </si>
  <si>
    <t xml:space="preserve">2024-04-30 09:15:02-05:00</t>
  </si>
  <si>
    <t xml:space="preserve">2024:04:30 09:15:02-05:00</t>
  </si>
  <si>
    <t xml:space="preserve">[0 - 90071], [106457 - 115016]</t>
  </si>
  <si>
    <t xml:space="preserve">Signature_781f7122-f657-49fe-8aa4-c2fde4176216</t>
  </si>
  <si>
    <t xml:space="preserve">2024-04-30 09:15:01-05:00</t>
  </si>
  <si>
    <t xml:space="preserve">2024:04:30 09:15:01-05:00</t>
  </si>
  <si>
    <t xml:space="preserve">[0 - 85513], [101899 - 110466]</t>
  </si>
  <si>
    <t xml:space="preserve">Signature_bb32eb5f-1866-470c-af78-c6f480f3ce72</t>
  </si>
  <si>
    <t xml:space="preserve">2024-04-30 09:15:00-05:00</t>
  </si>
  <si>
    <t xml:space="preserve">2024:04:30 09:15:00-05:00</t>
  </si>
  <si>
    <t xml:space="preserve">[0 - 541623], [558009 - 566577]</t>
  </si>
  <si>
    <t xml:space="preserve">Signature_331207f6-c0ff-40e5-b665-3ed9e382fe1c</t>
  </si>
  <si>
    <t xml:space="preserve">2024-04-30 09:14:55-05:00</t>
  </si>
  <si>
    <t xml:space="preserve">2024:04:30 09:14:55-05:00</t>
  </si>
  <si>
    <t xml:space="preserve">[0 - 129989], [146375 - 154908]</t>
  </si>
  <si>
    <t xml:space="preserve">Signature_ae504d72-83a0-438b-b389-bdc8dc6db815</t>
  </si>
  <si>
    <t xml:space="preserve">2024-04-30 09:14:50-05:00</t>
  </si>
  <si>
    <t xml:space="preserve">2024:04:30 09:14:50-05:00</t>
  </si>
  <si>
    <t xml:space="preserve">[0 - 108645], [125031 - 133185]</t>
  </si>
  <si>
    <t xml:space="preserve">Signature_94ae3061-024b-4297-8d48-f961bfc0393c</t>
  </si>
  <si>
    <t xml:space="preserve">2024-04-30 09:15:13-05:00</t>
  </si>
  <si>
    <t xml:space="preserve">2024:04:30 09:15:13-05:00</t>
  </si>
  <si>
    <t xml:space="preserve">[0 - 103769], [120155 - 128715]</t>
  </si>
  <si>
    <t xml:space="preserve">Signature_4b2a56c5-dbb1-417e-8f77-78f49e67d4b6</t>
  </si>
  <si>
    <t xml:space="preserve">[0 - 111490], [127876 - 136436]</t>
  </si>
  <si>
    <t xml:space="preserve">Signature_51dda872-8199-4c42-86df-9ac96fa51774</t>
  </si>
  <si>
    <t xml:space="preserve">2024-04-30 09:14:53-05:00</t>
  </si>
  <si>
    <t xml:space="preserve">2024:04:30 09:14:53-05:00</t>
  </si>
  <si>
    <t xml:space="preserve">[0 - 63163], [79549 - 84080]</t>
  </si>
  <si>
    <t xml:space="preserve">Signature_ab2cd69b-0800-42ad-9876-3a3ee3b55aae</t>
  </si>
  <si>
    <t xml:space="preserve">2024-04-30 09:14:57-05:00</t>
  </si>
  <si>
    <t xml:space="preserve">2024:04:30 09:14:57-05:00</t>
  </si>
  <si>
    <t xml:space="preserve">[0 - 810439], [826825 - 831903]</t>
  </si>
  <si>
    <t xml:space="preserve">229 0 obj</t>
  </si>
  <si>
    <t xml:space="preserve">Signature_b596ed8c-5c40-4f2b-8b15-deb6fc996a4e</t>
  </si>
  <si>
    <t xml:space="preserve">2024-04-30 09:14:48-05:00</t>
  </si>
  <si>
    <t xml:space="preserve">2024:04:30 09:14:48-05:00</t>
  </si>
  <si>
    <t xml:space="preserve">[0 - 158044], [174430 - 179777]</t>
  </si>
  <si>
    <t xml:space="preserve">Signature_13b9369e-6506-4133-9663-6151f1408fb9</t>
  </si>
  <si>
    <t xml:space="preserve">2024-04-30 09:14:56-05:00</t>
  </si>
  <si>
    <t xml:space="preserve">2024:04:30 09:14:56-05:00</t>
  </si>
  <si>
    <t xml:space="preserve">[0 - 268438], [284824 - 293313]</t>
  </si>
  <si>
    <t xml:space="preserve">Signature_860cb1b9-073c-4346-ba38-20ee36161554</t>
  </si>
  <si>
    <t xml:space="preserve">2024-04-30 09:14:51-05:00</t>
  </si>
  <si>
    <t xml:space="preserve">2024:04:30 09:14:51-05:00</t>
  </si>
  <si>
    <t xml:space="preserve">[0 - 72431], [88817 - 97304]</t>
  </si>
  <si>
    <t xml:space="preserve">Signature_d58b06a1-55dc-4288-877e-ddd5c13c4030</t>
  </si>
  <si>
    <t xml:space="preserve">2024-04-30 08:57:10-05:00</t>
  </si>
  <si>
    <t xml:space="preserve">2024:04:30 08:57:10-05:00</t>
  </si>
  <si>
    <t xml:space="preserve">[0 - 82866], [99252 - 100457]</t>
  </si>
  <si>
    <t xml:space="preserve">Signature_304f6b0e-9e40-476b-81a6-9507d0548c81</t>
  </si>
  <si>
    <t xml:space="preserve">2024-04-30 08:56:46-05:00</t>
  </si>
  <si>
    <t xml:space="preserve">2024:04:30 08:56:46-05:00</t>
  </si>
  <si>
    <t xml:space="preserve">[0 - 804801], [821187 - 826448]</t>
  </si>
  <si>
    <t xml:space="preserve">Signature_8fb3a781-ba3e-4871-95b5-27a09da600c6</t>
  </si>
  <si>
    <t xml:space="preserve">2024-04-30 08:57:04-05:00</t>
  </si>
  <si>
    <t xml:space="preserve">2024:04:30 08:57:04-05:00</t>
  </si>
  <si>
    <t xml:space="preserve">[0 - 97636], [114022 - 122510]</t>
  </si>
  <si>
    <t xml:space="preserve">Signature_48f425f6-3609-4644-be71-c290e454d124</t>
  </si>
  <si>
    <t xml:space="preserve">2024-04-30 08:57:03-05:00</t>
  </si>
  <si>
    <t xml:space="preserve">2024:04:30 08:57:03-05:00</t>
  </si>
  <si>
    <t xml:space="preserve">[0 - 647689], [664075 - 668467]</t>
  </si>
  <si>
    <t xml:space="preserve">Signature_88d82f02-254c-48ff-b9ec-8a5e1b724a82</t>
  </si>
  <si>
    <t xml:space="preserve">2024-04-30 08:57:06-05:00</t>
  </si>
  <si>
    <t xml:space="preserve">2024:04:30 08:57:06-05:00</t>
  </si>
  <si>
    <t xml:space="preserve">[0 - 139243], [155629 - 164162]</t>
  </si>
  <si>
    <t xml:space="preserve">Signature_998d45e1-21b7-4b05-9ffb-15ead969e637</t>
  </si>
  <si>
    <t xml:space="preserve">2024-04-30 08:57:00-05:00</t>
  </si>
  <si>
    <t xml:space="preserve">2024:04:30 08:57:00-05:00</t>
  </si>
  <si>
    <t xml:space="preserve">[0 - 675900], [692286 - 697693]</t>
  </si>
  <si>
    <t xml:space="preserve">216 0 obj</t>
  </si>
  <si>
    <t xml:space="preserve">Signature_d9b86987-8e6f-4263-bb7d-c20abb26ea9c</t>
  </si>
  <si>
    <t xml:space="preserve">2024-04-30 08:56:59-05:00</t>
  </si>
  <si>
    <t xml:space="preserve">2024:04:30 08:56:59-05:00</t>
  </si>
  <si>
    <t xml:space="preserve">[0 - 398458], [414844 - 423331]</t>
  </si>
  <si>
    <t xml:space="preserve">Signature_9c95b306-c2f6-42dc-b88e-e768fb560f2c</t>
  </si>
  <si>
    <t xml:space="preserve">2024-04-30 08:56:57-05:00</t>
  </si>
  <si>
    <t xml:space="preserve">2024:04:30 08:56:57-05:00</t>
  </si>
  <si>
    <t xml:space="preserve">[0 - 434508], [450894 - 459381]</t>
  </si>
  <si>
    <t xml:space="preserve">Signature_f0f7714c-f5db-4ae0-87d0-d653f43e6de2</t>
  </si>
  <si>
    <t xml:space="preserve">2024-04-30 08:56:53-05:00</t>
  </si>
  <si>
    <t xml:space="preserve">2024:04:30 08:56:53-05:00</t>
  </si>
  <si>
    <t xml:space="preserve">[0 - 458606], [474992 - 483479]</t>
  </si>
  <si>
    <t xml:space="preserve">Signature_0f63bb67-aa56-4463-a659-1805b2a99e6f</t>
  </si>
  <si>
    <t xml:space="preserve">2024-04-30 08:56:48-05:00</t>
  </si>
  <si>
    <t xml:space="preserve">2024:04:30 08:56:48-05:00</t>
  </si>
  <si>
    <t xml:space="preserve">[0 - 78159], [94545 - 103037]</t>
  </si>
  <si>
    <t xml:space="preserve">Signature_845bb13d-bad4-467b-a076-9dcac3854f9f</t>
  </si>
  <si>
    <t xml:space="preserve">2024-04-30 08:57:05-05:00</t>
  </si>
  <si>
    <t xml:space="preserve">2024:04:30 08:57:05-05:00</t>
  </si>
  <si>
    <t xml:space="preserve">[0 - 1234494], [1250880 - 1256363]</t>
  </si>
  <si>
    <t xml:space="preserve">Signature_137217ff-19a4-431f-893d-6a2bb85c66fd</t>
  </si>
  <si>
    <t xml:space="preserve">[0 - 1230003], [1246389 - 1251878]</t>
  </si>
  <si>
    <t xml:space="preserve">295 0 obj</t>
  </si>
  <si>
    <t xml:space="preserve">Signature_3a29267e-f0ad-4101-82d6-ff63eb2f58f4</t>
  </si>
  <si>
    <t xml:space="preserve">2024-04-30 08:57:02-05:00</t>
  </si>
  <si>
    <t xml:space="preserve">2024:04:30 08:57:02-05:00</t>
  </si>
  <si>
    <t xml:space="preserve">[0 - 839117], [855503 - 861109]</t>
  </si>
  <si>
    <t xml:space="preserve">Signature_ec7106e2-0d1b-487f-9002-48f92859ff63</t>
  </si>
  <si>
    <t xml:space="preserve">2024-04-30 08:56:58-05:00</t>
  </si>
  <si>
    <t xml:space="preserve">2024:04:30 08:56:58-05:00</t>
  </si>
  <si>
    <t xml:space="preserve">[0 - 846321], [862707 - 871238]</t>
  </si>
  <si>
    <t xml:space="preserve">Signature_3b79bf38-4aec-409f-aa46-e4a523c60967</t>
  </si>
  <si>
    <t xml:space="preserve">2024-04-30 08:56:52-05:00</t>
  </si>
  <si>
    <t xml:space="preserve">2024:04:30 08:56:52-05:00</t>
  </si>
  <si>
    <t xml:space="preserve">[0 - 735601], [751987 - 760518]</t>
  </si>
  <si>
    <t xml:space="preserve">Signature_d05244f8-886a-4d34-a100-cdc64fdfcc7a</t>
  </si>
  <si>
    <t xml:space="preserve">2024-04-30 08:56:49-05:00</t>
  </si>
  <si>
    <t xml:space="preserve">2024:04:30 08:56:49-05:00</t>
  </si>
  <si>
    <t xml:space="preserve">[0 - 112282], [128668 - 137205]</t>
  </si>
  <si>
    <t xml:space="preserve">Signature_3ad5dd3d-2a7f-4a60-81b3-53bb8f29fb27</t>
  </si>
  <si>
    <t xml:space="preserve">2024-04-30 08:56:47-05:00</t>
  </si>
  <si>
    <t xml:space="preserve">2024:04:30 08:56:47-05:00</t>
  </si>
  <si>
    <t xml:space="preserve">[0 - 862114], [878500 - 885521]</t>
  </si>
  <si>
    <t xml:space="preserve">346 0 obj</t>
  </si>
  <si>
    <t xml:space="preserve">Signature_1a8f0d42-410c-45e8-8062-ad215a67b7eb</t>
  </si>
  <si>
    <t xml:space="preserve">2024-04-30 08:56:56-05:00</t>
  </si>
  <si>
    <t xml:space="preserve">2024:04:30 08:56:56-05:00</t>
  </si>
  <si>
    <t xml:space="preserve">[0 - 1050983], [1067369 - 1075902]</t>
  </si>
  <si>
    <t xml:space="preserve">Signature_308f3fdc-2e83-4b02-8b36-62804aa74f1a</t>
  </si>
  <si>
    <t xml:space="preserve">2024-04-30 08:56:51-05:00</t>
  </si>
  <si>
    <t xml:space="preserve">2024:04:30 08:56:51-05:00</t>
  </si>
  <si>
    <t xml:space="preserve">[0 - 988426], [1004812 - 1013344]</t>
  </si>
  <si>
    <t xml:space="preserve">Signature_3bdfbc86-9cfa-41b2-8d39-e521a954c9c9</t>
  </si>
  <si>
    <t xml:space="preserve">2024-04-30 08:56:55-05:00</t>
  </si>
  <si>
    <t xml:space="preserve">2024:04:30 08:56:55-05:00</t>
  </si>
  <si>
    <t xml:space="preserve">[0 - 738724], [755110 - 763597]</t>
  </si>
  <si>
    <t xml:space="preserve">Signature_e36bcf9b-31fc-4f6e-85ca-39c42641e632</t>
  </si>
  <si>
    <t xml:space="preserve">2024-04-30 08:57:08-05:00</t>
  </si>
  <si>
    <t xml:space="preserve">2024:04:30 08:57:08-05:00</t>
  </si>
  <si>
    <t xml:space="preserve">[0 - 651372], [667758 - 672353]</t>
  </si>
  <si>
    <t xml:space="preserve">65 0 obj</t>
  </si>
  <si>
    <t xml:space="preserve">Signature_1475cced-df6f-45a9-a20b-c671c9462f8c</t>
  </si>
  <si>
    <t xml:space="preserve">2024-04-30 08:57:09-05:00</t>
  </si>
  <si>
    <t xml:space="preserve">2024:04:30 08:57:09-05:00</t>
  </si>
  <si>
    <t xml:space="preserve">[0 - 632050], [648436 - 653031]</t>
  </si>
  <si>
    <t xml:space="preserve">Signature_ee5385de-22e4-4bf0-813c-c529c36bb9a6</t>
  </si>
  <si>
    <t xml:space="preserve">2024-04-30 08:58:46-05:00</t>
  </si>
  <si>
    <t xml:space="preserve">2024:04:30 08:58:47-05:00</t>
  </si>
  <si>
    <t xml:space="preserve">[0 - 517958], [534344 - 537551]</t>
  </si>
  <si>
    <t xml:space="preserve">430 0 obj</t>
  </si>
  <si>
    <t xml:space="preserve">Signature_64de0df5-130f-432b-b96f-1a9644889442</t>
  </si>
  <si>
    <t xml:space="preserve">2024-04-30 08:58:21-05:00</t>
  </si>
  <si>
    <t xml:space="preserve">2024:04:30 08:58:21-05:00</t>
  </si>
  <si>
    <t xml:space="preserve">[0 - 916859], [933245 - 938496]</t>
  </si>
  <si>
    <t xml:space="preserve">Signature_e330b41b-377a-4149-9f2d-e9db48ea3e50</t>
  </si>
  <si>
    <t xml:space="preserve">2024-04-30 08:58:18-05:00</t>
  </si>
  <si>
    <t xml:space="preserve">2024:04:30 08:58:18-05:00</t>
  </si>
  <si>
    <t xml:space="preserve">[0 - 772005], [788391 - 793654]</t>
  </si>
  <si>
    <t xml:space="preserve">87 0 obj</t>
  </si>
  <si>
    <t xml:space="preserve">Signature_72f69392-4841-43e3-8a2c-e58993538432</t>
  </si>
  <si>
    <t xml:space="preserve">2024-04-30 08:58:44-05:00</t>
  </si>
  <si>
    <t xml:space="preserve">2024:04:30 08:58:44-05:00</t>
  </si>
  <si>
    <t xml:space="preserve">[0 - 92877], [109263 - 117830]</t>
  </si>
  <si>
    <t xml:space="preserve">Signature_ebb2a0a7-5d19-43af-84f9-ddbeae0d2453</t>
  </si>
  <si>
    <t xml:space="preserve">2024-04-30 08:58:43-05:00</t>
  </si>
  <si>
    <t xml:space="preserve">2024:04:30 08:58:43-05:00</t>
  </si>
  <si>
    <t xml:space="preserve">[0 - 555648], [572034 - 580602]</t>
  </si>
  <si>
    <t xml:space="preserve">Signature_44097954-e372-4d26-83c5-56a745fc48fb</t>
  </si>
  <si>
    <t xml:space="preserve">2024-04-30 08:58:41-05:00</t>
  </si>
  <si>
    <t xml:space="preserve">2024:04:30 08:58:41-05:00</t>
  </si>
  <si>
    <t xml:space="preserve">[0 - 77672], [94058 - 102625]</t>
  </si>
  <si>
    <t xml:space="preserve">Signature_49fa69ef-6a7c-49f4-9e6b-63000537ab03</t>
  </si>
  <si>
    <t xml:space="preserve">2024-04-30 08:58:40-05:00</t>
  </si>
  <si>
    <t xml:space="preserve">2024:04:30 08:58:40-05:00</t>
  </si>
  <si>
    <t xml:space="preserve">[0 - 1357140], [1373526 - 1378104]</t>
  </si>
  <si>
    <t xml:space="preserve">Signature_e81c5760-af0d-4180-aad9-2786cd0d6f06</t>
  </si>
  <si>
    <t xml:space="preserve">2024-04-30 08:58:35-05:00</t>
  </si>
  <si>
    <t xml:space="preserve">2024:04:30 08:58:35-05:00</t>
  </si>
  <si>
    <t xml:space="preserve">[0 - 1034858], [1051244 - 1056147]</t>
  </si>
  <si>
    <t xml:space="preserve">Signature_86403bfb-2fda-4a2f-bc98-befb4de7226c</t>
  </si>
  <si>
    <t xml:space="preserve">2024-04-30 08:58:27-05:00</t>
  </si>
  <si>
    <t xml:space="preserve">2024:04:30 08:58:27-05:00</t>
  </si>
  <si>
    <t xml:space="preserve">[0 - 716582], [732968 - 738479]</t>
  </si>
  <si>
    <t xml:space="preserve">Signature_c71ba8cf-3605-40ac-b7a0-3c6f838d9fe2</t>
  </si>
  <si>
    <t xml:space="preserve">2024-04-30 08:58:26-05:00</t>
  </si>
  <si>
    <t xml:space="preserve">2024:04:30 08:58:26-05:00</t>
  </si>
  <si>
    <t xml:space="preserve">[0 - 80239], [96625 - 105111]</t>
  </si>
  <si>
    <t xml:space="preserve">Signature_c92daeba-b3ca-407a-b7a4-af29970b6560</t>
  </si>
  <si>
    <t xml:space="preserve">2024-04-30 08:58:25-05:00</t>
  </si>
  <si>
    <t xml:space="preserve">2024:04:30 08:58:25-05:00</t>
  </si>
  <si>
    <t xml:space="preserve">[0 - 79786], [96172 - 104658]</t>
  </si>
  <si>
    <t xml:space="preserve">Signature_3e579dfc-bc5d-412c-9cdc-aba45cb4b8f8</t>
  </si>
  <si>
    <t xml:space="preserve">2024-04-30 08:58:20-05:00</t>
  </si>
  <si>
    <t xml:space="preserve">2024:04:30 08:58:20-05:00</t>
  </si>
  <si>
    <t xml:space="preserve">[0 - 171281], [187667 - 192805]</t>
  </si>
  <si>
    <t xml:space="preserve">Signature_b0aeb7d1-ed86-4803-90a6-3c373bac1ff8</t>
  </si>
  <si>
    <t xml:space="preserve">2024-04-30 08:58:39-05:00</t>
  </si>
  <si>
    <t xml:space="preserve">2024:04:30 08:58:39-05:00</t>
  </si>
  <si>
    <t xml:space="preserve">[0 - 815797], [832183 - 836770]</t>
  </si>
  <si>
    <t xml:space="preserve">Signature_88db8c72-1324-4e35-b9fd-8ae2696aa3c8</t>
  </si>
  <si>
    <t xml:space="preserve">2024-04-30 08:58:38-05:00</t>
  </si>
  <si>
    <t xml:space="preserve">2024:04:30 08:58:38-05:00</t>
  </si>
  <si>
    <t xml:space="preserve">[0 - 133584], [149970 - 158503]</t>
  </si>
  <si>
    <t xml:space="preserve">Signature_bd4b1fc3-f82b-4b62-8b0b-8d55bc40387d</t>
  </si>
  <si>
    <t xml:space="preserve">2024-04-30 08:58:37-05:00</t>
  </si>
  <si>
    <t xml:space="preserve">2024:04:30 08:58:37-05:00</t>
  </si>
  <si>
    <t xml:space="preserve">[0 - 1234272], [1250658 - 1256139]</t>
  </si>
  <si>
    <t xml:space="preserve">Signature_86fc8ae7-1be9-461c-912d-64d97ad923fd</t>
  </si>
  <si>
    <t xml:space="preserve">2024-04-30 08:58:36-05:00</t>
  </si>
  <si>
    <t xml:space="preserve">2024:04:30 08:58:36-05:00</t>
  </si>
  <si>
    <t xml:space="preserve">[0 - 1240195], [1256581 - 1261488]</t>
  </si>
  <si>
    <t xml:space="preserve">Signature_89fe6e19-8e74-4f4d-b91f-333e55eee06b</t>
  </si>
  <si>
    <t xml:space="preserve">2024-04-30 08:58:34-05:00</t>
  </si>
  <si>
    <t xml:space="preserve">2024:04:30 08:58:34-05:00</t>
  </si>
  <si>
    <t xml:space="preserve">[0 - 813410], [829796 - 838329]</t>
  </si>
  <si>
    <t xml:space="preserve">Signature_e5e141a1-1011-467b-8b6b-3f76c9c86904</t>
  </si>
  <si>
    <t xml:space="preserve">2024-04-30 08:58:33-05:00</t>
  </si>
  <si>
    <t xml:space="preserve">2024:04:30 08:58:33-05:00</t>
  </si>
  <si>
    <t xml:space="preserve">[0 - 833519], [849905 - 855466]</t>
  </si>
  <si>
    <t xml:space="preserve">316 0 obj</t>
  </si>
  <si>
    <t xml:space="preserve">Signature_e1cac317-3d03-414d-922f-2de33e118684</t>
  </si>
  <si>
    <t xml:space="preserve">2024-04-30 08:58:31-05:00</t>
  </si>
  <si>
    <t xml:space="preserve">2024:04:30 08:58:31-05:00</t>
  </si>
  <si>
    <t xml:space="preserve">[0 - 266693], [283079 - 287674]</t>
  </si>
  <si>
    <t xml:space="preserve">89 0 obj</t>
  </si>
  <si>
    <t xml:space="preserve">Signature_7ddcaa31-1290-492c-956f-5cb22cd7ea1b</t>
  </si>
  <si>
    <t xml:space="preserve">2024-04-30 08:58:29-05:00</t>
  </si>
  <si>
    <t xml:space="preserve">2024:04:30 08:58:29-05:00</t>
  </si>
  <si>
    <t xml:space="preserve">[0 - 838452], [854838 - 860406]</t>
  </si>
  <si>
    <t xml:space="preserve">Signature_6d34b9fc-f8dc-48cf-b4ba-2d368d03416d</t>
  </si>
  <si>
    <t xml:space="preserve">2024-04-30 08:58:28-05:00</t>
  </si>
  <si>
    <t xml:space="preserve">2024:04:30 08:58:28-05:00</t>
  </si>
  <si>
    <t xml:space="preserve">[0 - 756436], [772822 - 777407]</t>
  </si>
  <si>
    <t xml:space="preserve">Signature_6024ca4b-f480-423c-b352-80bc63577555</t>
  </si>
  <si>
    <t xml:space="preserve">2024-04-30 08:58:24-05:00</t>
  </si>
  <si>
    <t xml:space="preserve">2024:04:30 08:58:24-05:00</t>
  </si>
  <si>
    <t xml:space="preserve">[0 - 113990], [130376 - 138907]</t>
  </si>
  <si>
    <t xml:space="preserve">Signature_83ea8e64-a63f-4242-ae77-84b7bcdaa5a9</t>
  </si>
  <si>
    <t xml:space="preserve">2024-04-30 08:58:22-05:00</t>
  </si>
  <si>
    <t xml:space="preserve">2024:04:30 08:58:22-05:00</t>
  </si>
  <si>
    <t xml:space="preserve">[0 - 826354], [842740 - 848277]</t>
  </si>
  <si>
    <t xml:space="preserve">Signature_e4d67fed-1ae3-45e6-abf0-c5a4552d5a68</t>
  </si>
  <si>
    <t xml:space="preserve">2024-04-30 08:58:17-05:00</t>
  </si>
  <si>
    <t xml:space="preserve">2024:04:30 08:58:17-05:00</t>
  </si>
  <si>
    <t xml:space="preserve">[0 - 822351], [838737 - 844308]</t>
  </si>
  <si>
    <t xml:space="preserve">Signature_fc784515-fb9c-487a-a855-979ea6dd18cf</t>
  </si>
  <si>
    <t xml:space="preserve">2024-04-30 08:58:23-05:00</t>
  </si>
  <si>
    <t xml:space="preserve">2024:04:30 08:58:23-05:00</t>
  </si>
  <si>
    <t xml:space="preserve">[0 - 121265], [137651 - 146182]</t>
  </si>
  <si>
    <t xml:space="preserve">Signature_9c659e22-45a9-47b3-b0ad-87ae389acd4c</t>
  </si>
  <si>
    <t xml:space="preserve">2024-04-30 08:58:19-05:00</t>
  </si>
  <si>
    <t xml:space="preserve">2024:04:30 08:58:19-05:00</t>
  </si>
  <si>
    <t xml:space="preserve">[0 - 193223], [209609 - 214235]</t>
  </si>
  <si>
    <t xml:space="preserve">78 0 obj</t>
  </si>
  <si>
    <t xml:space="preserve">Signature_a053dc08-800b-49e9-82e3-63099684f929</t>
  </si>
  <si>
    <t xml:space="preserve">2024-04-30 08:58:15-05:00</t>
  </si>
  <si>
    <t xml:space="preserve">2024:04:30 08:58:15-05:00</t>
  </si>
  <si>
    <t xml:space="preserve">[0 - 206262], [222648 - 227327]</t>
  </si>
  <si>
    <t xml:space="preserve">Signature_179a322d-cae9-49a9-974b-b67165d72517</t>
  </si>
  <si>
    <t xml:space="preserve">2024-04-30 08:58:30-05:00</t>
  </si>
  <si>
    <t xml:space="preserve">2024:04:30 08:58:30-05:00</t>
  </si>
  <si>
    <t xml:space="preserve">[0 - 108059], [124445 - 132934]</t>
  </si>
  <si>
    <t xml:space="preserve">Signature_d6ae7604-bb1f-4821-9fe1-91df7aea3695</t>
  </si>
  <si>
    <t xml:space="preserve">2024-04-30 08:58:42-05:00</t>
  </si>
  <si>
    <t xml:space="preserve">2024:04:30 08:58:42-05:00</t>
  </si>
  <si>
    <t xml:space="preserve">[0 - 73026], [89412 - 97978]</t>
  </si>
  <si>
    <t xml:space="preserve">Signature_ad5585a4-0b90-4ae5-8327-3ba6d38db9b7</t>
  </si>
  <si>
    <t xml:space="preserve">2024-04-30 08:58:45-05:00</t>
  </si>
  <si>
    <t xml:space="preserve">2024:04:30 08:58:46-05:00</t>
  </si>
  <si>
    <t xml:space="preserve">[0 - 233853], [250239 - 252306]</t>
  </si>
  <si>
    <t xml:space="preserve">213 0 obj</t>
  </si>
  <si>
    <t xml:space="preserve">Signature_0da0abcd-07bb-4df9-a262-922902f5dc06</t>
  </si>
  <si>
    <t xml:space="preserve">2024-04-30 08:59:55-05:00</t>
  </si>
  <si>
    <t xml:space="preserve">2024:04:30 08:59:55-05:00</t>
  </si>
  <si>
    <t xml:space="preserve">[0 - 888999], [905385 - 909950]</t>
  </si>
  <si>
    <t xml:space="preserve">55 0 obj</t>
  </si>
  <si>
    <t xml:space="preserve">Signature_933f6fa4-7967-4818-8af6-db1481a0ebc8</t>
  </si>
  <si>
    <t xml:space="preserve">2024-04-30 08:59:53-05:00</t>
  </si>
  <si>
    <t xml:space="preserve">2024:04:30 08:59:53-05:00</t>
  </si>
  <si>
    <t xml:space="preserve">[0 - 376960], [393346 - 397905]</t>
  </si>
  <si>
    <t xml:space="preserve">36 0 obj</t>
  </si>
  <si>
    <t xml:space="preserve">Signature_8b19dc3e-4e08-4d1a-a537-573a2e5dd21f</t>
  </si>
  <si>
    <t xml:space="preserve">2024-04-30 08:59:54-05:00</t>
  </si>
  <si>
    <t xml:space="preserve">2024:04:30 08:59:54-05:00</t>
  </si>
  <si>
    <t xml:space="preserve">[0 - 349536], [365922 - 370481]</t>
  </si>
  <si>
    <t xml:space="preserve">Signature_29d92d86-646d-4424-8a41-1ab07a72b933</t>
  </si>
  <si>
    <t xml:space="preserve">2024-04-30 09:00:10-05:00</t>
  </si>
  <si>
    <t xml:space="preserve">2024:04:30 09:00:11-05:00</t>
  </si>
  <si>
    <t xml:space="preserve">[0 - 524046], [540432 - 543592]</t>
  </si>
  <si>
    <t xml:space="preserve">454 0 obj</t>
  </si>
  <si>
    <t xml:space="preserve">Signature_4ac061ce-5e4f-4b3d-b4ca-df838ba85665</t>
  </si>
  <si>
    <t xml:space="preserve">2024-04-30 08:59:18-05:00</t>
  </si>
  <si>
    <t xml:space="preserve">2024:04:30 08:59:18-05:00</t>
  </si>
  <si>
    <t xml:space="preserve">[0 - 929912], [946298 - 952006]</t>
  </si>
  <si>
    <t xml:space="preserve">Signature_4a73b6ba-826e-4811-9b12-d8993c153ff1</t>
  </si>
  <si>
    <t xml:space="preserve">2024-04-30 08:59:21-05:00</t>
  </si>
  <si>
    <t xml:space="preserve">2024:04:30 08:59:21-05:00</t>
  </si>
  <si>
    <t xml:space="preserve">[0 - 266492], [282878 - 287864]</t>
  </si>
  <si>
    <t xml:space="preserve">Signature_213b5937-67f7-4f3c-914d-d646b9536743</t>
  </si>
  <si>
    <t xml:space="preserve">2024-04-30 09:00:06-05:00</t>
  </si>
  <si>
    <t xml:space="preserve">2024:04:30 09:00:06-05:00</t>
  </si>
  <si>
    <t xml:space="preserve">[0 - 88939], [105325 - 113813]</t>
  </si>
  <si>
    <t xml:space="preserve">Signature_7112e8e1-1624-48db-84a1-26830ff4550e</t>
  </si>
  <si>
    <t xml:space="preserve">2024-04-30 08:59:36-05:00</t>
  </si>
  <si>
    <t xml:space="preserve">2024:04:30 08:59:36-05:00</t>
  </si>
  <si>
    <t xml:space="preserve">[0 - 661464], [677850 - 686553]</t>
  </si>
  <si>
    <t xml:space="preserve">365 0 obj</t>
  </si>
  <si>
    <t xml:space="preserve">Signature_6cc1ba0e-059f-4b96-a2eb-26382183d782</t>
  </si>
  <si>
    <t xml:space="preserve">2024-04-30 09:00:07-05:00</t>
  </si>
  <si>
    <t xml:space="preserve">2024:04:30 09:00:07-05:00</t>
  </si>
  <si>
    <t xml:space="preserve">[0 - 176224], [192610 - 201143]</t>
  </si>
  <si>
    <t xml:space="preserve">Signature_569eb569-b1bf-45d9-b6f1-5eb4437f07fb</t>
  </si>
  <si>
    <t xml:space="preserve">2024-04-30 09:00:00-05:00</t>
  </si>
  <si>
    <t xml:space="preserve">2024:04:30 09:00:00-05:00</t>
  </si>
  <si>
    <t xml:space="preserve">[0 - 746235], [762621 - 767838]</t>
  </si>
  <si>
    <t xml:space="preserve">Signature_b6fc4024-63bb-4915-8be3-e621be096bc6</t>
  </si>
  <si>
    <t xml:space="preserve">2024-04-30 08:59:38-05:00</t>
  </si>
  <si>
    <t xml:space="preserve">2024:04:30 08:59:38-05:00</t>
  </si>
  <si>
    <t xml:space="preserve">[0 - 147487], [163873 - 169681]</t>
  </si>
  <si>
    <t xml:space="preserve">245 0 obj</t>
  </si>
  <si>
    <t xml:space="preserve">Signature_22f1363a-c052-4def-a904-98a6b05da1d7</t>
  </si>
  <si>
    <t xml:space="preserve">2024-04-30 08:59:49-05:00</t>
  </si>
  <si>
    <t xml:space="preserve">2024:04:30 08:59:49-05:00</t>
  </si>
  <si>
    <t xml:space="preserve">[0 - 62592], [78978 - 80628]</t>
  </si>
  <si>
    <t xml:space="preserve">24 0 obj</t>
  </si>
  <si>
    <t xml:space="preserve">Signature_dc157c36-704a-4fdf-b72d-e87c29567f60</t>
  </si>
  <si>
    <t xml:space="preserve">2024-04-30 08:59:45-05:00</t>
  </si>
  <si>
    <t xml:space="preserve">2024:04:30 08:59:45-05:00</t>
  </si>
  <si>
    <t xml:space="preserve">[0 - 62491], [78877 - 80527]</t>
  </si>
  <si>
    <t xml:space="preserve">Signature_a80820c9-0acd-4248-b9e6-4ad44a6e8ff8</t>
  </si>
  <si>
    <t xml:space="preserve">2024-04-30 08:59:44-05:00</t>
  </si>
  <si>
    <t xml:space="preserve">2024:04:30 08:59:44-05:00</t>
  </si>
  <si>
    <t xml:space="preserve">[0 - 189612], [205998 - 210732]</t>
  </si>
  <si>
    <t xml:space="preserve">Signature_ab040c6b-5e0f-43c7-a7d2-3c604b8811e3</t>
  </si>
  <si>
    <t xml:space="preserve">2024-04-30 08:59:16-05:00</t>
  </si>
  <si>
    <t xml:space="preserve">2024:04:30 08:59:16-05:00</t>
  </si>
  <si>
    <t xml:space="preserve">Signature_86ef4ee5-933f-4a95-bb09-2c978d29ac9a</t>
  </si>
  <si>
    <t xml:space="preserve">2024-04-30 08:59:15-05:00</t>
  </si>
  <si>
    <t xml:space="preserve">2024:04:30 08:59:15-05:00</t>
  </si>
  <si>
    <t xml:space="preserve">[0 - 73411], [89797 - 98282]</t>
  </si>
  <si>
    <t xml:space="preserve">Signature_ca77f4fc-d7a0-4422-ae79-2143c2a706fa</t>
  </si>
  <si>
    <t xml:space="preserve">2024-04-30 08:59:22-05:00</t>
  </si>
  <si>
    <t xml:space="preserve">2024:04:30 08:59:22-05:00</t>
  </si>
  <si>
    <t xml:space="preserve">[0 - 116613], [132999 - 138650]</t>
  </si>
  <si>
    <t xml:space="preserve">Signature_c4f8f1e2-a1e5-4459-8cb4-e7dd8d9a5c9f</t>
  </si>
  <si>
    <t xml:space="preserve">2024-04-30 09:00:05-05:00</t>
  </si>
  <si>
    <t xml:space="preserve">2024:04:30 09:00:05-05:00</t>
  </si>
  <si>
    <t xml:space="preserve">[0 - 131735], [148121 - 156654]</t>
  </si>
  <si>
    <t xml:space="preserve">Signature_ff2b13dd-0010-41c6-bed6-840decfe7c19</t>
  </si>
  <si>
    <t xml:space="preserve">2024-04-30 09:00:04-05:00</t>
  </si>
  <si>
    <t xml:space="preserve">2024:04:30 09:00:04-05:00</t>
  </si>
  <si>
    <t xml:space="preserve">[0 - 1236646], [1253032 - 1258525]</t>
  </si>
  <si>
    <t xml:space="preserve">Signature_654f84ea-5830-4fe8-90e2-06076eb433f8</t>
  </si>
  <si>
    <t xml:space="preserve">2024-04-30 09:00:03-05:00</t>
  </si>
  <si>
    <t xml:space="preserve">2024:04:30 09:00:03-05:00</t>
  </si>
  <si>
    <t xml:space="preserve">[0 - 131850], [148236 - 156769]</t>
  </si>
  <si>
    <t xml:space="preserve">Signature_c8d04935-1f50-4fc5-9fd5-d3a7ec9908aa</t>
  </si>
  <si>
    <t xml:space="preserve">2024-04-30 09:00:02-05:00</t>
  </si>
  <si>
    <t xml:space="preserve">2024:04:30 09:00:02-05:00</t>
  </si>
  <si>
    <t xml:space="preserve">[0 - 878739], [895125 - 903658]</t>
  </si>
  <si>
    <t xml:space="preserve">Signature_b2e45c8d-a156-4032-9bb3-243d33d14ad9</t>
  </si>
  <si>
    <t xml:space="preserve">2024-04-30 08:59:57-05:00</t>
  </si>
  <si>
    <t xml:space="preserve">2024:04:30 08:59:57-05:00</t>
  </si>
  <si>
    <t xml:space="preserve">[0 - 132584], [148970 - 157503]</t>
  </si>
  <si>
    <t xml:space="preserve">Signature_adf77479-f144-4b96-8082-51d4f72580da</t>
  </si>
  <si>
    <t xml:space="preserve">2024-04-30 08:59:48-05:00</t>
  </si>
  <si>
    <t xml:space="preserve">2024:04:30 08:59:48-05:00</t>
  </si>
  <si>
    <t xml:space="preserve">[0 - 868492], [884878 - 889475]</t>
  </si>
  <si>
    <t xml:space="preserve">Signature_d9483d0f-af1c-493e-8239-28d879e00f87</t>
  </si>
  <si>
    <t xml:space="preserve">2024-04-30 08:59:47-05:00</t>
  </si>
  <si>
    <t xml:space="preserve">2024:04:30 08:59:47-05:00</t>
  </si>
  <si>
    <t xml:space="preserve">[0 - 832135], [848521 - 854087]</t>
  </si>
  <si>
    <t xml:space="preserve">Signature_e7f02539-370c-4862-a628-5408b673b502</t>
  </si>
  <si>
    <t xml:space="preserve">2024-04-30 08:59:41-05:00</t>
  </si>
  <si>
    <t xml:space="preserve">2024:04:30 08:59:41-05:00</t>
  </si>
  <si>
    <t xml:space="preserve">[0 - 868538], [884924 - 889523]</t>
  </si>
  <si>
    <t xml:space="preserve">Signature_4f443f7e-21f6-4b54-b211-51a747173f7c</t>
  </si>
  <si>
    <t xml:space="preserve">2024-04-30 08:59:39-05:00</t>
  </si>
  <si>
    <t xml:space="preserve">2024:04:30 08:59:39-05:00</t>
  </si>
  <si>
    <t xml:space="preserve">[0 - 119087], [135473 - 139965]</t>
  </si>
  <si>
    <t xml:space="preserve">Signature_55121e38-29cc-49ff-a8b1-122de3bfd12a</t>
  </si>
  <si>
    <t xml:space="preserve">2024-04-30 08:59:34-05:00</t>
  </si>
  <si>
    <t xml:space="preserve">2024:04:30 08:59:34-05:00</t>
  </si>
  <si>
    <t xml:space="preserve">[0 - 800761], [817147 - 821734]</t>
  </si>
  <si>
    <t xml:space="preserve">Signature_a77686ec-12cb-4ff9-b3e7-6250f3480a9b</t>
  </si>
  <si>
    <t xml:space="preserve">2024-04-30 08:59:35-05:00</t>
  </si>
  <si>
    <t xml:space="preserve">2024:04:30 08:59:35-05:00</t>
  </si>
  <si>
    <t xml:space="preserve">[0 - 800808], [817194 - 821788]</t>
  </si>
  <si>
    <t xml:space="preserve">Signature_2be832fa-5c7a-482e-be49-9f6026717d28</t>
  </si>
  <si>
    <t xml:space="preserve">2024-04-30 08:59:30-05:00</t>
  </si>
  <si>
    <t xml:space="preserve">2024:04:30 08:59:30-05:00</t>
  </si>
  <si>
    <t xml:space="preserve">[0 - 820520], [836906 - 841499]</t>
  </si>
  <si>
    <t xml:space="preserve">Signature_5d12bfdc-e4dd-4870-af98-eb2c2d5f4ee1</t>
  </si>
  <si>
    <t xml:space="preserve">2024-04-30 08:59:31-05:00</t>
  </si>
  <si>
    <t xml:space="preserve">2024:04:30 08:59:31-05:00</t>
  </si>
  <si>
    <t xml:space="preserve">Signature_f21b392c-c271-4b44-8796-9d51dc177106</t>
  </si>
  <si>
    <t xml:space="preserve">2024-04-30 08:59:29-05:00</t>
  </si>
  <si>
    <t xml:space="preserve">2024:04:30 08:59:29-05:00</t>
  </si>
  <si>
    <t xml:space="preserve">[0 - 753827], [770213 - 778746]</t>
  </si>
  <si>
    <t xml:space="preserve">Signature_d48790a2-6c41-4d95-91de-ada900960a0e</t>
  </si>
  <si>
    <t xml:space="preserve">2024-04-30 08:59:27-05:00</t>
  </si>
  <si>
    <t xml:space="preserve">2024:04:30 08:59:27-05:00</t>
  </si>
  <si>
    <t xml:space="preserve">[0 - 346817], [363203 - 367799]</t>
  </si>
  <si>
    <t xml:space="preserve">Signature_b00a0432-d6e0-409a-b369-d3d145ab3b77</t>
  </si>
  <si>
    <t xml:space="preserve">2024-04-30 08:59:23-05:00</t>
  </si>
  <si>
    <t xml:space="preserve">2024:04:30 08:59:23-05:00</t>
  </si>
  <si>
    <t xml:space="preserve">[0 - 819289], [835675 - 840266]</t>
  </si>
  <si>
    <t xml:space="preserve">Signature_3662092c-b86e-403b-87a4-086ac4ce9b26</t>
  </si>
  <si>
    <t xml:space="preserve">2024-04-30 08:59:24-05:00</t>
  </si>
  <si>
    <t xml:space="preserve">2024:04:30 08:59:24-05:00</t>
  </si>
  <si>
    <t xml:space="preserve">[0 - 819197], [835583 - 840174]</t>
  </si>
  <si>
    <t xml:space="preserve">Signature_265da2fc-1f13-424d-ae99-840de13c2e0b</t>
  </si>
  <si>
    <t xml:space="preserve">2024-04-30 08:59:17-05:00</t>
  </si>
  <si>
    <t xml:space="preserve">2024:04:30 08:59:17-05:00</t>
  </si>
  <si>
    <t xml:space="preserve">[0 - 823692], [840078 - 845653]</t>
  </si>
  <si>
    <t xml:space="preserve">Signature_6c333242-c2b6-422f-9373-a4da0feff641</t>
  </si>
  <si>
    <t xml:space="preserve">2024-04-30 08:59:51-05:00</t>
  </si>
  <si>
    <t xml:space="preserve">2024:04:30 08:59:51-05:00</t>
  </si>
  <si>
    <t xml:space="preserve">[0 - 690386], [706772 - 711941]</t>
  </si>
  <si>
    <t xml:space="preserve">162 0 obj</t>
  </si>
  <si>
    <t xml:space="preserve">Signature_b99ee8e3-2c45-467d-9851-7c6bf4627230</t>
  </si>
  <si>
    <t xml:space="preserve">2024-04-30 08:59:26-05:00</t>
  </si>
  <si>
    <t xml:space="preserve">2024:04:30 08:59:26-05:00</t>
  </si>
  <si>
    <t xml:space="preserve">[0 - 3032060], [3048446 - 3053428]</t>
  </si>
  <si>
    <t xml:space="preserve">Signature_2d143a7d-ddab-4cb9-a69c-36a8b44bb85a</t>
  </si>
  <si>
    <t xml:space="preserve">2024-04-30 08:59:20-05:00</t>
  </si>
  <si>
    <t xml:space="preserve">2024:04:30 08:59:20-05:00</t>
  </si>
  <si>
    <t xml:space="preserve">[0 - 789297], [805683 - 810761]</t>
  </si>
  <si>
    <t xml:space="preserve">Signature_fc7523f5-e51d-4db7-9f9e-7bd27df66424</t>
  </si>
  <si>
    <t xml:space="preserve">2024-04-30 08:59:19-05:00</t>
  </si>
  <si>
    <t xml:space="preserve">2024:04:30 08:59:19-05:00</t>
  </si>
  <si>
    <t xml:space="preserve">[0 - 831237], [847623 - 852698]</t>
  </si>
  <si>
    <t xml:space="preserve">Signature_131e3cb8-5258-4427-9832-4fe61f05f68a</t>
  </si>
  <si>
    <t xml:space="preserve">2024-04-30 08:59:58-05:00</t>
  </si>
  <si>
    <t xml:space="preserve">2024:04:30 08:59:58-05:00</t>
  </si>
  <si>
    <t xml:space="preserve">[0 - 109945], [126331 - 134820]</t>
  </si>
  <si>
    <t xml:space="preserve">Signature_0f5f9f49-834b-4648-ba98-d7eaf97587ec</t>
  </si>
  <si>
    <t xml:space="preserve">2024-04-30 08:59:33-05:00</t>
  </si>
  <si>
    <t xml:space="preserve">2024:04:30 08:59:33-05:00</t>
  </si>
  <si>
    <t xml:space="preserve">[0 - 717726], [734112 - 739233]</t>
  </si>
  <si>
    <t xml:space="preserve">275 0 obj</t>
  </si>
  <si>
    <t xml:space="preserve">Signature_fc94e958-565f-4d2e-a60c-4138355960bd</t>
  </si>
  <si>
    <t xml:space="preserve">2024-04-30 09:00:01-05:00</t>
  </si>
  <si>
    <t xml:space="preserve">2024:04:30 09:00:01-05:00</t>
  </si>
  <si>
    <t xml:space="preserve">[0 - 171779], [188165 - 193204]</t>
  </si>
  <si>
    <t xml:space="preserve">Signature_a859f102-7d35-4d75-9468-249c4d770ec4</t>
  </si>
  <si>
    <t xml:space="preserve">2024-04-30 08:59:50-05:00</t>
  </si>
  <si>
    <t xml:space="preserve">2024:04:30 08:59:50-05:00</t>
  </si>
  <si>
    <t xml:space="preserve">[0 - 251841], [268227 - 273518]</t>
  </si>
  <si>
    <t xml:space="preserve">Signature_fe3f4082-efbf-40be-b864-84d434fe06cb</t>
  </si>
  <si>
    <t xml:space="preserve">[0 - 356117], [372503 - 378071]</t>
  </si>
  <si>
    <t xml:space="preserve">Signature_eb381f65-0cda-4f6a-ab18-912f1be4cb06</t>
  </si>
  <si>
    <t xml:space="preserve">2024-04-30 08:59:11-05:00</t>
  </si>
  <si>
    <t xml:space="preserve">2024:04:30 08:59:11-05:00</t>
  </si>
  <si>
    <t xml:space="preserve">[0 - 248164], [264550 - 269061]</t>
  </si>
  <si>
    <t xml:space="preserve">Signature_09a9aa13-b168-43ec-bba1-f420d5a6322c</t>
  </si>
  <si>
    <t xml:space="preserve">2024-04-30 08:59:46-05:00</t>
  </si>
  <si>
    <t xml:space="preserve">2024:04:30 08:59:46-05:00</t>
  </si>
  <si>
    <t xml:space="preserve">[0 - 257414], [273800 - 279231]</t>
  </si>
  <si>
    <t xml:space="preserve">204 0 obj</t>
  </si>
  <si>
    <t xml:space="preserve">Signature_c25d30b9-1888-45d4-86b5-6fddd0de70ea</t>
  </si>
  <si>
    <t xml:space="preserve">2022:03:03 15:25:33-06:00</t>
  </si>
  <si>
    <t xml:space="preserve">[0 - 255852], [272238 - 276643]</t>
  </si>
  <si>
    <t xml:space="preserve">192 0 obj</t>
  </si>
  <si>
    <t xml:space="preserve">Signature_c34ca8db-16f7-424e-906b-38f54993a522</t>
  </si>
  <si>
    <t xml:space="preserve">2024-04-30 08:59:14-05:00</t>
  </si>
  <si>
    <t xml:space="preserve">2024:04:30 08:59:14-05:00</t>
  </si>
  <si>
    <t xml:space="preserve">[0 - 240069], [256455 - 260955]</t>
  </si>
  <si>
    <t xml:space="preserve">Signature_445d2403-0167-472f-abcb-684f85cf61e4</t>
  </si>
  <si>
    <t xml:space="preserve">2024-04-30 08:59:13-05:00</t>
  </si>
  <si>
    <t xml:space="preserve">2024:04:30 08:59:13-05:00</t>
  </si>
  <si>
    <t xml:space="preserve">[0 - 215522], [231908 - 236440]</t>
  </si>
  <si>
    <t xml:space="preserve">Signature_b24b437b-0d62-421a-81f1-81bcf0f2d61e</t>
  </si>
  <si>
    <t xml:space="preserve">2024-04-30 08:59:56-05:00</t>
  </si>
  <si>
    <t xml:space="preserve">2024:04:30 08:59:56-05:00</t>
  </si>
  <si>
    <t xml:space="preserve">[0 - 361528], [377914 - 382473]</t>
  </si>
  <si>
    <t xml:space="preserve">Signature_638c97eb-00d5-4478-a1d9-960923b90649</t>
  </si>
  <si>
    <t xml:space="preserve">[0 - 303396], [319782 - 324308]</t>
  </si>
  <si>
    <t xml:space="preserve">Signature_38b69e8e-8f09-47fe-a212-e316a62f6401</t>
  </si>
  <si>
    <t xml:space="preserve">2024-04-30 08:59:43-05:00</t>
  </si>
  <si>
    <t xml:space="preserve">2022:03:03 14:01:04-06:00</t>
  </si>
  <si>
    <t xml:space="preserve">[0 - 191729], [208115 - 212376]</t>
  </si>
  <si>
    <t xml:space="preserve">Signature_0313f571-0cbd-433e-955b-72421a939382</t>
  </si>
  <si>
    <t xml:space="preserve">2024-04-30 08:59:37-05:00</t>
  </si>
  <si>
    <t xml:space="preserve">2024:04:30 08:59:37-05:00</t>
  </si>
  <si>
    <t xml:space="preserve">[0 - 140376], [156762 - 162333]</t>
  </si>
  <si>
    <t xml:space="preserve">169 0 obj</t>
  </si>
  <si>
    <t xml:space="preserve">Signature_5aa101b1-1e68-4d45-8cb8-24d4e1116ec5</t>
  </si>
  <si>
    <t xml:space="preserve">2024-04-30 08:59:10-05:00</t>
  </si>
  <si>
    <t xml:space="preserve">2024:04:30 08:59:10-05:00</t>
  </si>
  <si>
    <t xml:space="preserve">[0 - 744569], [760955 - 766011]</t>
  </si>
  <si>
    <t xml:space="preserve">453 0 obj</t>
  </si>
  <si>
    <t xml:space="preserve">Signature_3d336a95-8421-4464-ab8d-82240111216f</t>
  </si>
  <si>
    <t xml:space="preserve">2024-04-30 09:00:09-05:00</t>
  </si>
  <si>
    <t xml:space="preserve">2024:04:30 09:00:10-05:00</t>
  </si>
  <si>
    <t xml:space="preserve">[0 - 233927], [250313 - 252380]</t>
  </si>
  <si>
    <t xml:space="preserve">Signature_6637df41-59d9-4f67-a2ad-e15bd9077718</t>
  </si>
  <si>
    <t xml:space="preserve">2024-04-30 09:00:08-05:00</t>
  </si>
  <si>
    <t xml:space="preserve">2024:04:30 09:00:08-05:00</t>
  </si>
  <si>
    <t xml:space="preserve">[0 - 804760], [821146 - 825585]</t>
  </si>
  <si>
    <t xml:space="preserve">72 0 obj</t>
  </si>
  <si>
    <t xml:space="preserve">Signature_6bc51da2-c953-476f-9b99-bcc8982ab304</t>
  </si>
  <si>
    <t xml:space="preserve">2024-04-30 08:59:32-05:00</t>
  </si>
  <si>
    <t xml:space="preserve">2024:04:30 08:59:32-05:00</t>
  </si>
  <si>
    <t xml:space="preserve">[0 - 126433], [142819 - 148324]</t>
  </si>
  <si>
    <t xml:space="preserve">Signature_f7e8dd2b-3dbc-4f67-afa9-845eb2936d39</t>
  </si>
  <si>
    <t xml:space="preserve">2024-04-30 08:49:17-05:00</t>
  </si>
  <si>
    <t xml:space="preserve">2024:04:30 08:49:17-05:00</t>
  </si>
  <si>
    <t xml:space="preserve">[0 - 215913], [232299 - 237128]</t>
  </si>
  <si>
    <t xml:space="preserve">Signature_d07d943e-9c33-4b85-9c68-6470cebe9a6b</t>
  </si>
  <si>
    <t xml:space="preserve">2024-04-30 08:49:16-05:00</t>
  </si>
  <si>
    <t xml:space="preserve">2024:04:30 08:49:16-05:00</t>
  </si>
  <si>
    <t xml:space="preserve">[0 - 215921], [232307 - 237135]</t>
  </si>
  <si>
    <t xml:space="preserve">Signature_145b4b41-91fb-4df2-927f-892f62635322</t>
  </si>
  <si>
    <t xml:space="preserve">2024-04-30 08:48:57-05:00</t>
  </si>
  <si>
    <t xml:space="preserve">2024:04:30 08:48:57-05:00</t>
  </si>
  <si>
    <t xml:space="preserve">[0 - 237644], [254030 - 259269]</t>
  </si>
  <si>
    <t xml:space="preserve">452 0 obj</t>
  </si>
  <si>
    <t xml:space="preserve">Signature_65baa38d-eefb-4acb-9ce8-70e4fb571b30</t>
  </si>
  <si>
    <t xml:space="preserve">2024-04-30 08:49:03-05:00</t>
  </si>
  <si>
    <t xml:space="preserve">2024:04:30 08:49:03-05:00</t>
  </si>
  <si>
    <t xml:space="preserve">[0 - 706885], [723271 - 727704]</t>
  </si>
  <si>
    <t xml:space="preserve">Signature_cce00bf1-3806-43fc-a207-e188bbf23f35</t>
  </si>
  <si>
    <t xml:space="preserve">2024-04-30 08:49:26-05:00</t>
  </si>
  <si>
    <t xml:space="preserve">2024:04:30 08:49:26-05:00</t>
  </si>
  <si>
    <t xml:space="preserve">[0 - 289046], [305432 - 311219]</t>
  </si>
  <si>
    <t xml:space="preserve">297 0 obj</t>
  </si>
  <si>
    <t xml:space="preserve">Signature_36484061-24f1-4289-8185-03f06327f09a</t>
  </si>
  <si>
    <t xml:space="preserve">2024-04-30 08:49:09-05:00</t>
  </si>
  <si>
    <t xml:space="preserve">2024:04:30 08:49:09-05:00</t>
  </si>
  <si>
    <t xml:space="preserve">[0 - 222912], [239298 - 243790]</t>
  </si>
  <si>
    <t xml:space="preserve">Signature_9fcd1559-35ce-434b-86fe-55fdd4d729cb</t>
  </si>
  <si>
    <t xml:space="preserve">2024-04-30 08:49:27-05:00</t>
  </si>
  <si>
    <t xml:space="preserve">2024:04:30 08:49:29-05:00</t>
  </si>
  <si>
    <t xml:space="preserve">[0 - 471417], [487803 - 490916]</t>
  </si>
  <si>
    <t xml:space="preserve">386 0 obj</t>
  </si>
  <si>
    <t xml:space="preserve">Signature_dae6f2f4-93b3-4f01-8450-747eae647fa5</t>
  </si>
  <si>
    <t xml:space="preserve">2024-04-30 08:49:25-05:00</t>
  </si>
  <si>
    <t xml:space="preserve">2024:04:30 08:49:25-05:00</t>
  </si>
  <si>
    <t xml:space="preserve">[0 - 80939], [97325 - 105892]</t>
  </si>
  <si>
    <t xml:space="preserve">Signature_c27db60d-3d09-4a91-ad68-9f095a7dd9e0</t>
  </si>
  <si>
    <t xml:space="preserve">2024-04-30 08:49:06-05:00</t>
  </si>
  <si>
    <t xml:space="preserve">2024:04:30 08:49:06-05:00</t>
  </si>
  <si>
    <t xml:space="preserve">[0 - 77394], [93780 - 102266]</t>
  </si>
  <si>
    <t xml:space="preserve">Signature_89b1a92d-efe9-4e45-a2ef-ff67ffefcb2c</t>
  </si>
  <si>
    <t xml:space="preserve">2024-04-30 08:48:54-05:00</t>
  </si>
  <si>
    <t xml:space="preserve">2024:04:30 08:48:54-05:00</t>
  </si>
  <si>
    <t xml:space="preserve">[0 - 431678], [448064 - 456551]</t>
  </si>
  <si>
    <t xml:space="preserve">Signature_d090ff33-50fe-479d-ba9b-e37574e43975</t>
  </si>
  <si>
    <t xml:space="preserve">2024-04-30 08:48:55-05:00</t>
  </si>
  <si>
    <t xml:space="preserve">2024:04:30 08:48:55-05:00</t>
  </si>
  <si>
    <t xml:space="preserve">[0 - 429609], [445995 - 454482]</t>
  </si>
  <si>
    <t xml:space="preserve">Signature_bb1ec109-fc0a-438c-a558-56ad1a16132a</t>
  </si>
  <si>
    <t xml:space="preserve">2024-04-30 08:49:18-05:00</t>
  </si>
  <si>
    <t xml:space="preserve">2024:04:30 08:49:18-05:00</t>
  </si>
  <si>
    <t xml:space="preserve">[0 - 117593], [133979 - 138450]</t>
  </si>
  <si>
    <t xml:space="preserve">Signature_8aab3e95-f346-4a6a-adbb-2f73d8962ae8</t>
  </si>
  <si>
    <t xml:space="preserve">2024-04-30 08:49:11-05:00</t>
  </si>
  <si>
    <t xml:space="preserve">2024:04:30 08:49:11-05:00</t>
  </si>
  <si>
    <t xml:space="preserve">[0 - 133161], [149547 - 158080]</t>
  </si>
  <si>
    <t xml:space="preserve">Signature_29361b1c-b950-4601-8045-0e1a0955a29e</t>
  </si>
  <si>
    <t xml:space="preserve">2024-04-30 08:48:52-05:00</t>
  </si>
  <si>
    <t xml:space="preserve">2024:04:30 08:48:52-05:00</t>
  </si>
  <si>
    <t xml:space="preserve">[0 - 845418], [861804 - 870335]</t>
  </si>
  <si>
    <t xml:space="preserve">Signature_8e843bbf-5f6a-461e-8ecf-6375c7a634ec</t>
  </si>
  <si>
    <t xml:space="preserve">2024-04-30 08:49:00-05:00</t>
  </si>
  <si>
    <t xml:space="preserve">2024:04:30 08:49:00-05:00</t>
  </si>
  <si>
    <t xml:space="preserve">[0 - 1059331], [1075717 - 1084250]</t>
  </si>
  <si>
    <t xml:space="preserve">Signature_7e3f85d4-82dc-4289-8ba3-ab03f7295465</t>
  </si>
  <si>
    <t xml:space="preserve">2024-04-30 08:48:53-05:00</t>
  </si>
  <si>
    <t xml:space="preserve">2024:04:30 08:48:53-05:00</t>
  </si>
  <si>
    <t xml:space="preserve">[0 - 1430811], [1447197 - 1455780]</t>
  </si>
  <si>
    <t xml:space="preserve">Signature_0020508c-766d-4850-b060-7ad449438ecc</t>
  </si>
  <si>
    <t xml:space="preserve">2024-04-30 08:48:59-05:00</t>
  </si>
  <si>
    <t xml:space="preserve">2024:04:30 08:48:59-05:00</t>
  </si>
  <si>
    <t xml:space="preserve">[0 - 631384], [647770 - 652003]</t>
  </si>
  <si>
    <t xml:space="preserve">Signature_a6d6e871-2b0c-4ec3-8fb0-8537e705a6b5</t>
  </si>
  <si>
    <t xml:space="preserve">2024-04-30 08:49:07-05:00</t>
  </si>
  <si>
    <t xml:space="preserve">2024:04:30 08:49:07-05:00</t>
  </si>
  <si>
    <t xml:space="preserve">[0 - 71920], [88306 - 96791]</t>
  </si>
  <si>
    <t xml:space="preserve">Signature_7031b18d-6693-417d-868b-baa14c4aa071</t>
  </si>
  <si>
    <t xml:space="preserve">2024-04-30 08:49:04-05:00</t>
  </si>
  <si>
    <t xml:space="preserve">2024:04:30 08:49:04-05:00</t>
  </si>
  <si>
    <t xml:space="preserve">[0 - 520757], [537143 - 545630]</t>
  </si>
  <si>
    <t xml:space="preserve">Signature_6c5df81f-f1cf-469c-834e-e91aee8fda3e</t>
  </si>
  <si>
    <t xml:space="preserve">2024-04-30 08:49:22-05:00</t>
  </si>
  <si>
    <t xml:space="preserve">2024:04:30 08:49:22-05:00</t>
  </si>
  <si>
    <t xml:space="preserve">[0 - 1452668], [1469054 - 1473955]</t>
  </si>
  <si>
    <t xml:space="preserve">Signature_24a1e756-579f-40af-94c1-1ca8c1184830</t>
  </si>
  <si>
    <t xml:space="preserve">2024-04-30 08:49:14-05:00</t>
  </si>
  <si>
    <t xml:space="preserve">2024:04:30 08:49:14-05:00</t>
  </si>
  <si>
    <t xml:space="preserve">[0 - 323092], [339478 - 344360]</t>
  </si>
  <si>
    <t xml:space="preserve">Signature_14a42422-aec9-449a-a719-acf268ed8fae</t>
  </si>
  <si>
    <t xml:space="preserve">2024-04-30 08:49:21-05:00</t>
  </si>
  <si>
    <t xml:space="preserve">2024:04:30 08:49:21-05:00</t>
  </si>
  <si>
    <t xml:space="preserve">[0 - 353033], [369419 - 373896]</t>
  </si>
  <si>
    <t xml:space="preserve">Signature_9b3eca3d-4f0c-4139-ba16-4a97670feda9</t>
  </si>
  <si>
    <t xml:space="preserve">2024-04-30 08:49:19-05:00</t>
  </si>
  <si>
    <t xml:space="preserve">2024:04:30 08:49:19-05:00</t>
  </si>
  <si>
    <t xml:space="preserve">[0 - 80673], [97059 - 101525]</t>
  </si>
  <si>
    <t xml:space="preserve">Signature_76fb6420-47cf-4a73-8d10-89eaa08e9816</t>
  </si>
  <si>
    <t xml:space="preserve">2024-04-30 08:49:08-05:00</t>
  </si>
  <si>
    <t xml:space="preserve">2024:04:30 08:49:08-05:00</t>
  </si>
  <si>
    <t xml:space="preserve">[0 - 367677], [384063 - 389480]</t>
  </si>
  <si>
    <t xml:space="preserve">644 0 obj</t>
  </si>
  <si>
    <t xml:space="preserve">Signature_f78b8662-9841-4400-b533-176b86eab3f7</t>
  </si>
  <si>
    <t xml:space="preserve">2024-04-30 08:49:01-05:00</t>
  </si>
  <si>
    <t xml:space="preserve">2024:04:30 08:49:01-05:00</t>
  </si>
  <si>
    <t xml:space="preserve">[0 - 317781], [334167 - 339603]</t>
  </si>
  <si>
    <t xml:space="preserve">624 0 obj</t>
  </si>
  <si>
    <t xml:space="preserve">Signature_d9ead93f-bbcf-4cad-b5a9-4236460e74cd</t>
  </si>
  <si>
    <t xml:space="preserve">2024-04-30 08:48:56-05:00</t>
  </si>
  <si>
    <t xml:space="preserve">2024:04:30 08:48:56-05:00</t>
  </si>
  <si>
    <t xml:space="preserve">[0 - 235853], [252239 - 258058]</t>
  </si>
  <si>
    <t xml:space="preserve">635 0 obj</t>
  </si>
  <si>
    <t xml:space="preserve">Signature_911316d5-e5c5-4181-9de2-e728a41b3736</t>
  </si>
  <si>
    <t xml:space="preserve">2024-04-30 08:49:23-05:00</t>
  </si>
  <si>
    <t xml:space="preserve">2024:04:30 08:49:23-05:00</t>
  </si>
  <si>
    <t xml:space="preserve">[0 - 150700], [167086 - 172228]</t>
  </si>
  <si>
    <t xml:space="preserve">Signature_d44fa55d-e2fd-46c9-b9fe-0b949ae182a1</t>
  </si>
  <si>
    <t xml:space="preserve">2024-04-30 08:49:15-05:00</t>
  </si>
  <si>
    <t xml:space="preserve">2024:04:30 08:49:15-05:00</t>
  </si>
  <si>
    <t xml:space="preserve">[0 - 150755], [167141 - 172285]</t>
  </si>
  <si>
    <t xml:space="preserve">Signature_ac466dff-be6c-4dd2-9dab-4632692b2b27</t>
  </si>
  <si>
    <t xml:space="preserve">2024-04-30 08:48:58-05:00</t>
  </si>
  <si>
    <t xml:space="preserve">2024:04:30 08:48:58-05:00</t>
  </si>
  <si>
    <t xml:space="preserve">[0 - 202948], [219334 - 224661]</t>
  </si>
  <si>
    <t xml:space="preserve">415 0 obj</t>
  </si>
  <si>
    <t xml:space="preserve">Signature_b1194da5-b9ff-42b9-8619-1f5fa8cd1651</t>
  </si>
  <si>
    <t xml:space="preserve">2024-04-30 08:49:05-05:00</t>
  </si>
  <si>
    <t xml:space="preserve">2024:04:30 08:49:05-05:00</t>
  </si>
  <si>
    <t xml:space="preserve">[0 - 187714], [204100 - 212587]</t>
  </si>
  <si>
    <t xml:space="preserve">Signature_c75665ba-e64d-485d-a689-01e42bb3173d</t>
  </si>
  <si>
    <t xml:space="preserve">2024-04-30 08:49:13-05:00</t>
  </si>
  <si>
    <t xml:space="preserve">2024:04:30 08:49:13-05:00</t>
  </si>
  <si>
    <t xml:space="preserve">[0 - 88139], [104525 - 109076]</t>
  </si>
  <si>
    <t xml:space="preserve">Signature_5798c6a1-477b-46c1-a4ef-0c2e9eafd613</t>
  </si>
  <si>
    <t xml:space="preserve">2024-04-30 08:49:10-05:00</t>
  </si>
  <si>
    <t xml:space="preserve">2024:04:30 08:49:10-05:00</t>
  </si>
  <si>
    <t xml:space="preserve">[0 - 695238], [711624 - 716122]</t>
  </si>
  <si>
    <t xml:space="preserve">Signature_e92042ee-2af1-46c4-aef5-60d76d97a1fb</t>
  </si>
  <si>
    <t xml:space="preserve">2024-04-30 08:49:12-05:00</t>
  </si>
  <si>
    <t xml:space="preserve">2024:04:30 08:49:12-05:00</t>
  </si>
  <si>
    <t xml:space="preserve">[0 - 434109], [450495 - 456174]</t>
  </si>
  <si>
    <t xml:space="preserve">Signature_6992504f-3f4e-42d9-95be-3533096bf85e</t>
  </si>
  <si>
    <t xml:space="preserve">2024-04-30 09:01:01-05:00</t>
  </si>
  <si>
    <t xml:space="preserve">2024:04:30 09:01:02-05:00</t>
  </si>
  <si>
    <t xml:space="preserve">[0 - 519467], [535853 - 539013]</t>
  </si>
  <si>
    <t xml:space="preserve">448 0 obj</t>
  </si>
  <si>
    <t xml:space="preserve">Signature_d00ea5e7-f4cd-4287-a706-6320695613e1</t>
  </si>
  <si>
    <t xml:space="preserve">2024-04-30 09:00:45-05:00</t>
  </si>
  <si>
    <t xml:space="preserve">2024:04:30 09:00:45-05:00</t>
  </si>
  <si>
    <t xml:space="preserve">[0 - 942404], [958790 - 964537]</t>
  </si>
  <si>
    <t xml:space="preserve">Signature_c3361d5a-cf88-47fe-860a-ddd7636725ac</t>
  </si>
  <si>
    <t xml:space="preserve">2024-04-30 09:00:55-05:00</t>
  </si>
  <si>
    <t xml:space="preserve">2024:04:30 09:00:55-05:00</t>
  </si>
  <si>
    <t xml:space="preserve">[0 - 264158], [280544 - 285891]</t>
  </si>
  <si>
    <t xml:space="preserve">224 0 obj</t>
  </si>
  <si>
    <t xml:space="preserve">Signature_31358127-ab8f-4090-8b70-cb2fd2f7bdcc</t>
  </si>
  <si>
    <t xml:space="preserve">2024-04-30 09:01:00-05:00</t>
  </si>
  <si>
    <t xml:space="preserve">2024:04:30 09:01:00-05:00</t>
  </si>
  <si>
    <t xml:space="preserve">[0 - 84235], [100621 - 109188]</t>
  </si>
  <si>
    <t xml:space="preserve">Signature_6c9ad4f2-62bd-4ecf-9191-fb2b7d303d2a</t>
  </si>
  <si>
    <t xml:space="preserve">2024-04-30 09:00:59-05:00</t>
  </si>
  <si>
    <t xml:space="preserve">2024:04:30 09:00:59-05:00</t>
  </si>
  <si>
    <t xml:space="preserve">[0 - 77293], [93679 - 102246]</t>
  </si>
  <si>
    <t xml:space="preserve">Signature_692dd237-51de-4dcb-a5bc-a26ebac8d035</t>
  </si>
  <si>
    <t xml:space="preserve">2024-04-30 09:00:56-05:00</t>
  </si>
  <si>
    <t xml:space="preserve">2024:04:30 09:00:56-05:00</t>
  </si>
  <si>
    <t xml:space="preserve">[0 - 114383], [130769 - 136421]</t>
  </si>
  <si>
    <t xml:space="preserve">Signature_eb51d1b0-a964-479d-a568-6075cc2d14bf</t>
  </si>
  <si>
    <t xml:space="preserve">2024-04-30 09:00:47-05:00</t>
  </si>
  <si>
    <t xml:space="preserve">2024:04:30 09:00:47-05:00</t>
  </si>
  <si>
    <t xml:space="preserve">[0 - 114498], [130884 - 136541]</t>
  </si>
  <si>
    <t xml:space="preserve">Signature_4239d027-2ef1-4d2f-8233-8133c35c003e</t>
  </si>
  <si>
    <t xml:space="preserve">2024-04-30 09:00:53-05:00</t>
  </si>
  <si>
    <t xml:space="preserve">2024:04:30 09:00:53-05:00</t>
  </si>
  <si>
    <t xml:space="preserve">[0 - 191932], [208318 - 212850]</t>
  </si>
  <si>
    <t xml:space="preserve">Signature_a2387c38-bd14-4aa6-a920-2e91fc53f704</t>
  </si>
  <si>
    <t xml:space="preserve">2024-04-30 09:00:44-05:00</t>
  </si>
  <si>
    <t xml:space="preserve">2024:04:30 09:00:44-05:00</t>
  </si>
  <si>
    <t xml:space="preserve">[0 - 823579], [839965 - 845535]</t>
  </si>
  <si>
    <t xml:space="preserve">Signature_1db74c13-d3d9-462b-865c-eef4553e20a9</t>
  </si>
  <si>
    <t xml:space="preserve">2024-04-30 09:00:42-05:00</t>
  </si>
  <si>
    <t xml:space="preserve">2024:04:30 09:00:42-05:00</t>
  </si>
  <si>
    <t xml:space="preserve">[0 - 248600], [264986 - 269596]</t>
  </si>
  <si>
    <t xml:space="preserve">Signature_bba2e1cd-285c-4755-8d47-efa838c83589</t>
  </si>
  <si>
    <t xml:space="preserve">2024-04-30 09:00:41-05:00</t>
  </si>
  <si>
    <t xml:space="preserve">2024:04:30 09:00:41-05:00</t>
  </si>
  <si>
    <t xml:space="preserve">[0 - 248812], [265198 - 269806]</t>
  </si>
  <si>
    <t xml:space="preserve">Signature_8aba7cbf-3ccb-4226-881b-869a71b5af63</t>
  </si>
  <si>
    <t xml:space="preserve">2024-04-30 09:00:54-05:00</t>
  </si>
  <si>
    <t xml:space="preserve">2024:04:30 09:00:54-05:00</t>
  </si>
  <si>
    <t xml:space="preserve">[0 - 467777], [484163 - 489248]</t>
  </si>
  <si>
    <t xml:space="preserve">Signature_20d1bc42-2dd2-4943-a73a-d6b00b7c8f14</t>
  </si>
  <si>
    <t xml:space="preserve">2024-04-30 09:00:52-05:00</t>
  </si>
  <si>
    <t xml:space="preserve">2024:04:30 09:00:52-05:00</t>
  </si>
  <si>
    <t xml:space="preserve">[0 - 231914], [248300 - 253032]</t>
  </si>
  <si>
    <t xml:space="preserve">Signature_dfd31766-02e2-4c5a-9079-e84318d38180</t>
  </si>
  <si>
    <t xml:space="preserve">2024-04-30 09:00:50-05:00</t>
  </si>
  <si>
    <t xml:space="preserve">2024:04:30 09:00:50-05:00</t>
  </si>
  <si>
    <t xml:space="preserve">[0 - 986660], [1003046 - 1007642]</t>
  </si>
  <si>
    <t xml:space="preserve">131 0 obj</t>
  </si>
  <si>
    <t xml:space="preserve">Signature_b922d550-aa79-4bd8-b2c7-3a4cb6ac16aa</t>
  </si>
  <si>
    <t xml:space="preserve">2024-04-30 09:00:48-05:00</t>
  </si>
  <si>
    <t xml:space="preserve">2024:04:30 09:00:48-05:00</t>
  </si>
  <si>
    <t xml:space="preserve">[0 - 124692], [141078 - 149609]</t>
  </si>
  <si>
    <t xml:space="preserve">Signature_cbca1dfd-fe4c-4101-b311-2c2f59d95f1a</t>
  </si>
  <si>
    <t xml:space="preserve">2024-04-30 09:00:46-05:00</t>
  </si>
  <si>
    <t xml:space="preserve">2024:04:30 09:00:46-05:00</t>
  </si>
  <si>
    <t xml:space="preserve">[0 - 868214], [884600 - 889584]</t>
  </si>
  <si>
    <t xml:space="preserve">Signature_e3a06d52-3cf2-45be-9319-4fd8c0d4f5b7</t>
  </si>
  <si>
    <t xml:space="preserve">2024-04-30 09:00:43-05:00</t>
  </si>
  <si>
    <t xml:space="preserve">2024:04:30 09:00:43-05:00</t>
  </si>
  <si>
    <t xml:space="preserve">[0 - 840011], [856397 - 861378]</t>
  </si>
  <si>
    <t xml:space="preserve">Signature_7f4f96c9-c3cf-4fb7-aea7-2e81c1279108</t>
  </si>
  <si>
    <t xml:space="preserve">2024-04-30 09:00:40-05:00</t>
  </si>
  <si>
    <t xml:space="preserve">2024:04:30 09:00:40-05:00</t>
  </si>
  <si>
    <t xml:space="preserve">[0 - 78130], [94516 - 98936]</t>
  </si>
  <si>
    <t xml:space="preserve">Signature_19428868-7403-4e1e-80eb-bb70ef77c93c</t>
  </si>
  <si>
    <t xml:space="preserve">2024-04-30 09:00:58-05:00</t>
  </si>
  <si>
    <t xml:space="preserve">2024:04:30 09:00:58-05:00</t>
  </si>
  <si>
    <t xml:space="preserve">[0 - 163647], [180033 - 185510]</t>
  </si>
  <si>
    <t xml:space="preserve">103 0 obj</t>
  </si>
  <si>
    <t xml:space="preserve">Signature_d847b95f-a38c-4143-a605-c9c55379888f</t>
  </si>
  <si>
    <t xml:space="preserve">2024-04-30 09:00:57-05:00</t>
  </si>
  <si>
    <t xml:space="preserve">2024:04:30 09:00:57-05:00</t>
  </si>
  <si>
    <t xml:space="preserve">[0 - 163324], [179710 - 185186]</t>
  </si>
  <si>
    <t xml:space="preserve">102 0 obj</t>
  </si>
  <si>
    <t xml:space="preserve">Signature_19789ddb-06be-4544-9177-64f89e19b878</t>
  </si>
  <si>
    <t xml:space="preserve">2024-04-30 09:00:51-05:00</t>
  </si>
  <si>
    <t xml:space="preserve">2024:04:30 09:00:51-05:00</t>
  </si>
  <si>
    <t xml:space="preserve">[0 - 165974], [182360 - 187876]</t>
  </si>
  <si>
    <t xml:space="preserve">Signature_bfac0de5-ca57-4a90-a630-698f09a3d5d6</t>
  </si>
  <si>
    <t xml:space="preserve">2024-04-30 09:00:39-05:00</t>
  </si>
  <si>
    <t xml:space="preserve">2024:04:30 09:00:39-05:00</t>
  </si>
  <si>
    <t xml:space="preserve">[0 - 384443], [400829 - 405312]</t>
  </si>
  <si>
    <t xml:space="preserve">Signature_c9ba373b-8670-4236-827e-bc6508fd3d5c</t>
  </si>
  <si>
    <t xml:space="preserve">2024-04-30 09:00:38-05:00</t>
  </si>
  <si>
    <t xml:space="preserve">2024:04:30 09:00:38-05:00</t>
  </si>
  <si>
    <t xml:space="preserve">[0 - 232652], [249038 - 253904]</t>
  </si>
  <si>
    <t xml:space="preserve">429 0 obj</t>
  </si>
  <si>
    <t xml:space="preserve">Signature_8841f6db-88c8-49cd-bf0e-6e47ba76982c</t>
  </si>
  <si>
    <t xml:space="preserve">2024-04-30 09:01:52-05:00</t>
  </si>
  <si>
    <t xml:space="preserve">2024:04:30 09:01:52-05:00</t>
  </si>
  <si>
    <t xml:space="preserve">[0 - 975964], [992350 - 996585]</t>
  </si>
  <si>
    <t xml:space="preserve">Signature_ed62776a-788d-4ad4-a2f6-2fb51e48a741</t>
  </si>
  <si>
    <t xml:space="preserve">2024-04-30 09:01:38-05:00</t>
  </si>
  <si>
    <t xml:space="preserve">2024:04:30 09:01:38-05:00</t>
  </si>
  <si>
    <t xml:space="preserve">[0 - 189494], [205880 - 211260]</t>
  </si>
  <si>
    <t xml:space="preserve">Signature_0968836a-40bf-4893-b8a2-e4623d246269</t>
  </si>
  <si>
    <t xml:space="preserve">2024-04-30 09:01:47-05:00</t>
  </si>
  <si>
    <t xml:space="preserve">2024:04:30 09:01:47-05:00</t>
  </si>
  <si>
    <t xml:space="preserve">[0 - 597171], [613557 - 618235]</t>
  </si>
  <si>
    <t xml:space="preserve">198 0 obj</t>
  </si>
  <si>
    <t xml:space="preserve">Signature_82957a4b-0cfd-49a9-86f3-a54c69868bc7</t>
  </si>
  <si>
    <t xml:space="preserve">2024-04-30 09:01:56-05:00</t>
  </si>
  <si>
    <t xml:space="preserve">2024:04:30 09:01:57-05:00</t>
  </si>
  <si>
    <t xml:space="preserve">[0 - 474181], [490567 - 493680]</t>
  </si>
  <si>
    <t xml:space="preserve">396 0 obj</t>
  </si>
  <si>
    <t xml:space="preserve">Signature_89c496df-db61-46e5-9969-a30cdf22c629</t>
  </si>
  <si>
    <t xml:space="preserve">2024-04-30 09:01:28-05:00</t>
  </si>
  <si>
    <t xml:space="preserve">2024:04:30 09:01:28-05:00</t>
  </si>
  <si>
    <t xml:space="preserve">Signature_e80da2a3-ed4d-4d01-be2e-e0149230bbcf</t>
  </si>
  <si>
    <t xml:space="preserve">2024-04-30 09:01:43-05:00</t>
  </si>
  <si>
    <t xml:space="preserve">2024:04:30 09:01:43-05:00</t>
  </si>
  <si>
    <t xml:space="preserve">[0 - 319005], [335391 - 340926]</t>
  </si>
  <si>
    <t xml:space="preserve">Signature_6e87a906-4ea2-41a0-ae36-131e258115f7</t>
  </si>
  <si>
    <t xml:space="preserve">2024-04-30 09:01:55-05:00</t>
  </si>
  <si>
    <t xml:space="preserve">2024:04:30 09:01:55-05:00</t>
  </si>
  <si>
    <t xml:space="preserve">Signature_f2ec4af0-07b3-4158-b908-d8ada0edbc2b</t>
  </si>
  <si>
    <t xml:space="preserve">2024-04-30 09:01:42-05:00</t>
  </si>
  <si>
    <t xml:space="preserve">2024:04:30 09:01:42-05:00</t>
  </si>
  <si>
    <t xml:space="preserve">[0 - 795241], [811627 - 816218]</t>
  </si>
  <si>
    <t xml:space="preserve">Signature_5c8a59c6-8e45-4168-a615-62fa07ed6712</t>
  </si>
  <si>
    <t xml:space="preserve">2024-04-30 09:01:50-05:00</t>
  </si>
  <si>
    <t xml:space="preserve">2024:04:30 09:01:50-05:00</t>
  </si>
  <si>
    <t xml:space="preserve">[0 - 75081], [91467 - 99954]</t>
  </si>
  <si>
    <t xml:space="preserve">Signature_3bdae93a-9714-4514-a141-b506aa410b47</t>
  </si>
  <si>
    <t xml:space="preserve">2024-04-30 09:01:40-05:00</t>
  </si>
  <si>
    <t xml:space="preserve">2024:04:30 09:01:40-05:00</t>
  </si>
  <si>
    <t xml:space="preserve">[0 - 72823], [89209 - 97696]</t>
  </si>
  <si>
    <t xml:space="preserve">Signature_f9f9bbcb-317e-41e7-b268-78674a317a8c</t>
  </si>
  <si>
    <t xml:space="preserve">2024-04-30 09:01:34-05:00</t>
  </si>
  <si>
    <t xml:space="preserve">2024:04:30 09:01:34-05:00</t>
  </si>
  <si>
    <t xml:space="preserve">[0 - 287523], [303909 - 312396]</t>
  </si>
  <si>
    <t xml:space="preserve">Signature_4f8256fe-c5d0-42dc-9157-d4f5fc1909ff</t>
  </si>
  <si>
    <t xml:space="preserve">2024-04-30 09:01:30-05:00</t>
  </si>
  <si>
    <t xml:space="preserve">2024:04:30 09:01:30-05:00</t>
  </si>
  <si>
    <t xml:space="preserve">[0 - 272917], [289303 - 297790]</t>
  </si>
  <si>
    <t xml:space="preserve">Signature_18d16914-d303-4f68-8ce8-437035cfa53a</t>
  </si>
  <si>
    <t xml:space="preserve">Signature_7dffaf8c-df56-4fe8-adef-4d1f8a4433be</t>
  </si>
  <si>
    <t xml:space="preserve">2024-04-30 09:01:26-05:00</t>
  </si>
  <si>
    <t xml:space="preserve">2024:04:30 09:01:26-05:00</t>
  </si>
  <si>
    <t xml:space="preserve">[0 - 234843], [251229 - 255840]</t>
  </si>
  <si>
    <t xml:space="preserve">Signature_2d601cf6-8fed-4517-bbb1-48b088719fd6</t>
  </si>
  <si>
    <t xml:space="preserve">2024-04-30 09:01:33-05:00</t>
  </si>
  <si>
    <t xml:space="preserve">2024:04:30 09:01:33-05:00</t>
  </si>
  <si>
    <t xml:space="preserve">[0 - 822699], [839085 - 844621]</t>
  </si>
  <si>
    <t xml:space="preserve">Signature_9fbab5e0-c914-407b-b681-bfa07e571228</t>
  </si>
  <si>
    <t xml:space="preserve">2024-04-30 09:01:29-05:00</t>
  </si>
  <si>
    <t xml:space="preserve">2024:04:30 09:01:29-05:00</t>
  </si>
  <si>
    <t xml:space="preserve">[0 - 234668], [251054 - 255666]</t>
  </si>
  <si>
    <t xml:space="preserve">Signature_e98a40bd-ad78-44ad-b697-7cc8f8ee3e6e</t>
  </si>
  <si>
    <t xml:space="preserve">2024-04-30 09:01:27-05:00</t>
  </si>
  <si>
    <t xml:space="preserve">2024:04:30 09:01:27-05:00</t>
  </si>
  <si>
    <t xml:space="preserve">Signature_ea925b77-5aa5-4836-a150-d220ca3bebfe</t>
  </si>
  <si>
    <t xml:space="preserve">2024-04-30 09:01:45-05:00</t>
  </si>
  <si>
    <t xml:space="preserve">2024:04:30 09:01:45-05:00</t>
  </si>
  <si>
    <t xml:space="preserve">[0 - 489648], [506034 - 511439]</t>
  </si>
  <si>
    <t xml:space="preserve">Signature_e520fedf-09b1-489a-85fe-2197e207b23e</t>
  </si>
  <si>
    <t xml:space="preserve">2024-04-30 09:01:39-05:00</t>
  </si>
  <si>
    <t xml:space="preserve">2024:04:30 09:01:39-05:00</t>
  </si>
  <si>
    <t xml:space="preserve">[0 - 808244], [824630 - 829221]</t>
  </si>
  <si>
    <t xml:space="preserve">Signature_cdda1995-881b-4c30-bc60-14c42e2d0161</t>
  </si>
  <si>
    <t xml:space="preserve">2024-04-30 09:01:36-05:00</t>
  </si>
  <si>
    <t xml:space="preserve">2024:04:30 09:01:36-05:00</t>
  </si>
  <si>
    <t xml:space="preserve">[0 - 802146], [818532 - 823503]</t>
  </si>
  <si>
    <t xml:space="preserve">Signature_3cc21dec-dbfc-4de4-a7b4-59a4173f7b8f</t>
  </si>
  <si>
    <t xml:space="preserve">2024-04-30 09:01:35-05:00</t>
  </si>
  <si>
    <t xml:space="preserve">2024:04:30 09:01:35-05:00</t>
  </si>
  <si>
    <t xml:space="preserve">[0 - 891707], [908093 - 913099]</t>
  </si>
  <si>
    <t xml:space="preserve">Signature_98644065-01a0-4931-8a0c-b9901eb4e6f9</t>
  </si>
  <si>
    <t xml:space="preserve">2024-04-30 09:01:32-05:00</t>
  </si>
  <si>
    <t xml:space="preserve">2024:04:30 09:01:32-05:00</t>
  </si>
  <si>
    <t xml:space="preserve">[0 - 740686], [757072 - 761663]</t>
  </si>
  <si>
    <t xml:space="preserve">Signature_ccd4720f-aeb3-41ed-9f5a-956c682709ae</t>
  </si>
  <si>
    <t xml:space="preserve">2024-04-30 09:01:48-05:00</t>
  </si>
  <si>
    <t xml:space="preserve">2024:04:30 09:01:48-05:00</t>
  </si>
  <si>
    <t xml:space="preserve">[0 - 133712], [150098 - 158631]</t>
  </si>
  <si>
    <t xml:space="preserve">Signature_9d07206c-de13-412c-b610-48cacf56a4e4</t>
  </si>
  <si>
    <t xml:space="preserve">2024-04-30 09:01:44-05:00</t>
  </si>
  <si>
    <t xml:space="preserve">2024:04:30 09:01:44-05:00</t>
  </si>
  <si>
    <t xml:space="preserve">[0 - 1145957], [1162343 - 1167053]</t>
  </si>
  <si>
    <t xml:space="preserve">Signature_7128d12f-37a4-497e-8e9c-d210492a87dd</t>
  </si>
  <si>
    <t xml:space="preserve">2024-04-30 09:01:41-05:00</t>
  </si>
  <si>
    <t xml:space="preserve">2024:04:30 09:01:41-05:00</t>
  </si>
  <si>
    <t xml:space="preserve">[0 - 172508], [188894 - 194380]</t>
  </si>
  <si>
    <t xml:space="preserve">Signature_56fb7fe9-247b-442b-ac09-1680919141b1</t>
  </si>
  <si>
    <t xml:space="preserve">2024-04-30 09:01:53-05:00</t>
  </si>
  <si>
    <t xml:space="preserve">2024:04:30 09:01:53-05:00</t>
  </si>
  <si>
    <t xml:space="preserve">[0 - 90716], [107102 - 111554]</t>
  </si>
  <si>
    <t xml:space="preserve">Signature_ad52e666-9e2e-4bcf-8182-777ee222cf00</t>
  </si>
  <si>
    <t xml:space="preserve">2024-04-30 09:01:37-05:00</t>
  </si>
  <si>
    <t xml:space="preserve">2024:04:30 09:01:37-05:00</t>
  </si>
  <si>
    <t xml:space="preserve">[0 - 156972], [173358 - 178717]</t>
  </si>
  <si>
    <t xml:space="preserve">Signature_1b239181-3984-4e5e-848b-946071efa903</t>
  </si>
  <si>
    <t xml:space="preserve">2024-04-30 09:01:25-05:00</t>
  </si>
  <si>
    <t xml:space="preserve">2024:04:30 09:01:25-05:00</t>
  </si>
  <si>
    <t xml:space="preserve">[0 - 86235], [102621 - 111151]</t>
  </si>
  <si>
    <t xml:space="preserve">Signature_8db66556-acdf-48e0-9c6c-f247ab692d76</t>
  </si>
  <si>
    <t xml:space="preserve">[0 - 802154], [818540 - 823671]</t>
  </si>
  <si>
    <t xml:space="preserve">Signature_5486a67c-a6a8-4190-a05f-46c1c69c0d37</t>
  </si>
  <si>
    <t xml:space="preserve">2024-04-30 09:01:51-05:00</t>
  </si>
  <si>
    <t xml:space="preserve">2024:04:30 09:01:51-05:00</t>
  </si>
  <si>
    <t xml:space="preserve">[0 - 771057], [787443 - 792021]</t>
  </si>
  <si>
    <t xml:space="preserve">77 0 obj</t>
  </si>
  <si>
    <t xml:space="preserve">Signature_e60d6e70-9b4d-4a4b-b10e-8de5f4b2374c</t>
  </si>
  <si>
    <t xml:space="preserve">2024-04-30 09:02:45-05:00</t>
  </si>
  <si>
    <t xml:space="preserve">2024:04:30 09:02:45-05:00</t>
  </si>
  <si>
    <t xml:space="preserve">[0 - 193036], [209422 - 214411]</t>
  </si>
  <si>
    <t xml:space="preserve">Signature_6427f9ec-362b-4d02-87fc-547137b471ce</t>
  </si>
  <si>
    <t xml:space="preserve">2024-04-30 09:02:53-05:00</t>
  </si>
  <si>
    <t xml:space="preserve">2024:04:30 09:02:53-05:00</t>
  </si>
  <si>
    <t xml:space="preserve">[0 - 71732], [88118 - 92639]</t>
  </si>
  <si>
    <t xml:space="preserve">Signature_daf0959d-b588-4a43-b79b-5ce2aa70a775</t>
  </si>
  <si>
    <t xml:space="preserve">2024-04-30 09:02:35-05:00</t>
  </si>
  <si>
    <t xml:space="preserve">2024:04:30 09:02:35-05:00</t>
  </si>
  <si>
    <t xml:space="preserve">[0 - 71078], [87464 - 91985]</t>
  </si>
  <si>
    <t xml:space="preserve">Signature_fd728c24-1805-4163-8a73-fbf1b73e913a</t>
  </si>
  <si>
    <t xml:space="preserve">2024-04-30 09:02:22-05:00</t>
  </si>
  <si>
    <t xml:space="preserve">2024:04:30 09:02:22-05:00</t>
  </si>
  <si>
    <t xml:space="preserve">[0 - 446667], [463053 - 468824]</t>
  </si>
  <si>
    <t xml:space="preserve">Signature_2d4444fb-0097-4010-8c58-c4477c45fcd1</t>
  </si>
  <si>
    <t xml:space="preserve">2024-04-30 09:02:55-05:00</t>
  </si>
  <si>
    <t xml:space="preserve">2024:04:30 09:02:55-05:00</t>
  </si>
  <si>
    <t xml:space="preserve">[0 - 352088], [368474 - 374029]</t>
  </si>
  <si>
    <t xml:space="preserve">408 0 obj</t>
  </si>
  <si>
    <t xml:space="preserve">Signature_6d227974-df23-4f7f-bc3d-181ce32c35cc</t>
  </si>
  <si>
    <t xml:space="preserve">2024-04-30 09:02:56-05:00</t>
  </si>
  <si>
    <t xml:space="preserve">2024:04:30 09:02:56-05:00</t>
  </si>
  <si>
    <t xml:space="preserve">[0 - 520716], [537102 - 540309]</t>
  </si>
  <si>
    <t xml:space="preserve">458 0 obj</t>
  </si>
  <si>
    <t xml:space="preserve">Signature_261ad3e7-8b0a-43d4-9509-38f81dfbaddc</t>
  </si>
  <si>
    <t xml:space="preserve">2024-04-30 09:02:26-05:00</t>
  </si>
  <si>
    <t xml:space="preserve">2024:04:30 09:02:26-05:00</t>
  </si>
  <si>
    <t xml:space="preserve">[0 - 924734], [941120 - 946826]</t>
  </si>
  <si>
    <t xml:space="preserve">238 0 obj</t>
  </si>
  <si>
    <t xml:space="preserve">Signature_2277aee1-2799-4b15-8cca-afbdd70d615b</t>
  </si>
  <si>
    <t xml:space="preserve">2024-04-30 09:02:19-05:00</t>
  </si>
  <si>
    <t xml:space="preserve">2024:04:30 09:02:19-05:00</t>
  </si>
  <si>
    <t xml:space="preserve">[0 - 870688], [887074 - 892780]</t>
  </si>
  <si>
    <t xml:space="preserve">223 0 obj</t>
  </si>
  <si>
    <t xml:space="preserve">Signature_52301914-04ec-4e5a-be30-f55721938898</t>
  </si>
  <si>
    <t xml:space="preserve">2024-04-30 09:02:34-05:00</t>
  </si>
  <si>
    <t xml:space="preserve">2024:04:30 09:02:34-05:00</t>
  </si>
  <si>
    <t xml:space="preserve">[0 - 240122], [256508 - 261897]</t>
  </si>
  <si>
    <t xml:space="preserve">219 0 obj</t>
  </si>
  <si>
    <t xml:space="preserve">Signature_2531a16c-c941-4cde-914f-ed0143f8d137</t>
  </si>
  <si>
    <t xml:space="preserve">2024-04-30 09:02:41-05:00</t>
  </si>
  <si>
    <t xml:space="preserve">2024:04:30 09:02:41-05:00</t>
  </si>
  <si>
    <t xml:space="preserve">[0 - 76613], [92999 - 101487]</t>
  </si>
  <si>
    <t xml:space="preserve">Signature_465b2c3f-4870-4aa1-b4ef-3a1ce4f2e2ff</t>
  </si>
  <si>
    <t xml:space="preserve">2024-04-30 09:02:54-05:00</t>
  </si>
  <si>
    <t xml:space="preserve">2024:04:30 09:02:54-05:00</t>
  </si>
  <si>
    <t xml:space="preserve">[0 - 170896], [187282 - 192502]</t>
  </si>
  <si>
    <t xml:space="preserve">120 0 obj</t>
  </si>
  <si>
    <t xml:space="preserve">Signature_3878409d-722f-4a79-ba32-c0c1d35a4f7c</t>
  </si>
  <si>
    <t xml:space="preserve">2024-04-30 09:02:51-05:00</t>
  </si>
  <si>
    <t xml:space="preserve">2024:04:30 09:02:51-05:00</t>
  </si>
  <si>
    <t xml:space="preserve">[0 - 131576], [147962 - 156495]</t>
  </si>
  <si>
    <t xml:space="preserve">Signature_42599a30-904c-4de1-a2c7-549c74684f94</t>
  </si>
  <si>
    <t xml:space="preserve">2024-04-30 09:02:48-05:00</t>
  </si>
  <si>
    <t xml:space="preserve">2024:04:30 09:02:48-05:00</t>
  </si>
  <si>
    <t xml:space="preserve">[0 - 299411], [315797 - 324286]</t>
  </si>
  <si>
    <t xml:space="preserve">Signature_482b86f6-c5af-4978-aa0b-de990729af15</t>
  </si>
  <si>
    <t xml:space="preserve">2024-04-30 09:02:29-05:00</t>
  </si>
  <si>
    <t xml:space="preserve">2024:04:30 09:02:29-05:00</t>
  </si>
  <si>
    <t xml:space="preserve">[0 - 289448], [305834 - 311416]</t>
  </si>
  <si>
    <t xml:space="preserve">Signature_575f6a87-a19c-4ae5-851b-dfaaeb8ef800</t>
  </si>
  <si>
    <t xml:space="preserve">2024-04-30 09:02:24-05:00</t>
  </si>
  <si>
    <t xml:space="preserve">2024:04:30 09:02:24-05:00</t>
  </si>
  <si>
    <t xml:space="preserve">[0 - 833017], [849403 - 854000]</t>
  </si>
  <si>
    <t xml:space="preserve">Signature_71a30b41-d336-4fc0-a481-c29a8e47cda0</t>
  </si>
  <si>
    <t xml:space="preserve">2024-04-30 09:02:20-05:00</t>
  </si>
  <si>
    <t xml:space="preserve">2024:04:30 09:02:20-05:00</t>
  </si>
  <si>
    <t xml:space="preserve">[0 - 821204], [837590 - 843157]</t>
  </si>
  <si>
    <t xml:space="preserve">Signature_15796378-bb0a-42c1-9ed8-69d9cbcb0899</t>
  </si>
  <si>
    <t xml:space="preserve">2024-04-30 09:02:31-05:00</t>
  </si>
  <si>
    <t xml:space="preserve">2024:04:30 09:02:31-05:00</t>
  </si>
  <si>
    <t xml:space="preserve">[0 - 235359], [251745 - 256719]</t>
  </si>
  <si>
    <t xml:space="preserve">Signature_9227b636-2596-4751-b20c-f72bef340dad</t>
  </si>
  <si>
    <t xml:space="preserve">2024-04-30 09:02:30-05:00</t>
  </si>
  <si>
    <t xml:space="preserve">2024:04:30 09:02:30-05:00</t>
  </si>
  <si>
    <t xml:space="preserve">[0 - 166278], [182664 - 191197]</t>
  </si>
  <si>
    <t xml:space="preserve">Signature_74a7c8df-4c8c-42ea-ac06-1a0d9cb834f2</t>
  </si>
  <si>
    <t xml:space="preserve">2024-04-30 09:02:27-05:00</t>
  </si>
  <si>
    <t xml:space="preserve">2024:04:30 09:02:27-05:00</t>
  </si>
  <si>
    <t xml:space="preserve">[0 - 858831], [875217 - 880193]</t>
  </si>
  <si>
    <t xml:space="preserve">Signature_b01b5758-e04e-4e71-a11f-455d6bb1e00c</t>
  </si>
  <si>
    <t xml:space="preserve">2024-04-30 09:02:25-05:00</t>
  </si>
  <si>
    <t xml:space="preserve">2024:04:30 09:02:25-05:00</t>
  </si>
  <si>
    <t xml:space="preserve">[0 - 851517], [867903 - 872875]</t>
  </si>
  <si>
    <t xml:space="preserve">Signature_ec1e60c8-f55b-494d-b7cb-8fcf52274743</t>
  </si>
  <si>
    <t xml:space="preserve">2024-04-30 09:02:23-05:00</t>
  </si>
  <si>
    <t xml:space="preserve">2024:04:30 09:02:23-05:00</t>
  </si>
  <si>
    <t xml:space="preserve">[0 - 117551], [133937 - 142468]</t>
  </si>
  <si>
    <t xml:space="preserve">Signature_e46dc18f-4813-40db-a9e8-9b37a9e2b41a</t>
  </si>
  <si>
    <t xml:space="preserve">2024-04-30 09:02:42-05:00</t>
  </si>
  <si>
    <t xml:space="preserve">2024:04:30 09:02:42-05:00</t>
  </si>
  <si>
    <t xml:space="preserve">[0 - 14036602], [14052988 - 14059202]</t>
  </si>
  <si>
    <t xml:space="preserve">750 0 obj</t>
  </si>
  <si>
    <t xml:space="preserve">Signature_cf532ade-27e2-4afb-ad61-951bb40a483e</t>
  </si>
  <si>
    <t xml:space="preserve">2024-04-30 09:02:32-05:00</t>
  </si>
  <si>
    <t xml:space="preserve">2024:04:30 09:02:32-05:00</t>
  </si>
  <si>
    <t xml:space="preserve">[0 - 98393], [114779 - 119251]</t>
  </si>
  <si>
    <t xml:space="preserve">Signature_51c47dfe-3a1b-4410-99a1-79f14ff00480</t>
  </si>
  <si>
    <t xml:space="preserve">2024-04-30 09:02:21-05:00</t>
  </si>
  <si>
    <t xml:space="preserve">2024:04:30 09:02:21-05:00</t>
  </si>
  <si>
    <t xml:space="preserve">[0 - 98185], [114571 - 119094]</t>
  </si>
  <si>
    <t xml:space="preserve">Signature_44125910-c0f0-45c1-877f-4a54579f7a33</t>
  </si>
  <si>
    <t xml:space="preserve">2024-04-30 09:02:33-05:00</t>
  </si>
  <si>
    <t xml:space="preserve">2024:04:30 09:02:33-05:00</t>
  </si>
  <si>
    <t xml:space="preserve">[0 - 145654], [162040 - 167059]</t>
  </si>
  <si>
    <t xml:space="preserve">Signature_a27c19da-edf0-4ace-ac64-ead0e8bd0611</t>
  </si>
  <si>
    <t xml:space="preserve">2024-04-30 09:02:46-05:00</t>
  </si>
  <si>
    <t xml:space="preserve">2024:04:30 09:02:46-05:00</t>
  </si>
  <si>
    <t xml:space="preserve">[0 - 312193], [328579 - 333459]</t>
  </si>
  <si>
    <t xml:space="preserve">Signature_62dde1d6-2e2c-407b-a1f8-7a0857ccaaf1</t>
  </si>
  <si>
    <t xml:space="preserve">2024-04-30 09:02:37-05:00</t>
  </si>
  <si>
    <t xml:space="preserve">2024:04:30 09:02:37-05:00</t>
  </si>
  <si>
    <t xml:space="preserve">[0 - 340963], [357349 - 362273]</t>
  </si>
  <si>
    <t xml:space="preserve">211 0 obj</t>
  </si>
  <si>
    <t xml:space="preserve">Signature_b708ec17-d9fc-4a3c-a8be-16493a75d756</t>
  </si>
  <si>
    <t xml:space="preserve">[0 - 372743], [389129 - 395109]</t>
  </si>
  <si>
    <t xml:space="preserve">201 0 obj</t>
  </si>
  <si>
    <t xml:space="preserve">Signature_c7b858e9-cb78-4331-b2e3-bd4307f70d4e</t>
  </si>
  <si>
    <t xml:space="preserve">2024-04-30 09:02:47-05:00</t>
  </si>
  <si>
    <t xml:space="preserve">2024:04:30 09:02:47-05:00</t>
  </si>
  <si>
    <t xml:space="preserve">[0 - 146850], [163236 - 168380]</t>
  </si>
  <si>
    <t xml:space="preserve">Signature_54d33cc8-ad07-483c-95c4-d2ef8be4c460</t>
  </si>
  <si>
    <t xml:space="preserve">2024-04-30 09:02:43-05:00</t>
  </si>
  <si>
    <t xml:space="preserve">2021:03:08 11:15:25-06:00</t>
  </si>
  <si>
    <t xml:space="preserve">[0 - 188957], [205343 - 209624]</t>
  </si>
  <si>
    <t xml:space="preserve">172 0 obj</t>
  </si>
  <si>
    <t xml:space="preserve">Signature_028aea77-70bd-4e01-a159-c04083de13e3</t>
  </si>
  <si>
    <t xml:space="preserve">2024-04-30 09:02:38-05:00</t>
  </si>
  <si>
    <t xml:space="preserve">2021:05:06 10:27:07-05:00</t>
  </si>
  <si>
    <t xml:space="preserve">[0 - 190529], [206915 - 211196]</t>
  </si>
  <si>
    <t xml:space="preserve">Signature_fc79479c-3c7d-4fce-9e7b-82fea31c818e</t>
  </si>
  <si>
    <t xml:space="preserve">2024-04-30 09:02:50-05:00</t>
  </si>
  <si>
    <t xml:space="preserve">2024:04:30 09:02:50-05:00</t>
  </si>
  <si>
    <t xml:space="preserve">[0 - 234437], [250823 - 259312]</t>
  </si>
  <si>
    <t xml:space="preserve">Signature_9ce21ad6-ea74-489c-98eb-0c9c37c4d78a</t>
  </si>
  <si>
    <t xml:space="preserve">2024-04-30 09:02:44-05:00</t>
  </si>
  <si>
    <t xml:space="preserve">2024:04:30 09:02:44-05:00</t>
  </si>
  <si>
    <t xml:space="preserve">[0 - 327497], [343883 - 352372]</t>
  </si>
  <si>
    <t xml:space="preserve">Signature_b1b7b618-aa6c-46f5-bc7b-20eb5c85023b</t>
  </si>
  <si>
    <t xml:space="preserve">2024-04-30 09:02:39-05:00</t>
  </si>
  <si>
    <t xml:space="preserve">2024:04:30 09:02:39-05:00</t>
  </si>
  <si>
    <t xml:space="preserve">[0 - 66286], [82672 - 91159]</t>
  </si>
  <si>
    <t xml:space="preserve">Signature_63b0edcb-ea5c-48a6-a05a-ec5f2554f1a1</t>
  </si>
  <si>
    <t xml:space="preserve">2024-04-30 09:02:28-05:00</t>
  </si>
  <si>
    <t xml:space="preserve">2024:04:30 09:02:28-05:00</t>
  </si>
  <si>
    <t xml:space="preserve">[0 - 365597], [381983 - 390472]</t>
  </si>
  <si>
    <t xml:space="preserve">Signature_5893ecff-5d2a-4192-bb74-8aec3d0bbdde</t>
  </si>
  <si>
    <t xml:space="preserve">2024-04-30 09:02:49-05:00</t>
  </si>
  <si>
    <t xml:space="preserve">2024:04:30 09:02:49-05:00</t>
  </si>
  <si>
    <t xml:space="preserve">[0 - 233036], [249422 - 254189]</t>
  </si>
  <si>
    <t xml:space="preserve">Signature_fc95c701-b320-4052-b36a-8926afa2d4d1</t>
  </si>
  <si>
    <t xml:space="preserve">2024-04-30 09:03:57-05:00</t>
  </si>
  <si>
    <t xml:space="preserve">2024:04:30 09:03:58-05:00</t>
  </si>
  <si>
    <t xml:space="preserve">[0 - 504005], [520391 - 523504]</t>
  </si>
  <si>
    <t xml:space="preserve">Signature_0752e0f4-860c-4b40-827f-9bac39a87091</t>
  </si>
  <si>
    <t xml:space="preserve">2024-04-30 09:03:20-05:00</t>
  </si>
  <si>
    <t xml:space="preserve">2024:04:30 09:03:20-05:00</t>
  </si>
  <si>
    <t xml:space="preserve">[0 - 208431], [224817 - 233348]</t>
  </si>
  <si>
    <t xml:space="preserve">Signature_45c0abc6-10f6-4ef0-b2e9-666c44ed57a8</t>
  </si>
  <si>
    <t xml:space="preserve">2024-04-30 09:03:51-05:00</t>
  </si>
  <si>
    <t xml:space="preserve">2024:04:30 09:03:51-05:00</t>
  </si>
  <si>
    <t xml:space="preserve">[0 - 112154], [128540 - 137029]</t>
  </si>
  <si>
    <t xml:space="preserve">Signature_72b50647-cded-4bdb-b225-262e5be2fda3</t>
  </si>
  <si>
    <t xml:space="preserve">2024-04-30 09:03:49-05:00</t>
  </si>
  <si>
    <t xml:space="preserve">2024:04:30 09:03:49-05:00</t>
  </si>
  <si>
    <t xml:space="preserve">[0 - 311362], [327748 - 336237]</t>
  </si>
  <si>
    <t xml:space="preserve">Signature_c109a164-7185-4fb3-8cc8-8c6f94d73944</t>
  </si>
  <si>
    <t xml:space="preserve">2024-04-30 09:03:37-05:00</t>
  </si>
  <si>
    <t xml:space="preserve">2024:04:30 09:03:37-05:00</t>
  </si>
  <si>
    <t xml:space="preserve">[0 - 541454], [557840 - 566371]</t>
  </si>
  <si>
    <t xml:space="preserve">Signature_ec4c23ac-5ad0-498f-90b3-817c36f1993c</t>
  </si>
  <si>
    <t xml:space="preserve">2024-04-30 09:03:35-05:00</t>
  </si>
  <si>
    <t xml:space="preserve">2024:04:30 09:03:35-05:00</t>
  </si>
  <si>
    <t xml:space="preserve">[0 - 79233], [95619 - 104105]</t>
  </si>
  <si>
    <t xml:space="preserve">Signature_47f0f704-09f6-401f-8948-864cdf148514</t>
  </si>
  <si>
    <t xml:space="preserve">2024-04-30 09:03:34-05:00</t>
  </si>
  <si>
    <t xml:space="preserve">2024:04:30 09:03:34-05:00</t>
  </si>
  <si>
    <t xml:space="preserve">[0 - 442219], [458605 - 467092]</t>
  </si>
  <si>
    <t xml:space="preserve">Signature_efae1431-36b0-4a47-af37-e0826c2ddb76</t>
  </si>
  <si>
    <t xml:space="preserve">2024-04-30 09:03:32-05:00</t>
  </si>
  <si>
    <t xml:space="preserve">2024:04:30 09:03:32-05:00</t>
  </si>
  <si>
    <t xml:space="preserve">[0 - 80109], [96495 - 104981]</t>
  </si>
  <si>
    <t xml:space="preserve">Signature_f2aaf987-9dd9-463f-a882-0e6a7cdecd1a</t>
  </si>
  <si>
    <t xml:space="preserve">2024-04-30 09:03:29-05:00</t>
  </si>
  <si>
    <t xml:space="preserve">2024:04:30 09:03:29-05:00</t>
  </si>
  <si>
    <t xml:space="preserve">[0 - 718160], [734546 - 740056]</t>
  </si>
  <si>
    <t xml:space="preserve">Signature_1f13bde3-ee8b-4b93-a498-8f5e7e9c0996</t>
  </si>
  <si>
    <t xml:space="preserve">2024-04-30 09:03:27-05:00</t>
  </si>
  <si>
    <t xml:space="preserve">2024:04:30 09:03:27-05:00</t>
  </si>
  <si>
    <t xml:space="preserve">[0 - 73139], [89525 - 98010]</t>
  </si>
  <si>
    <t xml:space="preserve">Signature_b5404fee-fe1e-4c39-bd3d-fc6e8fe4cbb1</t>
  </si>
  <si>
    <t xml:space="preserve">2024-04-30 09:03:23-05:00</t>
  </si>
  <si>
    <t xml:space="preserve">2024:04:30 09:03:23-05:00</t>
  </si>
  <si>
    <t xml:space="preserve">[0 - 708358], [724744 - 729329]</t>
  </si>
  <si>
    <t xml:space="preserve">Signature_36c21e6b-bfe8-4640-bc2c-5c09477e716b</t>
  </si>
  <si>
    <t xml:space="preserve">2024-04-30 09:03:19-05:00</t>
  </si>
  <si>
    <t xml:space="preserve">2024:04:30 09:03:19-05:00</t>
  </si>
  <si>
    <t xml:space="preserve">[0 - 405883], [422269 - 430756]</t>
  </si>
  <si>
    <t xml:space="preserve">Signature_2f964680-6876-49eb-befb-b7070e77b599</t>
  </si>
  <si>
    <t xml:space="preserve">2024-04-30 09:03:55-05:00</t>
  </si>
  <si>
    <t xml:space="preserve">2024:04:30 09:03:55-05:00</t>
  </si>
  <si>
    <t xml:space="preserve">[0 - 825197], [841583 - 850116]</t>
  </si>
  <si>
    <t xml:space="preserve">Signature_da010011-ccbe-428f-af9c-2958947d35de</t>
  </si>
  <si>
    <t xml:space="preserve">2024-04-30 09:03:54-05:00</t>
  </si>
  <si>
    <t xml:space="preserve">2024:04:30 09:03:54-05:00</t>
  </si>
  <si>
    <t xml:space="preserve">[0 - 797615], [814001 - 818592]</t>
  </si>
  <si>
    <t xml:space="preserve">Signature_98eac0b6-4ad5-4c03-8596-2a5fbaa43c60</t>
  </si>
  <si>
    <t xml:space="preserve">2024-04-30 09:03:52-05:00</t>
  </si>
  <si>
    <t xml:space="preserve">2024:04:30 09:03:52-05:00</t>
  </si>
  <si>
    <t xml:space="preserve">[0 - 754406], [770792 - 779325]</t>
  </si>
  <si>
    <t xml:space="preserve">Signature_2b4163be-f037-422f-9342-09c789a1dc51</t>
  </si>
  <si>
    <t xml:space="preserve">2024-04-30 09:03:46-05:00</t>
  </si>
  <si>
    <t xml:space="preserve">2024:04:30 09:03:46-05:00</t>
  </si>
  <si>
    <t xml:space="preserve">[0 - 136667], [153053 - 161586]</t>
  </si>
  <si>
    <t xml:space="preserve">Signature_10e4009b-b27e-4b09-9582-f109cc74be88</t>
  </si>
  <si>
    <t xml:space="preserve">2024-04-30 09:03:45-05:00</t>
  </si>
  <si>
    <t xml:space="preserve">2024:04:30 09:03:45-05:00</t>
  </si>
  <si>
    <t xml:space="preserve">[0 - 819533], [835919 - 840516]</t>
  </si>
  <si>
    <t xml:space="preserve">Signature_9baccfd0-83e9-4ee0-850a-e1abd396455d</t>
  </si>
  <si>
    <t xml:space="preserve">2024-04-30 09:03:43-05:00</t>
  </si>
  <si>
    <t xml:space="preserve">2024:04:30 09:03:43-05:00</t>
  </si>
  <si>
    <t xml:space="preserve">[0 - 822568], [838954 - 847487]</t>
  </si>
  <si>
    <t xml:space="preserve">Signature_6a72d02a-3d1c-4ede-9e21-cc1822bfa72f</t>
  </si>
  <si>
    <t xml:space="preserve">2024-04-30 09:03:40-05:00</t>
  </si>
  <si>
    <t xml:space="preserve">2024:04:30 09:03:40-05:00</t>
  </si>
  <si>
    <t xml:space="preserve">[0 - 804670], [821056 - 825785]</t>
  </si>
  <si>
    <t xml:space="preserve">Signature_9cf5f2de-1e6b-49c2-b981-87bcd6f318dc</t>
  </si>
  <si>
    <t xml:space="preserve">2024-04-30 09:03:38-05:00</t>
  </si>
  <si>
    <t xml:space="preserve">2024:04:30 09:03:38-05:00</t>
  </si>
  <si>
    <t xml:space="preserve">[0 - 867721], [884107 - 888704]</t>
  </si>
  <si>
    <t xml:space="preserve">Signature_fbb5b0f0-3789-4f98-b2bf-b0b8ae3adb2e</t>
  </si>
  <si>
    <t xml:space="preserve">2024-04-30 09:03:30-05:00</t>
  </si>
  <si>
    <t xml:space="preserve">2024:04:30 09:03:30-05:00</t>
  </si>
  <si>
    <t xml:space="preserve">[0 - 824183], [840569 - 846139]</t>
  </si>
  <si>
    <t xml:space="preserve">Signature_a75bd09f-fcd2-48d6-890e-b6c4938ad11c</t>
  </si>
  <si>
    <t xml:space="preserve">2024-04-30 09:03:28-05:00</t>
  </si>
  <si>
    <t xml:space="preserve">2024:04:30 09:03:28-05:00</t>
  </si>
  <si>
    <t xml:space="preserve">[0 - 838443], [854829 - 859426]</t>
  </si>
  <si>
    <t xml:space="preserve">Signature_38cfcb75-5b4a-45cc-9162-9a28c6b31dd0</t>
  </si>
  <si>
    <t xml:space="preserve">2024-04-30 09:03:24-05:00</t>
  </si>
  <si>
    <t xml:space="preserve">2024:04:30 09:03:24-05:00</t>
  </si>
  <si>
    <t xml:space="preserve">[0 - 834840], [851226 - 855823]</t>
  </si>
  <si>
    <t xml:space="preserve">Signature_a8f3d13e-aa34-45d5-86d9-24ec4c313ce6</t>
  </si>
  <si>
    <t xml:space="preserve">[0 - 739708], [756094 - 760684]</t>
  </si>
  <si>
    <t xml:space="preserve">Signature_6efebbf8-7389-4937-a611-bc9acc285006</t>
  </si>
  <si>
    <t xml:space="preserve">2024-04-30 09:03:25-05:00</t>
  </si>
  <si>
    <t xml:space="preserve">2024:04:30 09:03:25-05:00</t>
  </si>
  <si>
    <t xml:space="preserve">[0 - 742601], [758987 - 763578]</t>
  </si>
  <si>
    <t xml:space="preserve">Signature_3de1fb40-0e02-4f1f-807a-1b0fb5c8eb6a</t>
  </si>
  <si>
    <t xml:space="preserve">2024-04-30 09:03:21-05:00</t>
  </si>
  <si>
    <t xml:space="preserve">2024:04:30 09:03:21-05:00</t>
  </si>
  <si>
    <t xml:space="preserve">[0 - 774871], [791257 - 799744]</t>
  </si>
  <si>
    <t xml:space="preserve">Signature_5f4bedaf-54fd-4b10-8989-9688539795e8</t>
  </si>
  <si>
    <t xml:space="preserve">2024-04-30 09:03:41-05:00</t>
  </si>
  <si>
    <t xml:space="preserve">2024:04:30 09:03:41-05:00</t>
  </si>
  <si>
    <t xml:space="preserve">[0 - 335756], [352142 - 357271]</t>
  </si>
  <si>
    <t xml:space="preserve">Signature_64fd5908-9e0f-4de3-8d2e-4378138c24c2</t>
  </si>
  <si>
    <t xml:space="preserve">2024-04-30 09:03:22-05:00</t>
  </si>
  <si>
    <t xml:space="preserve">2024:04:30 09:03:22-05:00</t>
  </si>
  <si>
    <t xml:space="preserve">[0 - 107832], [124218 - 129568]</t>
  </si>
  <si>
    <t xml:space="preserve">Signature_c4f4e961-0ba5-4953-9c25-e953116078a8</t>
  </si>
  <si>
    <t xml:space="preserve">2024-04-30 09:03:53-05:00</t>
  </si>
  <si>
    <t xml:space="preserve">2024:04:30 09:03:53-05:00</t>
  </si>
  <si>
    <t xml:space="preserve">[0 - 75911], [92297 - 100785]</t>
  </si>
  <si>
    <t xml:space="preserve">Signature_c05a74c4-d7a3-436d-aba5-02291adc72e6</t>
  </si>
  <si>
    <t xml:space="preserve">2024-04-30 09:03:50-05:00</t>
  </si>
  <si>
    <t xml:space="preserve">2024:04:30 09:03:50-05:00</t>
  </si>
  <si>
    <t xml:space="preserve">[0 - 201550], [217936 - 226425]</t>
  </si>
  <si>
    <t xml:space="preserve">Signature_0fa531db-00e4-429c-90a8-6f2a3800ecd3</t>
  </si>
  <si>
    <t xml:space="preserve">2024-04-30 09:03:48-05:00</t>
  </si>
  <si>
    <t xml:space="preserve">2024:04:30 09:03:48-05:00</t>
  </si>
  <si>
    <t xml:space="preserve">[0 - 207433], [223819 - 232308]</t>
  </si>
  <si>
    <t xml:space="preserve">Signature_a294765d-6491-4d72-bf04-0cb70cebe745</t>
  </si>
  <si>
    <t xml:space="preserve">2024-04-30 09:03:44-05:00</t>
  </si>
  <si>
    <t xml:space="preserve">2024:04:30 09:03:44-05:00</t>
  </si>
  <si>
    <t xml:space="preserve">[0 - 301311], [317697 - 326186]</t>
  </si>
  <si>
    <t xml:space="preserve">Signature_bf5e23d2-7b52-4778-9089-093d1a5e9a1f</t>
  </si>
  <si>
    <t xml:space="preserve">2024-04-30 09:03:42-05:00</t>
  </si>
  <si>
    <t xml:space="preserve">2024:04:30 09:03:42-05:00</t>
  </si>
  <si>
    <t xml:space="preserve">[0 - 284867], [301253 - 309742]</t>
  </si>
  <si>
    <t xml:space="preserve">Signature_22cfa3c5-78fd-4750-8418-e0510b5907a5</t>
  </si>
  <si>
    <t xml:space="preserve">2024-04-30 09:03:39-05:00</t>
  </si>
  <si>
    <t xml:space="preserve">2024:04:30 09:03:39-05:00</t>
  </si>
  <si>
    <t xml:space="preserve">[0 - 258408], [274794 - 283283]</t>
  </si>
  <si>
    <t xml:space="preserve">Signature_f68bbd6d-f5ca-47f1-90ff-6dd8c5953b30</t>
  </si>
  <si>
    <t xml:space="preserve">2024-04-30 09:03:36-05:00</t>
  </si>
  <si>
    <t xml:space="preserve">2024:04:30 09:03:36-05:00</t>
  </si>
  <si>
    <t xml:space="preserve">Signature_837b042e-4e36-49f9-9682-919386fe8a27</t>
  </si>
  <si>
    <t xml:space="preserve">2024-04-30 09:03:26-05:00</t>
  </si>
  <si>
    <t xml:space="preserve">2024:04:30 09:03:26-05:00</t>
  </si>
  <si>
    <t xml:space="preserve">[0 - 238207], [254593 - 263080]</t>
  </si>
  <si>
    <t xml:space="preserve">Signature_9ab2eedc-38a4-4058-b1ee-27f941423d94</t>
  </si>
  <si>
    <t xml:space="preserve">2024-04-30 09:03:56-05:00</t>
  </si>
  <si>
    <t xml:space="preserve">2024:04:30 09:03:56-05:00</t>
  </si>
  <si>
    <t xml:space="preserve">[0 - 802115], [818501 - 823632]</t>
  </si>
  <si>
    <t xml:space="preserve">244 0 obj</t>
  </si>
  <si>
    <t xml:space="preserve">Signature_5cad9b73-4597-4181-b3d9-d8d676164140</t>
  </si>
  <si>
    <t xml:space="preserve">2024-04-30 09:04:36-05:00</t>
  </si>
  <si>
    <t xml:space="preserve">2024:04:30 09:04:36-05:00</t>
  </si>
  <si>
    <t xml:space="preserve">[0 - 616287], [632673 - 637899]</t>
  </si>
  <si>
    <t xml:space="preserve">Signature_4fdf91c6-01d8-4849-8de0-517b3377e706</t>
  </si>
  <si>
    <t xml:space="preserve">2024-04-30 09:04:42-05:00</t>
  </si>
  <si>
    <t xml:space="preserve">2024:04:30 09:04:42-05:00</t>
  </si>
  <si>
    <t xml:space="preserve">[0 - 526923], [543309 - 546610]</t>
  </si>
  <si>
    <t xml:space="preserve">485 0 obj</t>
  </si>
  <si>
    <t xml:space="preserve">Signature_366e499d-cee6-4fb8-957a-7d9ede9b2cbd</t>
  </si>
  <si>
    <t xml:space="preserve">2024-04-30 09:04:37-05:00</t>
  </si>
  <si>
    <t xml:space="preserve">2024:04:30 09:04:37-05:00</t>
  </si>
  <si>
    <t xml:space="preserve">[0 - 215334], [231720 - 236994]</t>
  </si>
  <si>
    <t xml:space="preserve">Signature_7df9dd09-994c-4674-a31c-2c9a19804611</t>
  </si>
  <si>
    <t xml:space="preserve">2024-04-30 09:04:31-05:00</t>
  </si>
  <si>
    <t xml:space="preserve">2024:04:30 09:04:31-05:00</t>
  </si>
  <si>
    <t xml:space="preserve">[0 - 250641], [267027 - 272142]</t>
  </si>
  <si>
    <t xml:space="preserve">227 0 obj</t>
  </si>
  <si>
    <t xml:space="preserve">Signature_611b28a6-ae15-4d8d-a4e9-ad635cf68f24</t>
  </si>
  <si>
    <t xml:space="preserve">2024-04-30 09:04:26-05:00</t>
  </si>
  <si>
    <t xml:space="preserve">2024:04:30 09:04:26-05:00</t>
  </si>
  <si>
    <t xml:space="preserve">[0 - 318357], [334743 - 339785]</t>
  </si>
  <si>
    <t xml:space="preserve">256 0 obj</t>
  </si>
  <si>
    <t xml:space="preserve">Signature_508f070c-037e-471e-b1f6-887ff11d0b28</t>
  </si>
  <si>
    <t xml:space="preserve">2024-04-30 09:04:35-05:00</t>
  </si>
  <si>
    <t xml:space="preserve">2024:04:30 09:04:35-05:00</t>
  </si>
  <si>
    <t xml:space="preserve">[0 - 75153], [91539 - 96060]</t>
  </si>
  <si>
    <t xml:space="preserve">Signature_d5bef2b7-92a5-4f4d-aa62-0b35485ea77b</t>
  </si>
  <si>
    <t xml:space="preserve">2024-04-30 09:04:23-05:00</t>
  </si>
  <si>
    <t xml:space="preserve">2024:04:30 09:04:23-05:00</t>
  </si>
  <si>
    <t xml:space="preserve">[0 - 98104], [114490 - 118992]</t>
  </si>
  <si>
    <t xml:space="preserve">Signature_74c474c6-3eb0-4293-b584-3f2192642f82</t>
  </si>
  <si>
    <t xml:space="preserve">2024-04-30 09:04:38-05:00</t>
  </si>
  <si>
    <t xml:space="preserve">2024:04:30 09:04:38-05:00</t>
  </si>
  <si>
    <t xml:space="preserve">[0 - 696360], [712746 - 717215]</t>
  </si>
  <si>
    <t xml:space="preserve">Signature_811299b8-02f1-4085-b8fc-d0e689f827e7</t>
  </si>
  <si>
    <t xml:space="preserve">2024-04-30 09:04:33-05:00</t>
  </si>
  <si>
    <t xml:space="preserve">2024:04:30 09:04:33-05:00</t>
  </si>
  <si>
    <t xml:space="preserve">[0 - 138644], [155030 - 159940]</t>
  </si>
  <si>
    <t xml:space="preserve">Signature_7b21b527-5d16-43aa-9254-526a91c14b81</t>
  </si>
  <si>
    <t xml:space="preserve">2024-04-30 09:04:20-05:00</t>
  </si>
  <si>
    <t xml:space="preserve">2024:04:30 09:04:20-05:00</t>
  </si>
  <si>
    <t xml:space="preserve">[0 - 821910], [838296 - 846827]</t>
  </si>
  <si>
    <t xml:space="preserve">Signature_96c7498f-6998-4540-89b3-dd2e93df7add</t>
  </si>
  <si>
    <t xml:space="preserve">2024-04-30 09:04:19-05:00</t>
  </si>
  <si>
    <t xml:space="preserve">2024:04:30 09:04:19-05:00</t>
  </si>
  <si>
    <t xml:space="preserve">[0 - 234757], [251143 - 255752]</t>
  </si>
  <si>
    <t xml:space="preserve">Signature_7c668b68-f4b5-486c-a29a-d231bc90ee4b</t>
  </si>
  <si>
    <t xml:space="preserve">2024-04-30 09:04:40-05:00</t>
  </si>
  <si>
    <t xml:space="preserve">2024:04:30 09:04:40-05:00</t>
  </si>
  <si>
    <t xml:space="preserve">[0 - 153991], [170377 - 178989]</t>
  </si>
  <si>
    <t xml:space="preserve">Signature_29fc6ad0-4d86-4d0d-b562-e8d64a7cd540</t>
  </si>
  <si>
    <t xml:space="preserve">2024-04-30 09:04:34-05:00</t>
  </si>
  <si>
    <t xml:space="preserve">2024:04:30 09:04:34-05:00</t>
  </si>
  <si>
    <t xml:space="preserve">[0 - 431606], [447992 - 453069]</t>
  </si>
  <si>
    <t xml:space="preserve">Signature_40403e0b-90c6-467a-866e-f2438860d91c</t>
  </si>
  <si>
    <t xml:space="preserve">2024-04-30 09:04:32-05:00</t>
  </si>
  <si>
    <t xml:space="preserve">2024:04:30 09:04:32-05:00</t>
  </si>
  <si>
    <t xml:space="preserve">[0 - 153713], [170099 - 178632]</t>
  </si>
  <si>
    <t xml:space="preserve">Signature_561032de-524b-42c4-9abc-a81aa9f1cd75</t>
  </si>
  <si>
    <t xml:space="preserve">2024-04-30 09:04:28-05:00</t>
  </si>
  <si>
    <t xml:space="preserve">2024:04:30 09:04:28-05:00</t>
  </si>
  <si>
    <t xml:space="preserve">[0 - 235391], [251777 - 256751]</t>
  </si>
  <si>
    <t xml:space="preserve">Signature_1fa2e65c-f365-4f22-abaf-76a16ba933a5</t>
  </si>
  <si>
    <t xml:space="preserve">2024-04-30 09:04:27-05:00</t>
  </si>
  <si>
    <t xml:space="preserve">2024:04:30 09:04:27-05:00</t>
  </si>
  <si>
    <t xml:space="preserve">[0 - 261472], [277858 - 282829]</t>
  </si>
  <si>
    <t xml:space="preserve">Signature_b8235bf9-8db1-488e-ac40-58f50f77cf7b</t>
  </si>
  <si>
    <t xml:space="preserve">2024-04-30 09:04:25-05:00</t>
  </si>
  <si>
    <t xml:space="preserve">2024:04:30 09:04:24-05:00</t>
  </si>
  <si>
    <t xml:space="preserve">[0 - 869847], [886233 - 891209]</t>
  </si>
  <si>
    <t xml:space="preserve">Signature_8ab3210b-b7ea-42fa-bb6d-9837d6581a2c</t>
  </si>
  <si>
    <t xml:space="preserve">2024-04-30 09:04:22-05:00</t>
  </si>
  <si>
    <t xml:space="preserve">2024:04:30 09:04:22-05:00</t>
  </si>
  <si>
    <t xml:space="preserve">[0 - 837798], [854184 - 859157]</t>
  </si>
  <si>
    <t xml:space="preserve">Signature_74533405-66b0-41b1-bce9-0bec13500fe9</t>
  </si>
  <si>
    <t xml:space="preserve">2024-04-30 09:04:21-05:00</t>
  </si>
  <si>
    <t xml:space="preserve">2024:04:30 09:04:21-05:00</t>
  </si>
  <si>
    <t xml:space="preserve">[0 - 1105751], [1122137 - 1130670]</t>
  </si>
  <si>
    <t xml:space="preserve">Signature_9665639e-8732-46c2-b3c0-2ed8d84f70bf</t>
  </si>
  <si>
    <t xml:space="preserve">2024-04-30 09:04:29-05:00</t>
  </si>
  <si>
    <t xml:space="preserve">2024:04:30 09:04:29-05:00</t>
  </si>
  <si>
    <t xml:space="preserve">[0 - 840310], [856696 - 862670]</t>
  </si>
  <si>
    <t xml:space="preserve">203 0 obj</t>
  </si>
  <si>
    <t xml:space="preserve">Signature_61d4d47b-f56b-45fa-ac3d-a12ecd422ef5</t>
  </si>
  <si>
    <t xml:space="preserve">2024-04-30 09:04:30-05:00</t>
  </si>
  <si>
    <t xml:space="preserve">2024:04:30 09:04:30-05:00</t>
  </si>
  <si>
    <t xml:space="preserve">[0 - 112453], [128839 - 133852]</t>
  </si>
  <si>
    <t xml:space="preserve">Signature_b284024f-c296-4d37-af39-f509dbcb23ae</t>
  </si>
  <si>
    <t xml:space="preserve">2024-04-30 09:04:39-05:00</t>
  </si>
  <si>
    <t xml:space="preserve">2024:04:30 09:04:39-05:00</t>
  </si>
  <si>
    <t xml:space="preserve">[0 - 189613], [205999 - 211058]</t>
  </si>
  <si>
    <t xml:space="preserve">195 0 obj</t>
  </si>
  <si>
    <t xml:space="preserve">Signature_d2b8f035-8c19-4ef6-9bbf-40ba93574a4e</t>
  </si>
  <si>
    <t xml:space="preserve">2024-04-30 09:05:25-05:00</t>
  </si>
  <si>
    <t xml:space="preserve">2024:04:30 09:05:25-05:00</t>
  </si>
  <si>
    <t xml:space="preserve">[0 - 319551], [335937 - 341765]</t>
  </si>
  <si>
    <t xml:space="preserve">433 0 obj</t>
  </si>
  <si>
    <t xml:space="preserve">Signature_a074c0ba-df06-460a-90bc-b18243e21f0a</t>
  </si>
  <si>
    <t xml:space="preserve">2024-04-30 09:05:07-05:00</t>
  </si>
  <si>
    <t xml:space="preserve">2024:04:30 09:05:07-05:00</t>
  </si>
  <si>
    <t xml:space="preserve">[0 - 101127], [117513 - 122189]</t>
  </si>
  <si>
    <t xml:space="preserve">Signature_99be258c-1fb8-465c-a2a1-35236c255161</t>
  </si>
  <si>
    <t xml:space="preserve">2024-04-30 09:05:28-05:00</t>
  </si>
  <si>
    <t xml:space="preserve">2024:04:30 09:05:28-05:00</t>
  </si>
  <si>
    <t xml:space="preserve">[0 - 466226], [482612 - 485349]</t>
  </si>
  <si>
    <t xml:space="preserve">Signature_b9afc1bf-f5ef-4525-96d5-cbb319c8574a</t>
  </si>
  <si>
    <t xml:space="preserve">2024-04-30 09:05:10-05:00</t>
  </si>
  <si>
    <t xml:space="preserve">2024:04:30 09:05:10-05:00</t>
  </si>
  <si>
    <t xml:space="preserve">[0 - 269146], [285532 - 290959]</t>
  </si>
  <si>
    <t xml:space="preserve">Signature_2b8b89cc-c6d6-45d3-bc28-2c60bb8eb99f</t>
  </si>
  <si>
    <t xml:space="preserve">2024-04-30 09:05:20-05:00</t>
  </si>
  <si>
    <t xml:space="preserve">2024:04:30 09:05:20-05:00</t>
  </si>
  <si>
    <t xml:space="preserve">[0 - 76369], [92755 - 101243]</t>
  </si>
  <si>
    <t xml:space="preserve">Signature_b273fb71-e208-478f-8654-fbd72ed4e768</t>
  </si>
  <si>
    <t xml:space="preserve">2024-04-30 09:05:15-05:00</t>
  </si>
  <si>
    <t xml:space="preserve">2024:04:30 09:05:15-05:00</t>
  </si>
  <si>
    <t xml:space="preserve">[0 - 72016], [88402 - 96889]</t>
  </si>
  <si>
    <t xml:space="preserve">Signature_5fd300f1-5b27-4887-8fbc-3c22c7defd9a</t>
  </si>
  <si>
    <t xml:space="preserve">2024-04-30 09:05:08-05:00</t>
  </si>
  <si>
    <t xml:space="preserve">2024:04:30 09:05:08-05:00</t>
  </si>
  <si>
    <t xml:space="preserve">[0 - 283938], [300324 - 308811]</t>
  </si>
  <si>
    <t xml:space="preserve">Signature_9c1f9942-14ed-4ed9-82b2-4f4ad5690bd0</t>
  </si>
  <si>
    <t xml:space="preserve">[0 - 398522], [414908 - 423476]</t>
  </si>
  <si>
    <t xml:space="preserve">Signature_903df74e-4642-45cc-88a4-240d5841b675</t>
  </si>
  <si>
    <t xml:space="preserve">2024-04-30 09:05:23-05:00</t>
  </si>
  <si>
    <t xml:space="preserve">2024:04:30 09:05:23-05:00</t>
  </si>
  <si>
    <t xml:space="preserve">[0 - 130792], [147178 - 155711]</t>
  </si>
  <si>
    <t xml:space="preserve">Signature_8ba2df38-e0c2-41af-abe5-b8c967ec19b1</t>
  </si>
  <si>
    <t xml:space="preserve">2024-04-30 09:05:22-05:00</t>
  </si>
  <si>
    <t xml:space="preserve">2024:04:30 09:05:22-05:00</t>
  </si>
  <si>
    <t xml:space="preserve">[0 - 115558], [131944 - 140477]</t>
  </si>
  <si>
    <t xml:space="preserve">Signature_44cc3c45-c0f2-4d32-8153-cd0307dc8823</t>
  </si>
  <si>
    <t xml:space="preserve">2024-04-30 09:05:21-05:00</t>
  </si>
  <si>
    <t xml:space="preserve">2024:04:30 09:05:21-05:00</t>
  </si>
  <si>
    <t xml:space="preserve">[0 - 137654], [154040 - 162573]</t>
  </si>
  <si>
    <t xml:space="preserve">Signature_286c93b8-92f5-491e-a5aa-758069fb92f8</t>
  </si>
  <si>
    <t xml:space="preserve">2024-04-30 09:05:19-05:00</t>
  </si>
  <si>
    <t xml:space="preserve">2024:04:30 09:05:19-05:00</t>
  </si>
  <si>
    <t xml:space="preserve">[0 - 115642], [132028 - 140561]</t>
  </si>
  <si>
    <t xml:space="preserve">Signature_62cf4c67-ec21-4953-963a-cbdc8d6f5d2e</t>
  </si>
  <si>
    <t xml:space="preserve">2024-04-30 09:05:18-05:00</t>
  </si>
  <si>
    <t xml:space="preserve">2024:04:30 09:05:18-05:00</t>
  </si>
  <si>
    <t xml:space="preserve">[0 - 137263], [153649 - 162182]</t>
  </si>
  <si>
    <t xml:space="preserve">Signature_14eb69ae-f0d6-4481-af50-183cc578be06</t>
  </si>
  <si>
    <t xml:space="preserve">2024-04-30 09:05:17-05:00</t>
  </si>
  <si>
    <t xml:space="preserve">2024:04:30 09:05:17-05:00</t>
  </si>
  <si>
    <t xml:space="preserve">[0 - 811479], [827865 - 836398]</t>
  </si>
  <si>
    <t xml:space="preserve">Signature_b81cc02b-0b10-4078-b7a8-abc4e2bccb25</t>
  </si>
  <si>
    <t xml:space="preserve">2024-04-30 09:05:12-05:00</t>
  </si>
  <si>
    <t xml:space="preserve">2024:04:30 09:05:12-05:00</t>
  </si>
  <si>
    <t xml:space="preserve">[0 - 820345], [836731 - 842770]</t>
  </si>
  <si>
    <t xml:space="preserve">Signature_b92e0677-09e9-4679-8234-9c664c6e432b</t>
  </si>
  <si>
    <t xml:space="preserve">2024-04-30 09:05:27-05:00</t>
  </si>
  <si>
    <t xml:space="preserve">2024:04:30 09:05:27-05:00</t>
  </si>
  <si>
    <t xml:space="preserve">[0 - 834400], [850786 - 859354]</t>
  </si>
  <si>
    <t xml:space="preserve">Signature_3051f649-9c6c-4061-b51b-aeba18244d63</t>
  </si>
  <si>
    <t xml:space="preserve">2024-04-30 09:05:16-05:00</t>
  </si>
  <si>
    <t xml:space="preserve">2024:04:30 09:05:16-05:00</t>
  </si>
  <si>
    <t xml:space="preserve">[0 - 769970], [786356 - 794845]</t>
  </si>
  <si>
    <t xml:space="preserve">Signature_a570d408-538a-4373-8bf2-961a310fa727</t>
  </si>
  <si>
    <t xml:space="preserve">2024-04-30 09:05:14-05:00</t>
  </si>
  <si>
    <t xml:space="preserve">2024:04:30 09:05:14-05:00</t>
  </si>
  <si>
    <t xml:space="preserve">[0 - 84410], [100796 - 109282]</t>
  </si>
  <si>
    <t xml:space="preserve">Signature_a050e25d-9d17-4462-9d64-37eef8880a8c</t>
  </si>
  <si>
    <t xml:space="preserve">[0 - 880124], [896510 - 902644]</t>
  </si>
  <si>
    <t xml:space="preserve">Signature_0769822e-50a2-4e48-b80d-6a14d7a8b800</t>
  </si>
  <si>
    <t xml:space="preserve">2024-04-30 09:05:13-05:00</t>
  </si>
  <si>
    <t xml:space="preserve">2024:04:30 09:05:13-05:00</t>
  </si>
  <si>
    <t xml:space="preserve">[0 - 73582], [89968 - 98453]</t>
  </si>
  <si>
    <t xml:space="preserve">Signature_55236947-9906-46e1-8724-fc04103af500</t>
  </si>
  <si>
    <t xml:space="preserve">2024-04-30 09:05:11-05:00</t>
  </si>
  <si>
    <t xml:space="preserve">2024:04:30 09:05:11-05:00</t>
  </si>
  <si>
    <t xml:space="preserve">[0 - 737916], [754302 - 758871]</t>
  </si>
  <si>
    <t xml:space="preserve">Signature_d0c9293b-d931-4fa5-8eba-50df83448e55</t>
  </si>
  <si>
    <t xml:space="preserve">2024-04-30 09:05:59-05:00</t>
  </si>
  <si>
    <t xml:space="preserve">2024:04:30 09:05:59-05:00</t>
  </si>
  <si>
    <t xml:space="preserve">[0 - 238122], [254508 - 259694]</t>
  </si>
  <si>
    <t xml:space="preserve">257 0 obj</t>
  </si>
  <si>
    <t xml:space="preserve">Signature_d23ab754-080d-4802-8a77-0a87d60fdd7f</t>
  </si>
  <si>
    <t xml:space="preserve">2024-04-30 09:05:58-05:00</t>
  </si>
  <si>
    <t xml:space="preserve">2024:04:30 09:05:58-05:00</t>
  </si>
  <si>
    <t xml:space="preserve">[0 - 311589], [327975 - 333252]</t>
  </si>
  <si>
    <t xml:space="preserve">Signature_a071bd61-1a16-4a76-89e3-7fc61ff94c0f</t>
  </si>
  <si>
    <t xml:space="preserve">2024-04-30 09:05:56-05:00</t>
  </si>
  <si>
    <t xml:space="preserve">2024:04:30 09:05:56-05:00</t>
  </si>
  <si>
    <t xml:space="preserve">[0 - 465729], [482115 - 487410]</t>
  </si>
  <si>
    <t xml:space="preserve">332 0 obj</t>
  </si>
  <si>
    <t xml:space="preserve">Signature_5b5e9bac-cde1-4fdc-be91-4243d02a3882</t>
  </si>
  <si>
    <t xml:space="preserve">2024-04-30 09:06:30-05:00</t>
  </si>
  <si>
    <t xml:space="preserve">2024:04:30 09:06:30-05:00</t>
  </si>
  <si>
    <t xml:space="preserve">[0 - 380783], [397169 - 402683]</t>
  </si>
  <si>
    <t xml:space="preserve">298 0 obj</t>
  </si>
  <si>
    <t xml:space="preserve">Signature_2b7be54f-76cc-4de4-b918-20cc9977ce72</t>
  </si>
  <si>
    <t xml:space="preserve">2024-04-30 09:06:09-05:00</t>
  </si>
  <si>
    <t xml:space="preserve">2024:04:30 09:06:09-05:00</t>
  </si>
  <si>
    <t xml:space="preserve">[0 - 284998], [301384 - 306405]</t>
  </si>
  <si>
    <t xml:space="preserve">152 0 obj</t>
  </si>
  <si>
    <t xml:space="preserve">Signature_f5b09d88-e9c1-43d1-885d-33f6582635f8</t>
  </si>
  <si>
    <t xml:space="preserve">2024-04-30 09:06:13-05:00</t>
  </si>
  <si>
    <t xml:space="preserve">2024:04:30 09:06:13-05:00</t>
  </si>
  <si>
    <t xml:space="preserve">[0 - 189000], [205386 - 210767]</t>
  </si>
  <si>
    <t xml:space="preserve">Signature_6e3cc73a-21e4-4e4d-b219-7a1b45611f11</t>
  </si>
  <si>
    <t xml:space="preserve">2024-04-30 09:06:35-05:00</t>
  </si>
  <si>
    <t xml:space="preserve">2024:04:30 09:06:35-05:00</t>
  </si>
  <si>
    <t xml:space="preserve">[0 - 398420], [414806 - 420681]</t>
  </si>
  <si>
    <t xml:space="preserve">393 0 obj</t>
  </si>
  <si>
    <t xml:space="preserve">Signature_2fd0049b-7caf-4734-acc2-acc38f675ef7</t>
  </si>
  <si>
    <t xml:space="preserve">2024-04-30 09:06:36-05:00</t>
  </si>
  <si>
    <t xml:space="preserve">2024:04:30 09:06:37-05:00</t>
  </si>
  <si>
    <t xml:space="preserve">[0 - 643757], [660143 - 663303]</t>
  </si>
  <si>
    <t xml:space="preserve">683 0 obj</t>
  </si>
  <si>
    <t xml:space="preserve">Signature_6dcb5755-e1fc-426d-9cae-04b3709d0ac5</t>
  </si>
  <si>
    <t xml:space="preserve">2024-04-30 09:06:24-05:00</t>
  </si>
  <si>
    <t xml:space="preserve">2024:04:30 09:06:24-05:00</t>
  </si>
  <si>
    <t xml:space="preserve">[0 - 242248], [258634 - 264018]</t>
  </si>
  <si>
    <t xml:space="preserve">Signature_3335131c-ce8c-48c7-8d88-a73c6de0e087</t>
  </si>
  <si>
    <t xml:space="preserve">2024-04-30 09:06:10-05:00</t>
  </si>
  <si>
    <t xml:space="preserve">2024:04:30 09:06:10-05:00</t>
  </si>
  <si>
    <t xml:space="preserve">[0 - 244997], [261383 - 266718]</t>
  </si>
  <si>
    <t xml:space="preserve">279 0 obj</t>
  </si>
  <si>
    <t xml:space="preserve">Signature_7728c1ed-8e82-434e-a907-29dbcb96cd30</t>
  </si>
  <si>
    <t xml:space="preserve">2024-04-30 09:06:28-05:00</t>
  </si>
  <si>
    <t xml:space="preserve">2024:04:30 09:06:28-05:00</t>
  </si>
  <si>
    <t xml:space="preserve">[0 - 373860], [390246 - 395989]</t>
  </si>
  <si>
    <t xml:space="preserve">Signature_a22515ed-5e5b-4a34-a03d-1f62b6aca7e2</t>
  </si>
  <si>
    <t xml:space="preserve">[0 - 324838], [341224 - 345984]</t>
  </si>
  <si>
    <t xml:space="preserve">Signature_ada7e2b9-a2c0-47bb-8d78-5b331b334e7a</t>
  </si>
  <si>
    <t xml:space="preserve">2024-04-30 09:06:23-05:00</t>
  </si>
  <si>
    <t xml:space="preserve">2024:04:30 09:06:23-05:00</t>
  </si>
  <si>
    <t xml:space="preserve">[0 - 161877], [178263 - 183760]</t>
  </si>
  <si>
    <t xml:space="preserve">Signature_b4c96190-c9f5-4c2f-af57-a99937904805</t>
  </si>
  <si>
    <t xml:space="preserve">2024-04-30 09:06:17-05:00</t>
  </si>
  <si>
    <t xml:space="preserve">2024:04:30 09:06:17-05:00</t>
  </si>
  <si>
    <t xml:space="preserve">[0 - 775374], [791760 - 797374]</t>
  </si>
  <si>
    <t xml:space="preserve">340 0 obj</t>
  </si>
  <si>
    <t xml:space="preserve">Signature_9ce8775c-4a2f-4eda-ae99-f4480639ecfc</t>
  </si>
  <si>
    <t xml:space="preserve">2024-04-30 09:06:04-05:00</t>
  </si>
  <si>
    <t xml:space="preserve">2024:04:30 09:06:04-05:00</t>
  </si>
  <si>
    <t xml:space="preserve">[0 - 716459], [732845 - 738350]</t>
  </si>
  <si>
    <t xml:space="preserve">285 0 obj</t>
  </si>
  <si>
    <t xml:space="preserve">Signature_a110fdda-b947-4696-b68b-db19e2748f42</t>
  </si>
  <si>
    <t xml:space="preserve">2024-04-30 09:06:02-05:00</t>
  </si>
  <si>
    <t xml:space="preserve">2024:04:30 09:06:02-05:00</t>
  </si>
  <si>
    <t xml:space="preserve">[0 - 717573], [733959 - 739471]</t>
  </si>
  <si>
    <t xml:space="preserve">Signature_2dd96de0-fd47-40f0-abe8-3188385e6863</t>
  </si>
  <si>
    <t xml:space="preserve">2024-04-30 09:05:53-05:00</t>
  </si>
  <si>
    <t xml:space="preserve">2024:04:30 09:05:53-05:00</t>
  </si>
  <si>
    <t xml:space="preserve">[0 - 717166], [733552 - 739063]</t>
  </si>
  <si>
    <t xml:space="preserve">Signature_f08c054b-bed0-4ee4-992a-08ab3d35319c</t>
  </si>
  <si>
    <t xml:space="preserve">2024-04-30 09:05:51-05:00</t>
  </si>
  <si>
    <t xml:space="preserve">2024:04:30 09:05:51-05:00</t>
  </si>
  <si>
    <t xml:space="preserve">[0 - 435361], [451747 - 460234]</t>
  </si>
  <si>
    <t xml:space="preserve">Signature_a34d82f1-5c8c-4339-95ed-f792b77f9d62</t>
  </si>
  <si>
    <t xml:space="preserve">2024-04-30 09:06:32-05:00</t>
  </si>
  <si>
    <t xml:space="preserve">2024:04:30 09:06:32-05:00</t>
  </si>
  <si>
    <t xml:space="preserve">[0 - 487015], [503401 - 508547]</t>
  </si>
  <si>
    <t xml:space="preserve">255 0 obj</t>
  </si>
  <si>
    <t xml:space="preserve">Signature_a3e61578-915a-4b1f-9691-c429d226c882</t>
  </si>
  <si>
    <t xml:space="preserve">2024-04-30 09:06:25-05:00</t>
  </si>
  <si>
    <t xml:space="preserve">2024:04:30 09:06:25-05:00</t>
  </si>
  <si>
    <t xml:space="preserve">[0 - 131197], [147583 - 152115]</t>
  </si>
  <si>
    <t xml:space="preserve">Signature_361b49e5-4125-4ace-af91-50b1b503b9fa</t>
  </si>
  <si>
    <t xml:space="preserve">2024-04-30 09:06:14-05:00</t>
  </si>
  <si>
    <t xml:space="preserve">2024:04:30 09:06:14-05:00</t>
  </si>
  <si>
    <t xml:space="preserve">[0 - 288703], [305089 - 310668]</t>
  </si>
  <si>
    <t xml:space="preserve">Signature_9c254e6c-03bb-4fa9-87da-d98dd9b44aa9</t>
  </si>
  <si>
    <t xml:space="preserve">2024-04-30 09:06:07-05:00</t>
  </si>
  <si>
    <t xml:space="preserve">2024:04:30 09:06:07-05:00</t>
  </si>
  <si>
    <t xml:space="preserve">[0 - 822581], [838967 - 844537]</t>
  </si>
  <si>
    <t xml:space="preserve">Signature_a35b6ed0-6e13-4891-89a7-20972f9d66fd</t>
  </si>
  <si>
    <t xml:space="preserve">2024-04-30 09:05:57-05:00</t>
  </si>
  <si>
    <t xml:space="preserve">2024:04:30 09:05:57-05:00</t>
  </si>
  <si>
    <t xml:space="preserve">[0 - 824086], [840472 - 846088]</t>
  </si>
  <si>
    <t xml:space="preserve">Signature_cc71954e-0ea6-4847-9b2b-efc78177ce51</t>
  </si>
  <si>
    <t xml:space="preserve">2024-04-30 09:06:34-05:00</t>
  </si>
  <si>
    <t xml:space="preserve">2024:04:30 09:06:34-05:00</t>
  </si>
  <si>
    <t xml:space="preserve">[0 - 79732], [96118 - 101526]</t>
  </si>
  <si>
    <t xml:space="preserve">Signature_75bd3d41-4725-4fac-a954-c953903d320c</t>
  </si>
  <si>
    <t xml:space="preserve">2024-04-30 09:06:27-05:00</t>
  </si>
  <si>
    <t xml:space="preserve">2024:04:30 09:06:27-05:00</t>
  </si>
  <si>
    <t xml:space="preserve">[0 - 467359], [483745 - 489787]</t>
  </si>
  <si>
    <t xml:space="preserve">460 0 obj</t>
  </si>
  <si>
    <t xml:space="preserve">Signature_75ea561a-b9e0-4f84-b5ba-d8e382e323c6</t>
  </si>
  <si>
    <t xml:space="preserve">2024-04-30 09:06:26-05:00</t>
  </si>
  <si>
    <t xml:space="preserve">2024:04:30 09:06:26-05:00</t>
  </si>
  <si>
    <t xml:space="preserve">[0 - 390130], [406516 - 411201]</t>
  </si>
  <si>
    <t xml:space="preserve">Signature_74f888e0-16d7-44c6-82aa-b612aa60f3a9</t>
  </si>
  <si>
    <t xml:space="preserve">2024-04-30 09:06:21-05:00</t>
  </si>
  <si>
    <t xml:space="preserve">2024:04:30 09:06:21-05:00</t>
  </si>
  <si>
    <t xml:space="preserve">[0 - 215588], [231974 - 236701]</t>
  </si>
  <si>
    <t xml:space="preserve">Signature_d4d32bc7-2517-452f-9523-f1f419b94bc4</t>
  </si>
  <si>
    <t xml:space="preserve">2024-04-30 09:06:08-05:00</t>
  </si>
  <si>
    <t xml:space="preserve">2024:04:30 09:06:08-05:00</t>
  </si>
  <si>
    <t xml:space="preserve">[0 - 852182], [868568 - 873547]</t>
  </si>
  <si>
    <t xml:space="preserve">Signature_e57b8ee6-32cf-4133-b2ba-2cf7e13cefd2</t>
  </si>
  <si>
    <t xml:space="preserve">2024-04-30 09:05:55-05:00</t>
  </si>
  <si>
    <t xml:space="preserve">2024:04:30 09:05:55-05:00</t>
  </si>
  <si>
    <t xml:space="preserve">[0 - 857037], [873423 - 878393]</t>
  </si>
  <si>
    <t xml:space="preserve">379 0 obj</t>
  </si>
  <si>
    <t xml:space="preserve">Signature_25af3257-1d0b-42ff-83e4-d5e2d3c6d548</t>
  </si>
  <si>
    <t xml:space="preserve">2024-04-30 09:06:11-05:00</t>
  </si>
  <si>
    <t xml:space="preserve">2024:04:30 09:06:11-05:00</t>
  </si>
  <si>
    <t xml:space="preserve">[0 - 318623], [335009 - 340487]</t>
  </si>
  <si>
    <t xml:space="preserve">Signature_00119659-f1e2-4779-82dd-11878be65c75</t>
  </si>
  <si>
    <t xml:space="preserve">2024-04-30 09:06:19-05:00</t>
  </si>
  <si>
    <t xml:space="preserve">2024:04:30 09:06:19-05:00</t>
  </si>
  <si>
    <t xml:space="preserve">[0 - 185100], [201486 - 206579]</t>
  </si>
  <si>
    <t xml:space="preserve">Signature_67527320-ae21-4398-b351-d50f360ea30d</t>
  </si>
  <si>
    <t xml:space="preserve">2024-04-30 09:06:20-05:00</t>
  </si>
  <si>
    <t xml:space="preserve">2024:04:30 09:06:20-05:00</t>
  </si>
  <si>
    <t xml:space="preserve">[0 - 109318], [125704 - 130552]</t>
  </si>
  <si>
    <t xml:space="preserve">Signature_eaf6b6c2-c763-44d1-a45d-2ea8303e5c2b</t>
  </si>
  <si>
    <t xml:space="preserve">2024-04-30 09:06:18-05:00</t>
  </si>
  <si>
    <t xml:space="preserve">2024:04:30 09:06:18-05:00</t>
  </si>
  <si>
    <t xml:space="preserve">[0 - 121544], [137930 - 143064]</t>
  </si>
  <si>
    <t xml:space="preserve">Signature_d7e003ab-1fe1-422f-9920-10d9c6dc6572</t>
  </si>
  <si>
    <t xml:space="preserve">2024-04-30 09:06:33-05:00</t>
  </si>
  <si>
    <t xml:space="preserve">2024:04:30 09:06:33-05:00</t>
  </si>
  <si>
    <t xml:space="preserve">[0 - 634676], [651062 - 656381]</t>
  </si>
  <si>
    <t xml:space="preserve">Signature_c44d2b0a-46e6-47d7-b3c8-4241b0e9f6c3</t>
  </si>
  <si>
    <t xml:space="preserve">2024-04-30 09:06:12-05:00</t>
  </si>
  <si>
    <t xml:space="preserve">2024:04:30 09:06:12-05:00</t>
  </si>
  <si>
    <t xml:space="preserve">[0 - 154882], [171268 - 176614]</t>
  </si>
  <si>
    <t xml:space="preserve">142 0 obj</t>
  </si>
  <si>
    <t xml:space="preserve">Signature_8526dae4-0525-4641-a337-6998134eb1d0</t>
  </si>
  <si>
    <t xml:space="preserve">2024-04-30 09:06:05-05:00</t>
  </si>
  <si>
    <t xml:space="preserve">2024:04:30 09:06:05-05:00</t>
  </si>
  <si>
    <t xml:space="preserve">[0 - 139313], [155699 - 160632]</t>
  </si>
  <si>
    <t xml:space="preserve">Signature_5046dfab-79c7-4a1a-a73c-318bca69d05b</t>
  </si>
  <si>
    <t xml:space="preserve">2024-04-30 09:06:22-05:00</t>
  </si>
  <si>
    <t xml:space="preserve">2024:04:30 09:06:22-05:00</t>
  </si>
  <si>
    <t xml:space="preserve">[0 - 88117], [104503 - 108802]</t>
  </si>
  <si>
    <t xml:space="preserve">14 0 obj</t>
  </si>
  <si>
    <t xml:space="preserve">Signature_1b7b9bef-ceca-464c-b14a-406473a96a55</t>
  </si>
  <si>
    <t xml:space="preserve">2024-04-30 09:06:15-05:00</t>
  </si>
  <si>
    <t xml:space="preserve">2024:04:30 09:06:15-05:00</t>
  </si>
  <si>
    <t xml:space="preserve">[0 - 323673], [340059 - 348548]</t>
  </si>
  <si>
    <t xml:space="preserve">Signature_bccce1c6-cf9d-4f5b-b99c-3cc293cb38fd</t>
  </si>
  <si>
    <t xml:space="preserve">2024-04-30 09:06:06-05:00</t>
  </si>
  <si>
    <t xml:space="preserve">2024:04:30 09:06:06-05:00</t>
  </si>
  <si>
    <t xml:space="preserve">[0 - 147939], [164325 - 172915]</t>
  </si>
  <si>
    <t xml:space="preserve">Signature_c82ee1ae-9c8d-4cf4-98d6-72492c93ae3c</t>
  </si>
  <si>
    <t xml:space="preserve">2024-04-30 09:06:03-05:00</t>
  </si>
  <si>
    <t xml:space="preserve">2024:04:30 09:06:03-05:00</t>
  </si>
  <si>
    <t xml:space="preserve">[0 - 731098], [747484 - 756015]</t>
  </si>
  <si>
    <t xml:space="preserve">Signature_9dded9bc-f7d0-4c1a-9029-d4d1db6a1db9</t>
  </si>
  <si>
    <t xml:space="preserve">2024-04-30 09:06:01-05:00</t>
  </si>
  <si>
    <t xml:space="preserve">2024:04:30 09:06:01-05:00</t>
  </si>
  <si>
    <t xml:space="preserve">[0 - 257215], [273601 - 282088]</t>
  </si>
  <si>
    <t xml:space="preserve">Signature_dd3c49d9-a12f-40f1-8e92-48dc4d8a34ef</t>
  </si>
  <si>
    <t xml:space="preserve">2024-04-30 09:05:54-05:00</t>
  </si>
  <si>
    <t xml:space="preserve">2024:04:30 09:05:54-05:00</t>
  </si>
  <si>
    <t xml:space="preserve">[0 - 261143], [277529 - 286016]</t>
  </si>
  <si>
    <t xml:space="preserve">Signature_eb72afdd-b0cb-4a11-b092-9e0647e74b2d</t>
  </si>
  <si>
    <t xml:space="preserve">2024-04-30 09:05:52-05:00</t>
  </si>
  <si>
    <t xml:space="preserve">2024:04:30 09:05:52-05:00</t>
  </si>
  <si>
    <t xml:space="preserve">[0 - 86875], [103261 - 111791]</t>
  </si>
  <si>
    <t xml:space="preserve">Signature_0d059c60-1203-4b4c-8320-c1a94f26ab1d</t>
  </si>
  <si>
    <t xml:space="preserve">2024-04-30 09:07:08-05:00</t>
  </si>
  <si>
    <t xml:space="preserve">2024:04:30 09:07:08-05:00</t>
  </si>
  <si>
    <t xml:space="preserve">[0 - 149410], [165796 - 170328]</t>
  </si>
  <si>
    <t xml:space="preserve">Signature_267d480a-20b2-42a6-aa2c-b6871a0e43c4</t>
  </si>
  <si>
    <t xml:space="preserve">2024-04-30 09:07:23-05:00</t>
  </si>
  <si>
    <t xml:space="preserve">2024:04:30 09:07:23-05:00</t>
  </si>
  <si>
    <t xml:space="preserve">[0 - 398829], [415215 - 421090]</t>
  </si>
  <si>
    <t xml:space="preserve">Signature_28cf4f4b-e329-4cb2-a0a7-f710897fb9ae</t>
  </si>
  <si>
    <t xml:space="preserve">2024-04-30 09:07:25-05:00</t>
  </si>
  <si>
    <t xml:space="preserve">2024:04:30 09:07:27-05:00</t>
  </si>
  <si>
    <t xml:space="preserve">[0 - 479614], [496000 - 499113]</t>
  </si>
  <si>
    <t xml:space="preserve">394 0 obj</t>
  </si>
  <si>
    <t xml:space="preserve">Signature_93826867-f03c-4878-a80f-6ea121b80960</t>
  </si>
  <si>
    <t xml:space="preserve">2024-04-30 09:07:17-05:00</t>
  </si>
  <si>
    <t xml:space="preserve">2024:04:30 09:07:17-05:00</t>
  </si>
  <si>
    <t xml:space="preserve">[0 - 303051], [319437 - 324404]</t>
  </si>
  <si>
    <t xml:space="preserve">Signature_92ec958a-e4fa-448f-b590-a20cb61a371f</t>
  </si>
  <si>
    <t xml:space="preserve">2024-04-30 09:07:10-05:00</t>
  </si>
  <si>
    <t xml:space="preserve">2024:04:30 09:07:10-05:00</t>
  </si>
  <si>
    <t xml:space="preserve">[0 - 307641], [324027 - 329076]</t>
  </si>
  <si>
    <t xml:space="preserve">Signature_a5a1b763-dd39-473a-b45d-63d70358d1b5</t>
  </si>
  <si>
    <t xml:space="preserve">2024-04-30 09:07:19-05:00</t>
  </si>
  <si>
    <t xml:space="preserve">2024:04:30 09:07:19-05:00</t>
  </si>
  <si>
    <t xml:space="preserve">[0 - 77221], [93607 - 102095]</t>
  </si>
  <si>
    <t xml:space="preserve">Signature_24a579e7-ff1f-49f6-9494-51b594b0ec3b</t>
  </si>
  <si>
    <t xml:space="preserve">2024-04-30 09:07:20-05:00</t>
  </si>
  <si>
    <t xml:space="preserve">2024:04:30 09:07:20-05:00</t>
  </si>
  <si>
    <t xml:space="preserve">[0 - 77025], [93411 - 101899]</t>
  </si>
  <si>
    <t xml:space="preserve">Signature_7d91573b-cd4f-4c3a-974b-b26189a6ff82</t>
  </si>
  <si>
    <t xml:space="preserve">2024-04-30 09:07:18-05:00</t>
  </si>
  <si>
    <t xml:space="preserve">2024:04:30 09:07:18-05:00</t>
  </si>
  <si>
    <t xml:space="preserve">[0 - 312698], [329084 - 334481]</t>
  </si>
  <si>
    <t xml:space="preserve">Signature_53953a50-8a5a-401d-9df7-21f794ccef22</t>
  </si>
  <si>
    <t xml:space="preserve">2024-04-30 09:07:12-05:00</t>
  </si>
  <si>
    <t xml:space="preserve">2024:04:30 09:07:12-05:00</t>
  </si>
  <si>
    <t xml:space="preserve">[0 - 465943], [482329 - 487726]</t>
  </si>
  <si>
    <t xml:space="preserve">Signature_346fa1ca-aae1-4a1b-b78a-c8dd96ebaf61</t>
  </si>
  <si>
    <t xml:space="preserve">2024-04-30 09:07:24-05:00</t>
  </si>
  <si>
    <t xml:space="preserve">2024:04:30 09:07:24-05:00</t>
  </si>
  <si>
    <t xml:space="preserve">[0 - 132164], [148550 - 157083]</t>
  </si>
  <si>
    <t xml:space="preserve">Signature_5849e812-760a-427e-af6e-cbb8fbe2427a</t>
  </si>
  <si>
    <t xml:space="preserve">2024-04-30 09:07:05-05:00</t>
  </si>
  <si>
    <t xml:space="preserve">2024:04:30 09:07:05-05:00</t>
  </si>
  <si>
    <t xml:space="preserve">[0 - 743074], [759460 - 767991]</t>
  </si>
  <si>
    <t xml:space="preserve">Signature_bb333083-a38b-45d3-99bf-f4de8c8ebdfc</t>
  </si>
  <si>
    <t xml:space="preserve">2024-04-30 09:07:03-05:00</t>
  </si>
  <si>
    <t xml:space="preserve">2024:04:30 09:07:03-05:00</t>
  </si>
  <si>
    <t xml:space="preserve">[0 - 235265], [251651 - 256264]</t>
  </si>
  <si>
    <t xml:space="preserve">Signature_58d631b4-7347-4d59-95d8-938ad26c9813</t>
  </si>
  <si>
    <t xml:space="preserve">2024-04-30 09:06:59-05:00</t>
  </si>
  <si>
    <t xml:space="preserve">2024:04:30 09:06:59-05:00</t>
  </si>
  <si>
    <t xml:space="preserve">[0 - 234976], [251362 - 255973]</t>
  </si>
  <si>
    <t xml:space="preserve">Signature_460c90e9-517d-4826-bb76-e31131103cef</t>
  </si>
  <si>
    <t xml:space="preserve">2024-04-30 09:07:22-05:00</t>
  </si>
  <si>
    <t xml:space="preserve">2024:04:30 09:07:22-05:00</t>
  </si>
  <si>
    <t xml:space="preserve">[0 - 206253], [222639 - 227115]</t>
  </si>
  <si>
    <t xml:space="preserve">44 0 obj</t>
  </si>
  <si>
    <t xml:space="preserve">Signature_b42229ed-fc5b-45cf-b02f-768968f8dac3</t>
  </si>
  <si>
    <t xml:space="preserve">2024-04-30 09:07:13-05:00</t>
  </si>
  <si>
    <t xml:space="preserve">2024:04:30 09:07:13-05:00</t>
  </si>
  <si>
    <t xml:space="preserve">[0 - 431457], [447843 - 452913]</t>
  </si>
  <si>
    <t xml:space="preserve">Signature_cd8944f6-e01b-474b-8efe-b0208da8666c</t>
  </si>
  <si>
    <t xml:space="preserve">2024-04-30 09:07:11-05:00</t>
  </si>
  <si>
    <t xml:space="preserve">2024:04:30 09:07:11-05:00</t>
  </si>
  <si>
    <t xml:space="preserve">[0 - 231230], [247616 - 252350]</t>
  </si>
  <si>
    <t xml:space="preserve">Signature_a3db4e0c-0109-4bbc-bbee-6f1ec9104487</t>
  </si>
  <si>
    <t xml:space="preserve">2024-04-30 09:07:09-05:00</t>
  </si>
  <si>
    <t xml:space="preserve">2024:04:30 09:07:09-05:00</t>
  </si>
  <si>
    <t xml:space="preserve">[0 - 789105], [805491 - 810569]</t>
  </si>
  <si>
    <t xml:space="preserve">Signature_9b348070-fd04-4d01-b54e-422cb311b258</t>
  </si>
  <si>
    <t xml:space="preserve">2024-04-30 09:07:07-05:00</t>
  </si>
  <si>
    <t xml:space="preserve">2024:04:30 09:07:07-05:00</t>
  </si>
  <si>
    <t xml:space="preserve">[0 - 863436], [879822 - 884796]</t>
  </si>
  <si>
    <t xml:space="preserve">Signature_dbd312a5-ced0-4c90-8aef-99b048842a41</t>
  </si>
  <si>
    <t xml:space="preserve">2024-04-30 09:07:04-05:00</t>
  </si>
  <si>
    <t xml:space="preserve">2024:04:30 09:07:04-05:00</t>
  </si>
  <si>
    <t xml:space="preserve">[0 - 739776], [756162 - 760752]</t>
  </si>
  <si>
    <t xml:space="preserve">Signature_50684c72-ab6e-433f-a5cd-09354d31bc55</t>
  </si>
  <si>
    <t xml:space="preserve">2024-04-30 09:07:01-05:00</t>
  </si>
  <si>
    <t xml:space="preserve">2024:04:30 09:07:01-05:00</t>
  </si>
  <si>
    <t xml:space="preserve">[0 - 243957], [260343 - 265399]</t>
  </si>
  <si>
    <t xml:space="preserve">Signature_c5ec9430-2001-4ca6-b1b9-7629950f6c35</t>
  </si>
  <si>
    <t xml:space="preserve">[0 - 13515689], [13532075 - 13538311]</t>
  </si>
  <si>
    <t xml:space="preserve">744 0 obj</t>
  </si>
  <si>
    <t xml:space="preserve">Signature_1ff019b0-a03b-419b-a9c7-3163058a9855</t>
  </si>
  <si>
    <t xml:space="preserve">2024-04-30 09:07:21-05:00</t>
  </si>
  <si>
    <t xml:space="preserve">2024:04:30 09:07:21-05:00</t>
  </si>
  <si>
    <t xml:space="preserve">[0 - 372811], [389197 - 397686]</t>
  </si>
  <si>
    <t xml:space="preserve">Signature_c8c5406b-209b-4103-9e97-db5a472f7c48</t>
  </si>
  <si>
    <t xml:space="preserve">2024-04-30 09:07:14-05:00</t>
  </si>
  <si>
    <t xml:space="preserve">2024:04:30 09:07:14-05:00</t>
  </si>
  <si>
    <t xml:space="preserve">[0 - 67051], [83437 - 91924]</t>
  </si>
  <si>
    <t xml:space="preserve">Signature_3f3f6bfc-9080-4071-9f89-d1bb62dbea72</t>
  </si>
  <si>
    <t xml:space="preserve">2024-04-30 09:07:06-05:00</t>
  </si>
  <si>
    <t xml:space="preserve">2024:04:30 09:07:06-05:00</t>
  </si>
  <si>
    <t xml:space="preserve">[0 - 95668], [112054 - 116533]</t>
  </si>
  <si>
    <t xml:space="preserve">Signature_1fb9b8c7-5417-45ab-a714-85de5582aa50</t>
  </si>
  <si>
    <t xml:space="preserve">2024-04-30 09:07:02-05:00</t>
  </si>
  <si>
    <t xml:space="preserve">2024:04:30 09:07:02-05:00</t>
  </si>
  <si>
    <t xml:space="preserve">[0 - 265500], [281886 - 290373]</t>
  </si>
  <si>
    <t xml:space="preserve">Signature_cee3ade6-02b6-4a4c-b6e6-9d0c927db1fe</t>
  </si>
  <si>
    <t xml:space="preserve">2024-04-30 08:50:42-05:00</t>
  </si>
  <si>
    <t xml:space="preserve">2024:04:30 08:50:42-05:00</t>
  </si>
  <si>
    <t xml:space="preserve">[0 - 293599], [309985 - 315624]</t>
  </si>
  <si>
    <t xml:space="preserve">434 0 obj</t>
  </si>
  <si>
    <t xml:space="preserve">Signature_d30ef831-bbaf-4232-9625-9918dafba54a</t>
  </si>
  <si>
    <t xml:space="preserve">2024-04-30 08:50:47-05:00</t>
  </si>
  <si>
    <t xml:space="preserve">2024:04:30 08:50:48-05:00</t>
  </si>
  <si>
    <t xml:space="preserve">[0 - 462740], [479126 - 481863]</t>
  </si>
  <si>
    <t xml:space="preserve">359 0 obj</t>
  </si>
  <si>
    <t xml:space="preserve">Signature_b1539a8a-47f7-4a04-bc82-f6791a6cf93a</t>
  </si>
  <si>
    <t xml:space="preserve">2024-04-30 08:50:12-05:00</t>
  </si>
  <si>
    <t xml:space="preserve">2024:04:30 08:50:12-05:00</t>
  </si>
  <si>
    <t xml:space="preserve">[0 - 331112], [347498 - 351979]</t>
  </si>
  <si>
    <t xml:space="preserve">Signature_00c457c6-ccd7-4508-b87a-5e642c6dfce2</t>
  </si>
  <si>
    <t xml:space="preserve">2024-04-30 08:50:22-05:00</t>
  </si>
  <si>
    <t xml:space="preserve">2024:04:30 08:50:22-05:00</t>
  </si>
  <si>
    <t xml:space="preserve">[0 - 87841], [104227 - 112715]</t>
  </si>
  <si>
    <t xml:space="preserve">Signature_857faa15-99b9-401b-8156-2444479f1a9b</t>
  </si>
  <si>
    <t xml:space="preserve">2024-04-30 08:50:25-05:00</t>
  </si>
  <si>
    <t xml:space="preserve">2024:04:30 08:50:25-05:00</t>
  </si>
  <si>
    <t xml:space="preserve">[0 - 142183], [158569 - 167102]</t>
  </si>
  <si>
    <t xml:space="preserve">Signature_a895c3bd-4ec7-4888-94aa-fbd51532e534</t>
  </si>
  <si>
    <t xml:space="preserve">2024-04-30 08:50:35-05:00</t>
  </si>
  <si>
    <t xml:space="preserve">2024:04:30 08:50:35-05:00</t>
  </si>
  <si>
    <t xml:space="preserve">[0 - 665389], [681775 - 686353]</t>
  </si>
  <si>
    <t xml:space="preserve">73 0 obj</t>
  </si>
  <si>
    <t xml:space="preserve">Signature_cc737d11-2964-47da-ba62-db35d5873ff7</t>
  </si>
  <si>
    <t xml:space="preserve">2024-04-30 08:50:40-05:00</t>
  </si>
  <si>
    <t xml:space="preserve">2024:04:30 08:50:40-05:00</t>
  </si>
  <si>
    <t xml:space="preserve">[0 - 255684], [272070 - 280638]</t>
  </si>
  <si>
    <t xml:space="preserve">Signature_f8cbdc1c-0f4d-47d0-b228-54bd5cb9f906</t>
  </si>
  <si>
    <t xml:space="preserve">2024-04-30 08:50:33-05:00</t>
  </si>
  <si>
    <t xml:space="preserve">2024:04:30 08:50:33-05:00</t>
  </si>
  <si>
    <t xml:space="preserve">[0 - 70257], [86643 - 95130]</t>
  </si>
  <si>
    <t xml:space="preserve">Signature_2fda2314-a941-40f0-856e-06d05ba0409d</t>
  </si>
  <si>
    <t xml:space="preserve">2024-04-30 08:50:27-05:00</t>
  </si>
  <si>
    <t xml:space="preserve">2024:04:30 08:50:27-05:00</t>
  </si>
  <si>
    <t xml:space="preserve">[0 - 67305], [83691 - 92178]</t>
  </si>
  <si>
    <t xml:space="preserve">Signature_783e2585-bf07-4fa9-9bbc-e25c96e196a4</t>
  </si>
  <si>
    <t xml:space="preserve">2024-04-30 08:50:43-05:00</t>
  </si>
  <si>
    <t xml:space="preserve">2024:04:30 08:50:43-05:00</t>
  </si>
  <si>
    <t xml:space="preserve">[0 - 94163], [110549 - 119116]</t>
  </si>
  <si>
    <t xml:space="preserve">Signature_de4b83c3-afab-4e9a-9ba5-d521404daacc</t>
  </si>
  <si>
    <t xml:space="preserve">2024-04-30 08:50:38-05:00</t>
  </si>
  <si>
    <t xml:space="preserve">2024:04:30 08:50:39-05:00</t>
  </si>
  <si>
    <t xml:space="preserve">[0 - 73997], [90383 - 91652]</t>
  </si>
  <si>
    <t xml:space="preserve">Signature_883f0734-314f-4ca4-a97b-43eeb4e1b5db</t>
  </si>
  <si>
    <t xml:space="preserve">2024-04-30 08:50:37-05:00</t>
  </si>
  <si>
    <t xml:space="preserve">2024:04:30 08:50:37-05:00</t>
  </si>
  <si>
    <t xml:space="preserve">[0 - 81351], [97737 - 106225]</t>
  </si>
  <si>
    <t xml:space="preserve">Signature_a4ef3925-3c66-4e7d-bda8-a70138acfbd3</t>
  </si>
  <si>
    <t xml:space="preserve">2024-04-30 08:50:36-05:00</t>
  </si>
  <si>
    <t xml:space="preserve">2024:04:30 08:50:36-05:00</t>
  </si>
  <si>
    <t xml:space="preserve">[0 - 704066], [720452 - 725026]</t>
  </si>
  <si>
    <t xml:space="preserve">82 0 obj</t>
  </si>
  <si>
    <t xml:space="preserve">Signature_6967e4b7-ce60-4cab-8afa-850d2197c628</t>
  </si>
  <si>
    <t xml:space="preserve">2024-04-30 08:50:16-05:00</t>
  </si>
  <si>
    <t xml:space="preserve">2024:04:30 08:50:16-05:00</t>
  </si>
  <si>
    <t xml:space="preserve">[0 - 675296], [691682 - 696238]</t>
  </si>
  <si>
    <t xml:space="preserve">Signature_4c324e2b-3775-4eaf-a7ed-a44a9a2dcaf7</t>
  </si>
  <si>
    <t xml:space="preserve">2024-04-30 08:50:14-05:00</t>
  </si>
  <si>
    <t xml:space="preserve">2024:04:30 08:50:14-05:00</t>
  </si>
  <si>
    <t xml:space="preserve">[0 - 756171], [772557 - 779395]</t>
  </si>
  <si>
    <t xml:space="preserve">Signature_bcc61822-87cd-47e5-9121-17bff9758b40</t>
  </si>
  <si>
    <t xml:space="preserve">2024-04-30 08:50:13-05:00</t>
  </si>
  <si>
    <t xml:space="preserve">2024:04:30 08:50:13-05:00</t>
  </si>
  <si>
    <t xml:space="preserve">[0 - 786515], [802901 - 807373]</t>
  </si>
  <si>
    <t xml:space="preserve">Signature_dbf3adf5-7319-4420-af6b-32db36ac0e43</t>
  </si>
  <si>
    <t xml:space="preserve">2024-04-30 08:50:10-05:00</t>
  </si>
  <si>
    <t xml:space="preserve">2024:04:30 08:50:10-05:00</t>
  </si>
  <si>
    <t xml:space="preserve">[0 - 709224], [725610 - 730184]</t>
  </si>
  <si>
    <t xml:space="preserve">Signature_a588b23a-2053-4194-aa43-754f4e72e585</t>
  </si>
  <si>
    <t xml:space="preserve">2024-04-30 08:50:09-05:00</t>
  </si>
  <si>
    <t xml:space="preserve">2024:04:30 08:50:09-05:00</t>
  </si>
  <si>
    <t xml:space="preserve">[0 - 709216], [725602 - 730175]</t>
  </si>
  <si>
    <t xml:space="preserve">Signature_df9710ba-5f34-4fbb-9042-c69de4a33873</t>
  </si>
  <si>
    <t xml:space="preserve">2024-04-30 08:50:06-05:00</t>
  </si>
  <si>
    <t xml:space="preserve">2024:04:30 08:50:06-05:00</t>
  </si>
  <si>
    <t xml:space="preserve">[0 - 725978], [742364 - 747861]</t>
  </si>
  <si>
    <t xml:space="preserve">304 0 obj</t>
  </si>
  <si>
    <t xml:space="preserve">Signature_daf0a40c-a47a-4250-b38c-a98de8481d08</t>
  </si>
  <si>
    <t xml:space="preserve">2024-04-30 08:50:01-05:00</t>
  </si>
  <si>
    <t xml:space="preserve">2024:04:30 08:50:01-05:00</t>
  </si>
  <si>
    <t xml:space="preserve">[0 - 507389], [523775 - 532262]</t>
  </si>
  <si>
    <t xml:space="preserve">Signature_32270893-0bfb-4860-b647-e2be80a2199d</t>
  </si>
  <si>
    <t xml:space="preserve">2024-04-30 08:50:00-05:00</t>
  </si>
  <si>
    <t xml:space="preserve">2024:04:30 08:50:00-05:00</t>
  </si>
  <si>
    <t xml:space="preserve">[0 - 709319], [725705 - 730279]</t>
  </si>
  <si>
    <t xml:space="preserve">Signature_2daeb1ed-1cb1-4949-8f3b-c6b369f10c71</t>
  </si>
  <si>
    <t xml:space="preserve">2024-04-30 08:50:34-05:00</t>
  </si>
  <si>
    <t xml:space="preserve">2024:04:30 08:50:34-05:00</t>
  </si>
  <si>
    <t xml:space="preserve">[0 - 796960], [813346 - 817940]</t>
  </si>
  <si>
    <t xml:space="preserve">Signature_5651f7ff-62ce-41ad-843e-20f17da845db</t>
  </si>
  <si>
    <t xml:space="preserve">2024-04-30 08:50:31-05:00</t>
  </si>
  <si>
    <t xml:space="preserve">2024:04:30 08:50:31-05:00</t>
  </si>
  <si>
    <t xml:space="preserve">[0 - 136764], [153150 - 161683]</t>
  </si>
  <si>
    <t xml:space="preserve">Signature_727ace33-8536-4be4-a9a4-c30ae0f6d5de</t>
  </si>
  <si>
    <t xml:space="preserve">2024-04-30 08:50:30-05:00</t>
  </si>
  <si>
    <t xml:space="preserve">2024:04:30 08:50:30-05:00</t>
  </si>
  <si>
    <t xml:space="preserve">[0 - 138501], [154887 - 163420]</t>
  </si>
  <si>
    <t xml:space="preserve">Signature_5a59d219-8c09-492f-85e8-235353247aa8</t>
  </si>
  <si>
    <t xml:space="preserve">2024-04-30 08:50:29-05:00</t>
  </si>
  <si>
    <t xml:space="preserve">2024:04:30 08:50:29-05:00</t>
  </si>
  <si>
    <t xml:space="preserve">[0 - 121322], [137708 - 142184]</t>
  </si>
  <si>
    <t xml:space="preserve">Signature_e09f5f05-516b-492c-ab99-a6bd5d5dee89</t>
  </si>
  <si>
    <t xml:space="preserve">2024-04-30 08:50:28-05:00</t>
  </si>
  <si>
    <t xml:space="preserve">2024:04:30 08:50:28-05:00</t>
  </si>
  <si>
    <t xml:space="preserve">[0 - 119742], [136128 - 140604]</t>
  </si>
  <si>
    <t xml:space="preserve">Signature_7e74ba8f-1229-4684-9ed8-12bfe76d12bc</t>
  </si>
  <si>
    <t xml:space="preserve">2024-04-30 08:50:26-05:00</t>
  </si>
  <si>
    <t xml:space="preserve">2024:04:30 08:50:26-05:00</t>
  </si>
  <si>
    <t xml:space="preserve">[0 - 834274], [850660 - 856227]</t>
  </si>
  <si>
    <t xml:space="preserve">Signature_ae1d1023-81df-4647-bf1b-40520aa3936f</t>
  </si>
  <si>
    <t xml:space="preserve">2024-04-30 08:50:24-05:00</t>
  </si>
  <si>
    <t xml:space="preserve">2024:04:30 08:50:24-05:00</t>
  </si>
  <si>
    <t xml:space="preserve">[0 - 734641], [751027 - 755512]</t>
  </si>
  <si>
    <t xml:space="preserve">Signature_9168a235-b0a0-4884-9bd7-5d2c7758aee5</t>
  </si>
  <si>
    <t xml:space="preserve">2024-04-30 08:50:21-05:00</t>
  </si>
  <si>
    <t xml:space="preserve">2022:03:23 11:47:46-05:00</t>
  </si>
  <si>
    <t xml:space="preserve">[0 - 871675], [888061 - 892912]</t>
  </si>
  <si>
    <t xml:space="preserve">344 0 obj</t>
  </si>
  <si>
    <t xml:space="preserve">Signature_9c95e7fb-324f-4a72-a0ef-a60ffdf6dfe1</t>
  </si>
  <si>
    <t xml:space="preserve">2024-04-30 08:50:20-05:00</t>
  </si>
  <si>
    <t xml:space="preserve">2024:04:30 08:50:20-05:00</t>
  </si>
  <si>
    <t xml:space="preserve">[0 - 804979], [821365 - 826675]</t>
  </si>
  <si>
    <t xml:space="preserve">331 0 obj</t>
  </si>
  <si>
    <t xml:space="preserve">Signature_cde4e536-7de7-4277-9c06-f0bb287d1e9a</t>
  </si>
  <si>
    <t xml:space="preserve">2024-04-30 08:50:18-05:00</t>
  </si>
  <si>
    <t xml:space="preserve">2024:04:30 08:50:18-05:00</t>
  </si>
  <si>
    <t xml:space="preserve">[0 - 1951008], [1967394 - 1972626]</t>
  </si>
  <si>
    <t xml:space="preserve">348 0 obj</t>
  </si>
  <si>
    <t xml:space="preserve">Signature_a015d4a5-bf08-4449-8ba2-0d2405d401ad</t>
  </si>
  <si>
    <t xml:space="preserve">2024-04-30 08:50:17-05:00</t>
  </si>
  <si>
    <t xml:space="preserve">2024:04:30 08:50:17-05:00</t>
  </si>
  <si>
    <t xml:space="preserve">[0 - 828742], [845128 - 853661]</t>
  </si>
  <si>
    <t xml:space="preserve">Signature_c0876551-5d7e-47e0-814e-a6e39487428f</t>
  </si>
  <si>
    <t xml:space="preserve">[0 - 226497], [242883 - 248575]</t>
  </si>
  <si>
    <t xml:space="preserve">Signature_5f056b7c-7ff8-4435-b13a-7d8eaae650bb</t>
  </si>
  <si>
    <t xml:space="preserve">2024-04-30 08:50:02-05:00</t>
  </si>
  <si>
    <t xml:space="preserve">2024:04:30 08:50:02-05:00</t>
  </si>
  <si>
    <t xml:space="preserve">[0 - 834441], [850827 - 855423]</t>
  </si>
  <si>
    <t xml:space="preserve">Signature_db60583d-fa20-4ca3-ba2c-64a8671adf53</t>
  </si>
  <si>
    <t xml:space="preserve">2024-04-30 08:50:11-05:00</t>
  </si>
  <si>
    <t xml:space="preserve">2024:04:30 08:50:11-05:00</t>
  </si>
  <si>
    <t xml:space="preserve">[0 - 795265], [811651 - 816727]</t>
  </si>
  <si>
    <t xml:space="preserve">Signature_bead26a1-cc62-448e-8c68-e28eccfa4457</t>
  </si>
  <si>
    <t xml:space="preserve">2024-04-30 08:50:04-05:00</t>
  </si>
  <si>
    <t xml:space="preserve">2024:04:30 08:50:04-05:00</t>
  </si>
  <si>
    <t xml:space="preserve">[0 - 147490], [163876 - 168408]</t>
  </si>
  <si>
    <t xml:space="preserve">Signature_0d876d9f-51f2-410e-bea2-ff8617c80cf9</t>
  </si>
  <si>
    <t xml:space="preserve">2024-04-30 08:50:32-05:00</t>
  </si>
  <si>
    <t xml:space="preserve">2024:04:30 08:50:32-05:00</t>
  </si>
  <si>
    <t xml:space="preserve">[0 - 902695], [919081 - 927570]</t>
  </si>
  <si>
    <t xml:space="preserve">Signature_dfdb4835-ab9f-427e-9725-93909dfdf261</t>
  </si>
  <si>
    <t xml:space="preserve">2024-04-30 08:49:57-05:00</t>
  </si>
  <si>
    <t xml:space="preserve">2024:04:30 08:49:57-05:00</t>
  </si>
  <si>
    <t xml:space="preserve">[0 - 1750939], [1767325 - 1775908]</t>
  </si>
  <si>
    <t xml:space="preserve">Signature_403c4b01-c4b5-4546-a556-296eb9ac1f31</t>
  </si>
  <si>
    <t xml:space="preserve">2024-04-30 08:49:51-05:00</t>
  </si>
  <si>
    <t xml:space="preserve">2024:04:30 08:49:51-05:00</t>
  </si>
  <si>
    <t xml:space="preserve">[0 - 294857], [311243 - 316435]</t>
  </si>
  <si>
    <t xml:space="preserve">641 0 obj</t>
  </si>
  <si>
    <t xml:space="preserve">Signature_d422616b-76c8-4996-9a47-1d0640987779</t>
  </si>
  <si>
    <t xml:space="preserve">2024-04-30 08:49:56-05:00</t>
  </si>
  <si>
    <t xml:space="preserve">2024:04:30 08:49:56-05:00</t>
  </si>
  <si>
    <t xml:space="preserve">[0 - 2438869], [2455255 - 2463975]</t>
  </si>
  <si>
    <t xml:space="preserve">Signature_9514b759-b658-45eb-a8df-bd6ba6aabeda</t>
  </si>
  <si>
    <t xml:space="preserve">2024-04-30 08:49:53-05:00</t>
  </si>
  <si>
    <t xml:space="preserve">2024:04:30 08:49:53-05:00</t>
  </si>
  <si>
    <t xml:space="preserve">[0 - 777548], [793934 - 798514]</t>
  </si>
  <si>
    <t xml:space="preserve">Signature_735548f6-34a2-483b-9d0e-84be199249e7</t>
  </si>
  <si>
    <t xml:space="preserve">2024-04-30 08:49:54-05:00</t>
  </si>
  <si>
    <t xml:space="preserve">2024:04:30 08:49:54-05:00</t>
  </si>
  <si>
    <t xml:space="preserve">[0 - 133743], [150129 - 155570]</t>
  </si>
  <si>
    <t xml:space="preserve">631 0 obj</t>
  </si>
  <si>
    <t xml:space="preserve">Signature_6d16f4ca-2a41-4d77-a798-f4d502f1b94a</t>
  </si>
  <si>
    <t xml:space="preserve">2024-04-30 08:50:45-05:00</t>
  </si>
  <si>
    <t xml:space="preserve">2024:04:30 08:50:45-05:00</t>
  </si>
  <si>
    <t xml:space="preserve">[0 - 288899], [305285 - 313897]</t>
  </si>
  <si>
    <t xml:space="preserve">Signature_50739a65-d9e5-452b-a04f-b1c1b7613499</t>
  </si>
  <si>
    <t xml:space="preserve">2024-04-30 08:50:41-05:00</t>
  </si>
  <si>
    <t xml:space="preserve">2024:04:30 08:50:41-05:00</t>
  </si>
  <si>
    <t xml:space="preserve">[0 - 111494], [127880 - 136492]</t>
  </si>
  <si>
    <t xml:space="preserve">Signature_774a6770-f8a7-4bc3-ac4a-18c99d076bc7</t>
  </si>
  <si>
    <t xml:space="preserve">2024-04-30 08:50:19-05:00</t>
  </si>
  <si>
    <t xml:space="preserve">2024:04:30 08:50:19-05:00</t>
  </si>
  <si>
    <t xml:space="preserve">[0 - 52477], [68863 - 73380]</t>
  </si>
  <si>
    <t xml:space="preserve">Signature_9d83e32c-cf1a-44bf-af57-a5a0b151dacd</t>
  </si>
  <si>
    <t xml:space="preserve">2024-04-30 08:50:15-05:00</t>
  </si>
  <si>
    <t xml:space="preserve">2024:04:30 08:50:15-05:00</t>
  </si>
  <si>
    <t xml:space="preserve">[0 - 257063], [273449 - 277968]</t>
  </si>
  <si>
    <t xml:space="preserve">Signature_e6f158e9-cbcb-4c35-859f-08e29b9d7993</t>
  </si>
  <si>
    <t xml:space="preserve">2024-04-30 08:50:08-05:00</t>
  </si>
  <si>
    <t xml:space="preserve">2024:04:30 08:50:08-05:00</t>
  </si>
  <si>
    <t xml:space="preserve">[0 - 206262], [222648 - 227168]</t>
  </si>
  <si>
    <t xml:space="preserve">Signature_1cb2a649-b9cf-492f-885c-8675cd61d31c</t>
  </si>
  <si>
    <t xml:space="preserve">2024-04-30 08:50:03-05:00</t>
  </si>
  <si>
    <t xml:space="preserve">2024:04:30 08:50:03-05:00</t>
  </si>
  <si>
    <t xml:space="preserve">[0 - 184982], [201368 - 205888]</t>
  </si>
  <si>
    <t xml:space="preserve">Signature_6c147dde-c4b3-41b6-9258-15fc62a8dc34</t>
  </si>
  <si>
    <t xml:space="preserve">2024-04-30 08:49:59-05:00</t>
  </si>
  <si>
    <t xml:space="preserve">2024:04:30 08:49:59-05:00</t>
  </si>
  <si>
    <t xml:space="preserve">[0 - 190395], [206781 - 211301]</t>
  </si>
  <si>
    <t xml:space="preserve">Signature_45eeef63-f347-41f5-a1f7-c3898c7e9485</t>
  </si>
  <si>
    <t xml:space="preserve">[0 - 77296], [93682 - 102180]</t>
  </si>
  <si>
    <t xml:space="preserve">Signature_47ddd9ce-6a8e-4629-bf39-7a46ff5d5c44</t>
  </si>
  <si>
    <t xml:space="preserve">2024-04-30 08:49:55-05:00</t>
  </si>
  <si>
    <t xml:space="preserve">2024:04:30 08:49:55-05:00</t>
  </si>
  <si>
    <t xml:space="preserve">[0 - 255230], [271616 - 276737]</t>
  </si>
  <si>
    <t xml:space="preserve">509 0 obj</t>
  </si>
  <si>
    <t xml:space="preserve">Signature_9170e175-eaa1-414b-93fa-4dcb221bab25</t>
  </si>
  <si>
    <t xml:space="preserve">2024-04-30 08:50:46-05:00</t>
  </si>
  <si>
    <t xml:space="preserve">2024:04:30 08:50:46-05:00</t>
  </si>
  <si>
    <t xml:space="preserve">[0 - 230629], [247015 - 249082]</t>
  </si>
  <si>
    <t xml:space="preserve">Signature_d8ec81d1-930b-4c11-83ec-40c78a60d7c7</t>
  </si>
  <si>
    <t xml:space="preserve">2024-04-30 08:50:44-05:00</t>
  </si>
  <si>
    <t xml:space="preserve">2024:04:30 08:50:44-05:00</t>
  </si>
  <si>
    <t xml:space="preserve">[0 - 231183], [247569 - 252405]</t>
  </si>
  <si>
    <t xml:space="preserve">Signature_78d0d961-cf21-42d3-a8c5-e7f4f65ae090</t>
  </si>
  <si>
    <t xml:space="preserve">2024-04-30 08:48:17-05:00</t>
  </si>
  <si>
    <t xml:space="preserve">2021:01:25 12:43:27-06:00</t>
  </si>
  <si>
    <t xml:space="preserve">[0 - 185644], [202030 - 206082]</t>
  </si>
  <si>
    <t xml:space="preserve">Signature_bb8a1c20-ac07-4c08-91a4-ac8954abf44b</t>
  </si>
  <si>
    <t xml:space="preserve">2024-04-30 08:48:25-05:00</t>
  </si>
  <si>
    <t xml:space="preserve">2024:04:30 08:48:25-05:00</t>
  </si>
  <si>
    <t xml:space="preserve">[0 - 349822], [366208 - 372263]</t>
  </si>
  <si>
    <t xml:space="preserve">Signature_46cb2d86-32e9-4951-a109-7ee9957b9899</t>
  </si>
  <si>
    <t xml:space="preserve">2024-04-30 08:48:27-05:00</t>
  </si>
  <si>
    <t xml:space="preserve">2024:04:30 08:48:27-05:00</t>
  </si>
  <si>
    <t xml:space="preserve">[0 - 462274], [478660 - 481397]</t>
  </si>
  <si>
    <t xml:space="preserve">Signature_c934cead-0d68-4c6b-be0d-5700143e2a32</t>
  </si>
  <si>
    <t xml:space="preserve">2024-04-30 08:48:19-05:00</t>
  </si>
  <si>
    <t xml:space="preserve">2024:04:30 08:48:19-05:00</t>
  </si>
  <si>
    <t xml:space="preserve">[0 - 355783], [372169 - 377327]</t>
  </si>
  <si>
    <t xml:space="preserve">Signature_2b3aaa8e-e737-40e5-a981-c1125e24ee68</t>
  </si>
  <si>
    <t xml:space="preserve">2024-04-30 08:48:08-05:00</t>
  </si>
  <si>
    <t xml:space="preserve">2024:04:30 08:48:08-05:00</t>
  </si>
  <si>
    <t xml:space="preserve">[0 - 412191], [428577 - 434165]</t>
  </si>
  <si>
    <t xml:space="preserve">Signature_079eb4e2-1800-4948-8a65-f8c37454339f</t>
  </si>
  <si>
    <t xml:space="preserve">2024-04-30 08:48:24-05:00</t>
  </si>
  <si>
    <t xml:space="preserve">2024:04:30 08:48:24-05:00</t>
  </si>
  <si>
    <t xml:space="preserve">[0 - 770056], [786442 - 791594]</t>
  </si>
  <si>
    <t xml:space="preserve">Signature_73e0a392-0fc4-4df7-849b-8cb75b054f9f</t>
  </si>
  <si>
    <t xml:space="preserve">2024-04-30 08:48:22-05:00</t>
  </si>
  <si>
    <t xml:space="preserve">2024:04:30 08:48:22-05:00</t>
  </si>
  <si>
    <t xml:space="preserve">[0 - 86923], [103309 - 107832]</t>
  </si>
  <si>
    <t xml:space="preserve">Signature_bc616df6-bf45-4cb6-bcf2-6418bc65624c</t>
  </si>
  <si>
    <t xml:space="preserve">2024-04-30 08:48:20-05:00</t>
  </si>
  <si>
    <t xml:space="preserve">2024:04:30 08:48:20-05:00</t>
  </si>
  <si>
    <t xml:space="preserve">Signature_2e04e05c-80a0-40c7-b938-c93d18919a8c</t>
  </si>
  <si>
    <t xml:space="preserve">2024-04-30 08:48:18-05:00</t>
  </si>
  <si>
    <t xml:space="preserve">2024:04:30 08:48:18-05:00</t>
  </si>
  <si>
    <t xml:space="preserve">[0 - 68149], [84535 - 89057]</t>
  </si>
  <si>
    <t xml:space="preserve">Signature_2e9a96a7-3a41-4edf-b5ef-050136048296</t>
  </si>
  <si>
    <t xml:space="preserve">2024-04-30 08:48:13-05:00</t>
  </si>
  <si>
    <t xml:space="preserve">2024:04:30 08:48:13-05:00</t>
  </si>
  <si>
    <t xml:space="preserve">[0 - 76393], [92779 - 97300]</t>
  </si>
  <si>
    <t xml:space="preserve">Signature_d8c3f3a2-677e-4dff-94b1-cb798c978154</t>
  </si>
  <si>
    <t xml:space="preserve">2024-04-30 08:48:12-05:00</t>
  </si>
  <si>
    <t xml:space="preserve">2024:04:30 08:48:12-05:00</t>
  </si>
  <si>
    <t xml:space="preserve">[0 - 76922], [93308 - 97829]</t>
  </si>
  <si>
    <t xml:space="preserve">Signature_a44c517f-042b-4d71-a21a-5e2ea2fd5240</t>
  </si>
  <si>
    <t xml:space="preserve">2024-04-30 08:48:09-05:00</t>
  </si>
  <si>
    <t xml:space="preserve">2024:04:30 08:48:09-05:00</t>
  </si>
  <si>
    <t xml:space="preserve">Signature_36fbc6ce-3492-4a8d-91e1-9bc7679e2ad4</t>
  </si>
  <si>
    <t xml:space="preserve">2024-04-30 08:48:14-05:00</t>
  </si>
  <si>
    <t xml:space="preserve">2024:04:30 08:48:14-05:00</t>
  </si>
  <si>
    <t xml:space="preserve">[0 - 317916], [334302 - 339741]</t>
  </si>
  <si>
    <t xml:space="preserve">Signature_55b1101c-163e-44fe-8624-bf2d8173f0b4</t>
  </si>
  <si>
    <t xml:space="preserve">2024-04-30 08:48:07-05:00</t>
  </si>
  <si>
    <t xml:space="preserve">2024:04:30 08:48:07-05:00</t>
  </si>
  <si>
    <t xml:space="preserve">[0 - 737353], [753739 - 758329]</t>
  </si>
  <si>
    <t xml:space="preserve">Signature_7fe448ff-95cf-4df1-8c14-502fc16be7aa</t>
  </si>
  <si>
    <t xml:space="preserve">2024-04-30 08:48:04-05:00</t>
  </si>
  <si>
    <t xml:space="preserve">2024:04:30 08:48:04-05:00</t>
  </si>
  <si>
    <t xml:space="preserve">[0 - 737441], [753827 - 758417]</t>
  </si>
  <si>
    <t xml:space="preserve">Signature_86df6885-8610-43b4-83cd-1c85ccbdbec6</t>
  </si>
  <si>
    <t xml:space="preserve">2024-04-30 08:48:05-05:00</t>
  </si>
  <si>
    <t xml:space="preserve">2024:04:30 08:48:05-05:00</t>
  </si>
  <si>
    <t xml:space="preserve">[0 - 713457], [729843 - 734432]</t>
  </si>
  <si>
    <t xml:space="preserve">Signature_92982fc0-3c34-4e8f-bf07-35e0da075929</t>
  </si>
  <si>
    <t xml:space="preserve">2024-04-30 08:48:03-05:00</t>
  </si>
  <si>
    <t xml:space="preserve">2024:04:30 08:48:03-05:00</t>
  </si>
  <si>
    <t xml:space="preserve">[0 - 748963], [765349 - 770645]</t>
  </si>
  <si>
    <t xml:space="preserve">Signature_bf94a067-efea-4b58-91cd-158d920d5dd7</t>
  </si>
  <si>
    <t xml:space="preserve">2024-04-30 08:47:59-05:00</t>
  </si>
  <si>
    <t xml:space="preserve">2024:04:30 08:47:59-05:00</t>
  </si>
  <si>
    <t xml:space="preserve">[0 - 832345], [848731 - 854275]</t>
  </si>
  <si>
    <t xml:space="preserve">Signature_246c0820-c1d6-47e8-8270-6e96ec497a61</t>
  </si>
  <si>
    <t xml:space="preserve">2024-04-30 08:47:57-05:00</t>
  </si>
  <si>
    <t xml:space="preserve">2024:04:30 08:47:57-05:00</t>
  </si>
  <si>
    <t xml:space="preserve">[0 - 894027], [910413 - 915009]</t>
  </si>
  <si>
    <t xml:space="preserve">Signature_f4aef64f-cac2-47cc-b748-55ddca30f296</t>
  </si>
  <si>
    <t xml:space="preserve">2024-04-30 08:47:55-05:00</t>
  </si>
  <si>
    <t xml:space="preserve">2024:04:30 08:47:55-05:00</t>
  </si>
  <si>
    <t xml:space="preserve">[0 - 238202], [254588 - 260079]</t>
  </si>
  <si>
    <t xml:space="preserve">Signature_31d18838-be04-401b-9c48-31db41d974e3</t>
  </si>
  <si>
    <t xml:space="preserve">2024-04-30 08:47:53-05:00</t>
  </si>
  <si>
    <t xml:space="preserve">2024:04:30 08:47:53-05:00</t>
  </si>
  <si>
    <t xml:space="preserve">[0 - 236728], [253114 - 258595]</t>
  </si>
  <si>
    <t xml:space="preserve">Signature_d23bb661-f93b-4f4b-b952-927ced719cd0</t>
  </si>
  <si>
    <t xml:space="preserve">2024-04-30 08:48:26-05:00</t>
  </si>
  <si>
    <t xml:space="preserve">2024:04:30 08:48:26-05:00</t>
  </si>
  <si>
    <t xml:space="preserve">[0 - 728346], [744732 - 749223]</t>
  </si>
  <si>
    <t xml:space="preserve">50 0 obj</t>
  </si>
  <si>
    <t xml:space="preserve">Signature_aeb6100b-3695-43ba-9720-5aa80095f5ed</t>
  </si>
  <si>
    <t xml:space="preserve">2024-04-30 08:48:00-05:00</t>
  </si>
  <si>
    <t xml:space="preserve">2024:04:30 08:48:00-05:00</t>
  </si>
  <si>
    <t xml:space="preserve">[0 - 1024216], [1040602 - 1045331]</t>
  </si>
  <si>
    <t xml:space="preserve">Signature_565327f1-de9d-4eaa-87e0-aeaae81bee1e</t>
  </si>
  <si>
    <t xml:space="preserve">2024-04-30 08:47:58-05:00</t>
  </si>
  <si>
    <t xml:space="preserve">2024:04:30 08:47:58-05:00</t>
  </si>
  <si>
    <t xml:space="preserve">[0 - 867820], [884206 - 889181]</t>
  </si>
  <si>
    <t xml:space="preserve">Signature_3ae1c5c3-d894-4d44-aa5b-6b08d404bde8</t>
  </si>
  <si>
    <t xml:space="preserve">2024-04-30 08:47:56-05:00</t>
  </si>
  <si>
    <t xml:space="preserve">2024:04:30 08:47:56-05:00</t>
  </si>
  <si>
    <t xml:space="preserve">Signature_c6f30c53-e784-46e5-9e71-01c4e328893a</t>
  </si>
  <si>
    <t xml:space="preserve">2024-04-30 08:47:54-05:00</t>
  </si>
  <si>
    <t xml:space="preserve">2024:04:30 08:47:54-05:00</t>
  </si>
  <si>
    <t xml:space="preserve">[0 - 825208], [841594 - 846574]</t>
  </si>
  <si>
    <t xml:space="preserve">Signature_e87e5cb1-a01a-427a-9c6c-5b216ba6a1f2</t>
  </si>
  <si>
    <t xml:space="preserve">2024-04-30 08:48:21-05:00</t>
  </si>
  <si>
    <t xml:space="preserve">2024:04:30 08:48:21-05:00</t>
  </si>
  <si>
    <t xml:space="preserve">[0 - 117023], [133409 - 138682]</t>
  </si>
  <si>
    <t xml:space="preserve">Signature_d8a0d000-990b-4b0f-8485-3fc15e99ac92</t>
  </si>
  <si>
    <t xml:space="preserve">2024-04-30 08:48:15-05:00</t>
  </si>
  <si>
    <t xml:space="preserve">2024:04:30 08:48:15-05:00</t>
  </si>
  <si>
    <t xml:space="preserve">[0 - 135173], [151559 - 156611]</t>
  </si>
  <si>
    <t xml:space="preserve">Signature_ffe938dc-6e75-4736-9dc5-ea87647b631e</t>
  </si>
  <si>
    <t xml:space="preserve">2024-04-30 08:48:10-05:00</t>
  </si>
  <si>
    <t xml:space="preserve">2024:04:30 08:48:10-05:00</t>
  </si>
  <si>
    <t xml:space="preserve">[0 - 79561], [95947 - 100419]</t>
  </si>
  <si>
    <t xml:space="preserve">Signature_9b9bce9e-d44c-437a-b0f8-b1a7d8e1b424</t>
  </si>
  <si>
    <t xml:space="preserve">2024-04-30 08:48:16-05:00</t>
  </si>
  <si>
    <t xml:space="preserve">2024:04:30 08:48:16-05:00</t>
  </si>
  <si>
    <t xml:space="preserve">[0 - 122380], [138766 - 144068]</t>
  </si>
  <si>
    <t xml:space="preserve">Signature_5e7b89e4-aff5-47e0-b873-88fb7080df7f</t>
  </si>
  <si>
    <t xml:space="preserve">2024-04-30 08:48:11-05:00</t>
  </si>
  <si>
    <t xml:space="preserve">2024:04:30 08:48:11-05:00</t>
  </si>
  <si>
    <t xml:space="preserve">[0 - 230623], [247009 - 252280]</t>
  </si>
  <si>
    <t xml:space="preserve">Signature_bdfd7c6a-912f-4097-8ce7-78fc2c679458</t>
  </si>
  <si>
    <t xml:space="preserve">2024-04-30 08:48:02-05:00</t>
  </si>
  <si>
    <t xml:space="preserve">2024:04:30 08:48:02-05:00</t>
  </si>
  <si>
    <t xml:space="preserve">[0 - 189561], [205947 - 211274]</t>
  </si>
  <si>
    <t xml:space="preserve">Signature_8b35d825-bc7d-4f71-a8ae-d515f0531d6b</t>
  </si>
  <si>
    <t xml:space="preserve">2024-04-30 08:48:01-05:00</t>
  </si>
  <si>
    <t xml:space="preserve">2024:04:30 08:48:01-05:00</t>
  </si>
  <si>
    <t xml:space="preserve">[0 - 213214], [229600 - 235025]</t>
  </si>
  <si>
    <t xml:space="preserve">Signature_308de7d6-f912-4a9f-a184-63c894a494e5</t>
  </si>
  <si>
    <t xml:space="preserve">2024-04-30 08:51:38-05:00</t>
  </si>
  <si>
    <t xml:space="preserve">2024:04:30 08:51:39-05:00</t>
  </si>
  <si>
    <t xml:space="preserve">[0 - 463200], [479586 - 482323]</t>
  </si>
  <si>
    <t xml:space="preserve">353 0 obj</t>
  </si>
  <si>
    <t xml:space="preserve">Signature_e4f8414c-24a2-426f-81b4-47bd53cd59c1</t>
  </si>
  <si>
    <t xml:space="preserve">2024-04-30 08:51:35-05:00</t>
  </si>
  <si>
    <t xml:space="preserve">2024:04:30 08:51:35-05:00</t>
  </si>
  <si>
    <t xml:space="preserve">[0 - 302559], [318945 - 327434]</t>
  </si>
  <si>
    <t xml:space="preserve">Signature_39f7b6fc-91bc-4417-8092-9012e5c8afcb</t>
  </si>
  <si>
    <t xml:space="preserve">2024-04-30 08:51:34-05:00</t>
  </si>
  <si>
    <t xml:space="preserve">2024:04:30 08:51:34-05:00</t>
  </si>
  <si>
    <t xml:space="preserve">[0 - 291118], [307504 - 315993]</t>
  </si>
  <si>
    <t xml:space="preserve">Signature_bcabb1d1-0d8b-43fe-aadb-553e0abfd719</t>
  </si>
  <si>
    <t xml:space="preserve">2024-04-30 08:51:37-05:00</t>
  </si>
  <si>
    <t xml:space="preserve">2024:04:30 08:51:37-05:00</t>
  </si>
  <si>
    <t xml:space="preserve">[0 - 92517], [108903 - 117470]</t>
  </si>
  <si>
    <t xml:space="preserve">Signature_efd72565-9a53-4de4-9528-4b89cc48afd2</t>
  </si>
  <si>
    <t xml:space="preserve">2024-04-30 08:51:32-05:00</t>
  </si>
  <si>
    <t xml:space="preserve">2024:04:30 08:51:32-05:00</t>
  </si>
  <si>
    <t xml:space="preserve">[0 - 843516], [859902 - 865684]</t>
  </si>
  <si>
    <t xml:space="preserve">335 0 obj</t>
  </si>
  <si>
    <t xml:space="preserve">Signature_2cf22357-24d4-4b2e-b6b0-e3fa692cc960</t>
  </si>
  <si>
    <t xml:space="preserve">2024-04-30 08:51:33-05:00</t>
  </si>
  <si>
    <t xml:space="preserve">2024:04:30 08:51:33-05:00</t>
  </si>
  <si>
    <t xml:space="preserve">[0 - 1012966], [1029352 - 1035722]</t>
  </si>
  <si>
    <t xml:space="preserve">414 0 obj</t>
  </si>
  <si>
    <t xml:space="preserve">Signature_28850143-fe51-459f-9e4a-c3beac0474e0</t>
  </si>
  <si>
    <t xml:space="preserve">2024-04-30 08:51:36-05:00</t>
  </si>
  <si>
    <t xml:space="preserve">2024:04:30 08:51:36-05:00</t>
  </si>
  <si>
    <t xml:space="preserve">[0 - 220936], [237322 - 242813]</t>
  </si>
  <si>
    <t xml:space="preserve">Signature_90e9963f-a217-4725-8551-6adb8cee1f12</t>
  </si>
  <si>
    <t xml:space="preserve">2024-04-30 08:52:29-05:00</t>
  </si>
  <si>
    <t xml:space="preserve">2024:04:30 08:52:29-05:00</t>
  </si>
  <si>
    <t xml:space="preserve">[0 - 378204], [394590 - 400425]</t>
  </si>
  <si>
    <t xml:space="preserve">459 0 obj</t>
  </si>
  <si>
    <t xml:space="preserve">Signature_221e6c3d-dbff-44c3-b1cd-1aa4918bfc3f</t>
  </si>
  <si>
    <t xml:space="preserve">2024-04-30 08:52:07-05:00</t>
  </si>
  <si>
    <t xml:space="preserve">2024:04:30 08:52:07-05:00</t>
  </si>
  <si>
    <t xml:space="preserve">[0 - 90309], [106695 - 111402]</t>
  </si>
  <si>
    <t xml:space="preserve">134 0 obj</t>
  </si>
  <si>
    <t xml:space="preserve">Signature_5c7fb45e-148f-43cb-a5a6-d9f23b23b552</t>
  </si>
  <si>
    <t xml:space="preserve">2024-04-30 08:52:38-05:00</t>
  </si>
  <si>
    <t xml:space="preserve">2024:04:30 08:52:40-05:00</t>
  </si>
  <si>
    <t xml:space="preserve">[0 - 464327], [480713 - 483450]</t>
  </si>
  <si>
    <t xml:space="preserve">Signature_4867fc6f-24bc-4dac-9c95-2c5b21563e12</t>
  </si>
  <si>
    <t xml:space="preserve">2024-04-30 08:52:08-05:00</t>
  </si>
  <si>
    <t xml:space="preserve">2024:04:30 08:52:08-05:00</t>
  </si>
  <si>
    <t xml:space="preserve">[0 - 973619], [990005 - 995739]</t>
  </si>
  <si>
    <t xml:space="preserve">Signature_19d6c6be-78b0-4fc9-97f5-6aa4299a428e</t>
  </si>
  <si>
    <t xml:space="preserve">2024-04-30 08:52:17-05:00</t>
  </si>
  <si>
    <t xml:space="preserve">2024:04:30 08:52:17-05:00</t>
  </si>
  <si>
    <t xml:space="preserve">[0 - 292458], [308844 - 313806]</t>
  </si>
  <si>
    <t xml:space="preserve">234 0 obj</t>
  </si>
  <si>
    <t xml:space="preserve">Signature_35b3a92d-96f8-4d84-b6bf-c8fd3013b94f</t>
  </si>
  <si>
    <t xml:space="preserve">2024-04-30 08:52:10-05:00</t>
  </si>
  <si>
    <t xml:space="preserve">2024:04:30 08:52:10-05:00</t>
  </si>
  <si>
    <t xml:space="preserve">[0 - 279333], [295719 - 300746]</t>
  </si>
  <si>
    <t xml:space="preserve">Signature_911a70a5-dbb1-4464-9a61-db30142705e3</t>
  </si>
  <si>
    <t xml:space="preserve">2024-04-30 08:52:27-05:00</t>
  </si>
  <si>
    <t xml:space="preserve">2024:04:30 08:52:27-05:00</t>
  </si>
  <si>
    <t xml:space="preserve">[0 - 1451963], [1468349 - 1473355]</t>
  </si>
  <si>
    <t xml:space="preserve">Signature_b2efc7a4-452a-43bb-8f18-0052bab18522</t>
  </si>
  <si>
    <t xml:space="preserve">2024-04-30 08:52:14-05:00</t>
  </si>
  <si>
    <t xml:space="preserve">2024:04:30 08:52:14-05:00</t>
  </si>
  <si>
    <t xml:space="preserve">[0 - 297193], [313579 - 322068]</t>
  </si>
  <si>
    <t xml:space="preserve">Signature_d9948249-4bee-4edf-8d5b-960cc127faa2</t>
  </si>
  <si>
    <t xml:space="preserve">2024-04-30 08:52:31-05:00</t>
  </si>
  <si>
    <t xml:space="preserve">2024:04:30 08:52:31-05:00</t>
  </si>
  <si>
    <t xml:space="preserve">[0 - 70769], [87155 - 95721]</t>
  </si>
  <si>
    <t xml:space="preserve">Signature_ab5eb5b5-03ab-4ed1-b1a1-3f16e944ebf4</t>
  </si>
  <si>
    <t xml:space="preserve">2024-04-30 08:52:30-05:00</t>
  </si>
  <si>
    <t xml:space="preserve">2024:04:30 08:52:30-05:00</t>
  </si>
  <si>
    <t xml:space="preserve">[0 - 573265], [589651 - 598219]</t>
  </si>
  <si>
    <t xml:space="preserve">Signature_45647974-e6a2-40c3-8313-d460c35207f1</t>
  </si>
  <si>
    <t xml:space="preserve">2024-04-30 08:52:25-05:00</t>
  </si>
  <si>
    <t xml:space="preserve">2024:04:30 08:52:25-05:00</t>
  </si>
  <si>
    <t xml:space="preserve">[0 - 81490], [97876 - 106364]</t>
  </si>
  <si>
    <t xml:space="preserve">Signature_f91eda45-b04d-45fb-be4e-3749825a5232</t>
  </si>
  <si>
    <t xml:space="preserve">2024-04-30 08:52:22-05:00</t>
  </si>
  <si>
    <t xml:space="preserve">2024:04:30 08:52:22-05:00</t>
  </si>
  <si>
    <t xml:space="preserve">[0 - 83645], [100031 - 108519]</t>
  </si>
  <si>
    <t xml:space="preserve">Signature_e91d9c11-7ad1-41e7-a887-418e8a999422</t>
  </si>
  <si>
    <t xml:space="preserve">2024-04-30 08:52:15-05:00</t>
  </si>
  <si>
    <t xml:space="preserve">2024:04:30 08:52:15-05:00</t>
  </si>
  <si>
    <t xml:space="preserve">[0 - 75836], [92222 - 96743]</t>
  </si>
  <si>
    <t xml:space="preserve">Signature_0e4879e2-eefc-4c09-873b-8b76eeba530c</t>
  </si>
  <si>
    <t xml:space="preserve">2024-04-30 08:52:24-05:00</t>
  </si>
  <si>
    <t xml:space="preserve">2024:04:30 08:52:24-05:00</t>
  </si>
  <si>
    <t xml:space="preserve">[0 - 768113], [784499 - 793032]</t>
  </si>
  <si>
    <t xml:space="preserve">Signature_f8bc7a05-7118-40c7-9c71-daa5d9216389</t>
  </si>
  <si>
    <t xml:space="preserve">2024-04-30 08:52:19-05:00</t>
  </si>
  <si>
    <t xml:space="preserve">2024:04:30 08:52:19-05:00</t>
  </si>
  <si>
    <t xml:space="preserve">[0 - 174073], [190459 - 195212]</t>
  </si>
  <si>
    <t xml:space="preserve">Signature_64160395-ee89-458c-aac1-2430ef38bf70</t>
  </si>
  <si>
    <t xml:space="preserve">2024-04-30 08:52:12-05:00</t>
  </si>
  <si>
    <t xml:space="preserve">2022:02:23 13:41:01-06:00</t>
  </si>
  <si>
    <t xml:space="preserve">[0 - 327004], [343390 - 348479]</t>
  </si>
  <si>
    <t xml:space="preserve">378 0 obj</t>
  </si>
  <si>
    <t xml:space="preserve">Signature_d2be8490-1a5f-48da-b070-b5f0ff8238f1</t>
  </si>
  <si>
    <t xml:space="preserve">2024-04-30 08:52:20-05:00</t>
  </si>
  <si>
    <t xml:space="preserve">2024:04:30 08:52:20-05:00</t>
  </si>
  <si>
    <t xml:space="preserve">[0 - 1388144], [1404530 - 1409623]</t>
  </si>
  <si>
    <t xml:space="preserve">465 0 obj</t>
  </si>
  <si>
    <t xml:space="preserve">Signature_13967199-0188-42e6-8a3b-ade9f7ea1298</t>
  </si>
  <si>
    <t xml:space="preserve">2024-04-30 08:52:18-05:00</t>
  </si>
  <si>
    <t xml:space="preserve">2024:04:30 08:52:18-05:00</t>
  </si>
  <si>
    <t xml:space="preserve">[0 - 224751], [241137 - 245625]</t>
  </si>
  <si>
    <t xml:space="preserve">Signature_157ff130-34cc-4013-aa6e-903b8613fe1c</t>
  </si>
  <si>
    <t xml:space="preserve">2024-04-30 08:52:13-05:00</t>
  </si>
  <si>
    <t xml:space="preserve">2024:04:30 08:52:13-05:00</t>
  </si>
  <si>
    <t xml:space="preserve">[0 - 212577], [228963 - 234097]</t>
  </si>
  <si>
    <t xml:space="preserve">Signature_d0eca41d-3c4b-445b-b8f1-1d83dac41eb6</t>
  </si>
  <si>
    <t xml:space="preserve">2024-04-30 08:52:11-05:00</t>
  </si>
  <si>
    <t xml:space="preserve">2024:04:30 08:52:11-05:00</t>
  </si>
  <si>
    <t xml:space="preserve">[0 - 971318], [987704 - 992279]</t>
  </si>
  <si>
    <t xml:space="preserve">126 0 obj</t>
  </si>
  <si>
    <t xml:space="preserve">Signature_d86d6ba8-b623-4e42-a560-915feb6b2b39</t>
  </si>
  <si>
    <t xml:space="preserve">2024-04-30 08:52:09-05:00</t>
  </si>
  <si>
    <t xml:space="preserve">2024:04:30 08:52:09-05:00</t>
  </si>
  <si>
    <t xml:space="preserve">[0 - 950419], [966805 - 971779]</t>
  </si>
  <si>
    <t xml:space="preserve">425 0 obj</t>
  </si>
  <si>
    <t xml:space="preserve">Signature_815e691c-2e9b-44cb-a13d-652d0c49b662</t>
  </si>
  <si>
    <t xml:space="preserve">2024-04-30 08:52:26-05:00</t>
  </si>
  <si>
    <t xml:space="preserve">2024:04:30 08:52:26-05:00</t>
  </si>
  <si>
    <t xml:space="preserve">[0 - 109664], [126050 - 134539]</t>
  </si>
  <si>
    <t xml:space="preserve">Signature_e2a4b273-9828-4a64-82dc-d9a40c8391af</t>
  </si>
  <si>
    <t xml:space="preserve">2024-04-30 08:52:23-05:00</t>
  </si>
  <si>
    <t xml:space="preserve">2024:04:30 08:52:23-05:00</t>
  </si>
  <si>
    <t xml:space="preserve">[0 - 111012], [127398 - 135887]</t>
  </si>
  <si>
    <t xml:space="preserve">Signature_9d1abf97-89d9-46d8-a599-7ca5d59a7b57</t>
  </si>
  <si>
    <t xml:space="preserve">2024-04-30 08:52:21-05:00</t>
  </si>
  <si>
    <t xml:space="preserve">2024:04:30 08:52:21-05:00</t>
  </si>
  <si>
    <t xml:space="preserve">[0 - 782379], [798765 - 804450]</t>
  </si>
  <si>
    <t xml:space="preserve">615 0 obj</t>
  </si>
  <si>
    <t xml:space="preserve">Signature_dcf52dd6-6685-43aa-a1ee-b32e06c8a1c3</t>
  </si>
  <si>
    <t xml:space="preserve">2024-04-30 08:52:33-05:00</t>
  </si>
  <si>
    <t xml:space="preserve">2024:04:30 08:52:33-05:00</t>
  </si>
  <si>
    <t xml:space="preserve">[0 - 75042], [91428 - 99994]</t>
  </si>
  <si>
    <t xml:space="preserve">Signature_0f86affb-fa76-49be-82d1-c57036a97f97</t>
  </si>
  <si>
    <t xml:space="preserve">2024-04-30 08:52:32-05:00</t>
  </si>
  <si>
    <t xml:space="preserve">2024:04:30 08:52:32-05:00</t>
  </si>
  <si>
    <t xml:space="preserve">[0 - 72621], [89007 - 97573]</t>
  </si>
  <si>
    <t xml:space="preserve">Signature_b77073b9-7c6f-4cd9-9086-f509986b819b</t>
  </si>
  <si>
    <t xml:space="preserve">2024-04-30 08:52:35-05:00</t>
  </si>
  <si>
    <t xml:space="preserve">2024:04:30 08:52:35-05:00</t>
  </si>
  <si>
    <t xml:space="preserve">[0 - 164600], [180986 - 185438]</t>
  </si>
  <si>
    <t xml:space="preserve">Signature_f1d86e39-995f-4011-a59b-b19c6de0d903</t>
  </si>
  <si>
    <t xml:space="preserve">2024-04-30 08:52:28-05:00</t>
  </si>
  <si>
    <t xml:space="preserve">2024:04:30 08:52:28-05:00</t>
  </si>
  <si>
    <t xml:space="preserve">[0 - 64798], [81184 - 89750]</t>
  </si>
  <si>
    <t xml:space="preserve">Signature_5715992a-6d83-489a-976b-1313dcae2397</t>
  </si>
  <si>
    <t xml:space="preserve">2024-04-30 08:52:36-05:00</t>
  </si>
  <si>
    <t xml:space="preserve">2024:04:30 08:52:36-05:00</t>
  </si>
  <si>
    <t xml:space="preserve">[0 - 230497], [246883 - 248927]</t>
  </si>
  <si>
    <t xml:space="preserve">212 0 obj</t>
  </si>
  <si>
    <t xml:space="preserve">Signature_edf4b4be-e7d2-425b-bd03-2efea203d86e</t>
  </si>
  <si>
    <t xml:space="preserve">2024-04-30 08:53:00-05:00</t>
  </si>
  <si>
    <t xml:space="preserve">2024:04:30 08:53:00-05:00</t>
  </si>
  <si>
    <t xml:space="preserve">[0 - 782271], [798657 - 803918]</t>
  </si>
  <si>
    <t xml:space="preserve">Signature_96813130-e488-44a1-86ac-7078a657b997</t>
  </si>
  <si>
    <t xml:space="preserve">2024-04-30 08:53:04-05:00</t>
  </si>
  <si>
    <t xml:space="preserve">2024:04:30 08:53:04-05:00</t>
  </si>
  <si>
    <t xml:space="preserve">[0 - 311581], [327967 - 333012]</t>
  </si>
  <si>
    <t xml:space="preserve">Signature_bd4b095e-b37b-49b6-96f9-a9a40d7b604b</t>
  </si>
  <si>
    <t xml:space="preserve">2024-04-30 08:53:19-05:00</t>
  </si>
  <si>
    <t xml:space="preserve">2024:04:30 08:53:19-05:00</t>
  </si>
  <si>
    <t xml:space="preserve">[0 - 87595], [103981 - 112548]</t>
  </si>
  <si>
    <t xml:space="preserve">Signature_e3ee5879-b661-46b7-928b-668c0b75d25c</t>
  </si>
  <si>
    <t xml:space="preserve">2024-04-30 08:53:03-05:00</t>
  </si>
  <si>
    <t xml:space="preserve">2024:04:30 08:53:03-05:00</t>
  </si>
  <si>
    <t xml:space="preserve">[0 - 114969], [131355 - 136995]</t>
  </si>
  <si>
    <t xml:space="preserve">Signature_9d11a97e-dd80-4657-ab8f-defa26f004a0</t>
  </si>
  <si>
    <t xml:space="preserve">2024-04-30 08:53:12-05:00</t>
  </si>
  <si>
    <t xml:space="preserve">2024:04:30 08:53:12-05:00</t>
  </si>
  <si>
    <t xml:space="preserve">[0 - 133972], [150358 - 158891]</t>
  </si>
  <si>
    <t xml:space="preserve">Signature_f26c4b45-cd88-4c2b-abb5-998f6b370b78</t>
  </si>
  <si>
    <t xml:space="preserve">2024-04-30 08:53:11-05:00</t>
  </si>
  <si>
    <t xml:space="preserve">2024:04:30 08:53:11-05:00</t>
  </si>
  <si>
    <t xml:space="preserve">[0 - 117982], [134368 - 142901]</t>
  </si>
  <si>
    <t xml:space="preserve">Signature_84bcbaae-a89b-42e1-8a57-c12e4f3087d9</t>
  </si>
  <si>
    <t xml:space="preserve">2024-04-30 08:53:09-05:00</t>
  </si>
  <si>
    <t xml:space="preserve">2024:04:30 08:53:09-05:00</t>
  </si>
  <si>
    <t xml:space="preserve">[0 - 310369], [326755 - 331354]</t>
  </si>
  <si>
    <t xml:space="preserve">Signature_45ac3687-4f41-4ae5-ad4a-965c703ccce7</t>
  </si>
  <si>
    <t xml:space="preserve">2024-04-30 08:53:06-05:00</t>
  </si>
  <si>
    <t xml:space="preserve">2024:04:30 08:53:06-05:00</t>
  </si>
  <si>
    <t xml:space="preserve">[0 - 1252311], [1268697 - 1273165]</t>
  </si>
  <si>
    <t xml:space="preserve">100 0 obj</t>
  </si>
  <si>
    <t xml:space="preserve">Signature_840e0d81-71ba-4973-863d-b84401c8a92a</t>
  </si>
  <si>
    <t xml:space="preserve">2024-04-30 08:53:01-05:00</t>
  </si>
  <si>
    <t xml:space="preserve">2024:04:30 08:53:01-05:00</t>
  </si>
  <si>
    <t xml:space="preserve">[0 - 822395], [838781 - 844355]</t>
  </si>
  <si>
    <t xml:space="preserve">Signature_dd750aa0-8de1-453d-9929-a51d8a5bbf98</t>
  </si>
  <si>
    <t xml:space="preserve">2024-04-30 08:52:59-05:00</t>
  </si>
  <si>
    <t xml:space="preserve">2024:04:30 08:52:59-05:00</t>
  </si>
  <si>
    <t xml:space="preserve">[0 - 822381], [838767 - 844338]</t>
  </si>
  <si>
    <t xml:space="preserve">Signature_1d1ae1bc-d7c5-4ede-9799-dc9a8d91039a</t>
  </si>
  <si>
    <t xml:space="preserve">2024-04-30 08:53:02-05:00</t>
  </si>
  <si>
    <t xml:space="preserve">2024:04:30 08:53:02-05:00</t>
  </si>
  <si>
    <t xml:space="preserve">[0 - 900927], [917313 - 922287]</t>
  </si>
  <si>
    <t xml:space="preserve">398 0 obj</t>
  </si>
  <si>
    <t xml:space="preserve">Signature_3f888fd6-b1a4-49de-831c-e8009c29307e</t>
  </si>
  <si>
    <t xml:space="preserve">2024-04-30 08:53:13-05:00</t>
  </si>
  <si>
    <t xml:space="preserve">2024:04:30 08:53:13-05:00</t>
  </si>
  <si>
    <t xml:space="preserve">[0 - 166261], [182647 - 188165]</t>
  </si>
  <si>
    <t xml:space="preserve">Signature_378516e5-a164-4cf0-b487-80a9ee049a89</t>
  </si>
  <si>
    <t xml:space="preserve">2024-04-30 08:53:07-05:00</t>
  </si>
  <si>
    <t xml:space="preserve">2024:04:30 08:53:07-05:00</t>
  </si>
  <si>
    <t xml:space="preserve">[0 - 165488], [181874 - 187360]</t>
  </si>
  <si>
    <t xml:space="preserve">Signature_e69cc0ba-5ff1-4f91-89a4-dea9645bf553</t>
  </si>
  <si>
    <t xml:space="preserve">2024-04-30 08:53:15-05:00</t>
  </si>
  <si>
    <t xml:space="preserve">2024:04:30 08:53:15-05:00</t>
  </si>
  <si>
    <t xml:space="preserve">[0 - 651198], [667584 - 672168]</t>
  </si>
  <si>
    <t xml:space="preserve">Signature_8a52dd86-d4c5-4f31-95d7-7ea30a42561a</t>
  </si>
  <si>
    <t xml:space="preserve">2024-04-30 08:53:18-05:00</t>
  </si>
  <si>
    <t xml:space="preserve">2024:04:30 08:53:18-05:00</t>
  </si>
  <si>
    <t xml:space="preserve">[0 - 343312], [359698 - 368310]</t>
  </si>
  <si>
    <t xml:space="preserve">Signature_a4ba1efb-1580-43f5-99a1-4c6d0e269ced</t>
  </si>
  <si>
    <t xml:space="preserve">2024-04-30 08:53:17-05:00</t>
  </si>
  <si>
    <t xml:space="preserve">2024:04:30 08:53:17-05:00</t>
  </si>
  <si>
    <t xml:space="preserve">[0 - 215200], [231586 - 240154]</t>
  </si>
  <si>
    <t xml:space="preserve">Signature_a977dd9b-27ac-4536-96f1-1e1202e55f65</t>
  </si>
  <si>
    <t xml:space="preserve">2024-04-30 08:53:10-05:00</t>
  </si>
  <si>
    <t xml:space="preserve">2024:04:30 08:53:10-05:00</t>
  </si>
  <si>
    <t xml:space="preserve">[0 - 204829], [221215 - 229704]</t>
  </si>
  <si>
    <t xml:space="preserve">Signature_62553120-107a-48ed-9fbb-d2817325e076</t>
  </si>
  <si>
    <t xml:space="preserve">2024-04-30 08:53:08-05:00</t>
  </si>
  <si>
    <t xml:space="preserve">2024:04:30 08:53:08-05:00</t>
  </si>
  <si>
    <t xml:space="preserve">[0 - 50232], [66618 - 67862]</t>
  </si>
  <si>
    <t xml:space="preserve">17 0 obj</t>
  </si>
  <si>
    <t xml:space="preserve">Signature_6efecc34-2de3-47d1-b0f3-2f889144827c</t>
  </si>
  <si>
    <t xml:space="preserve">2024-04-30 08:53:05-05:00</t>
  </si>
  <si>
    <t xml:space="preserve">2024:04:30 08:53:05-05:00</t>
  </si>
  <si>
    <t xml:space="preserve">[0 - 175993], [192379 - 196898]</t>
  </si>
  <si>
    <t xml:space="preserve">Signature_190dc3fc-d4a0-4362-b4ba-6e319adfd9b0</t>
  </si>
  <si>
    <t xml:space="preserve">2024-04-30 08:53:20-05:00</t>
  </si>
  <si>
    <t xml:space="preserve">2024:04:30 08:53:20-05:00</t>
  </si>
  <si>
    <t xml:space="preserve">[0 - 230728], [247114 - 249181]</t>
  </si>
  <si>
    <t xml:space="preserve">Signature_473a8940-342a-4053-8553-1c2d09831217</t>
  </si>
  <si>
    <t xml:space="preserve">2024-04-30 08:53:14-05:00</t>
  </si>
  <si>
    <t xml:space="preserve">2024:04:30 08:53:14-05:00</t>
  </si>
  <si>
    <t xml:space="preserve">[0 - 89681], [106067 - 111567]</t>
  </si>
  <si>
    <t xml:space="preserve">Signature_762fbce9-7604-4a99-9bd6-cebc40603701</t>
  </si>
  <si>
    <t xml:space="preserve">2024-04-30 08:53:54-05:00</t>
  </si>
  <si>
    <t xml:space="preserve">2024:04:30 08:53:54-05:00</t>
  </si>
  <si>
    <t xml:space="preserve">[0 - 70054], [86440 - 90961]</t>
  </si>
  <si>
    <t xml:space="preserve">Signature_60593d96-dc53-45e2-a4e1-f64ded597e1c</t>
  </si>
  <si>
    <t xml:space="preserve">2024-04-30 08:54:01-05:00</t>
  </si>
  <si>
    <t xml:space="preserve">2024:04:30 08:54:01-05:00</t>
  </si>
  <si>
    <t xml:space="preserve">[0 - 397489], [413875 - 419459]</t>
  </si>
  <si>
    <t xml:space="preserve">395 0 obj</t>
  </si>
  <si>
    <t xml:space="preserve">Signature_f75bda44-e33c-4f66-a159-214bbe2a6f9b</t>
  </si>
  <si>
    <t xml:space="preserve">2024-04-30 08:54:02-05:00</t>
  </si>
  <si>
    <t xml:space="preserve">2024:04:30 08:54:02-05:00</t>
  </si>
  <si>
    <t xml:space="preserve">[0 - 470379], [486765 - 489502]</t>
  </si>
  <si>
    <t xml:space="preserve">Signature_2e00708a-d5aa-4d9c-ae95-0fe56bf31915</t>
  </si>
  <si>
    <t xml:space="preserve">2024-04-30 08:53:46-05:00</t>
  </si>
  <si>
    <t xml:space="preserve">2024:04:30 08:53:46-05:00</t>
  </si>
  <si>
    <t xml:space="preserve">[0 - 887597], [903983 - 909265]</t>
  </si>
  <si>
    <t xml:space="preserve">Signature_96e6f770-0b2f-46a3-9f7f-31318244ef41</t>
  </si>
  <si>
    <t xml:space="preserve">2024-04-30 08:53:59-05:00</t>
  </si>
  <si>
    <t xml:space="preserve">2024:04:30 08:53:59-05:00</t>
  </si>
  <si>
    <t xml:space="preserve">[0 - 80360], [96746 - 105313]</t>
  </si>
  <si>
    <t xml:space="preserve">Signature_b54750dc-e43f-4cf1-9fb9-57d0e5d11699</t>
  </si>
  <si>
    <t xml:space="preserve">2024-04-30 08:53:50-05:00</t>
  </si>
  <si>
    <t xml:space="preserve">2024:04:30 08:53:50-05:00</t>
  </si>
  <si>
    <t xml:space="preserve">[0 - 312557], [328943 - 337476]</t>
  </si>
  <si>
    <t xml:space="preserve">Signature_a52df263-6a20-40c9-a7fe-a4e00e425c90</t>
  </si>
  <si>
    <t xml:space="preserve">2024-04-30 08:53:53-05:00</t>
  </si>
  <si>
    <t xml:space="preserve">2024:04:30 08:53:53-05:00</t>
  </si>
  <si>
    <t xml:space="preserve">[0 - 155904], [172290 - 177711]</t>
  </si>
  <si>
    <t xml:space="preserve">Signature_01023c3c-15b0-4993-ae50-f177246c9d81</t>
  </si>
  <si>
    <t xml:space="preserve">2024-04-30 08:53:57-05:00</t>
  </si>
  <si>
    <t xml:space="preserve">2024:04:30 08:53:57-05:00</t>
  </si>
  <si>
    <t xml:space="preserve">[0 - 89251], [105637 - 114204]</t>
  </si>
  <si>
    <t xml:space="preserve">Signature_5428807a-a1e3-4695-8253-77321e923c6f</t>
  </si>
  <si>
    <t xml:space="preserve">2024-04-30 08:53:58-05:00</t>
  </si>
  <si>
    <t xml:space="preserve">2024:04:30 08:53:58-05:00</t>
  </si>
  <si>
    <t xml:space="preserve">[0 - 91308], [107694 - 116261]</t>
  </si>
  <si>
    <t xml:space="preserve">Signature_db622e28-a459-46a3-b036-20a27b571dfb</t>
  </si>
  <si>
    <t xml:space="preserve">2024-04-30 08:53:56-05:00</t>
  </si>
  <si>
    <t xml:space="preserve">2024:04:30 08:53:56-05:00</t>
  </si>
  <si>
    <t xml:space="preserve">[0 - 811224], [827610 - 836143]</t>
  </si>
  <si>
    <t xml:space="preserve">Signature_81942b3d-0179-43e5-9793-ac75eec89be2</t>
  </si>
  <si>
    <t xml:space="preserve">2024-04-30 08:53:51-05:00</t>
  </si>
  <si>
    <t xml:space="preserve">2024:04:30 08:53:51-05:00</t>
  </si>
  <si>
    <t xml:space="preserve">[0 - 800711], [817097 - 821686]</t>
  </si>
  <si>
    <t xml:space="preserve">Signature_ebcc6c5f-886f-40da-b1e4-52cceabf49f1</t>
  </si>
  <si>
    <t xml:space="preserve">2024-04-30 08:53:49-05:00</t>
  </si>
  <si>
    <t xml:space="preserve">2024:04:30 08:53:49-05:00</t>
  </si>
  <si>
    <t xml:space="preserve">[0 - 287264], [303650 - 309231]</t>
  </si>
  <si>
    <t xml:space="preserve">Signature_5dcf302c-51b3-46a8-9b98-a50f546641da</t>
  </si>
  <si>
    <t xml:space="preserve">2024-04-30 08:53:42-05:00</t>
  </si>
  <si>
    <t xml:space="preserve">2024:04:30 08:53:42-05:00</t>
  </si>
  <si>
    <t xml:space="preserve">[0 - 238756], [255142 - 260626]</t>
  </si>
  <si>
    <t xml:space="preserve">Signature_76feb791-ed68-461f-ac3d-e1902e896566</t>
  </si>
  <si>
    <t xml:space="preserve">2024-04-30 08:53:47-05:00</t>
  </si>
  <si>
    <t xml:space="preserve">2024:04:30 08:53:47-05:00</t>
  </si>
  <si>
    <t xml:space="preserve">[0 - 118027], [134413 - 142945]</t>
  </si>
  <si>
    <t xml:space="preserve">Signature_d5cc0d26-1f60-499d-8675-959fa073b44a</t>
  </si>
  <si>
    <t xml:space="preserve">2024-04-30 08:53:44-05:00</t>
  </si>
  <si>
    <t xml:space="preserve">2024:04:30 08:53:44-05:00</t>
  </si>
  <si>
    <t xml:space="preserve">[0 - 739514], [755900 - 760490]</t>
  </si>
  <si>
    <t xml:space="preserve">Signature_08451d23-9c35-4e3e-b514-3296fb518698</t>
  </si>
  <si>
    <t xml:space="preserve">2024-04-30 08:53:55-05:00</t>
  </si>
  <si>
    <t xml:space="preserve">2024:04:30 08:53:55-05:00</t>
  </si>
  <si>
    <t xml:space="preserve">[0 - 97127], [113513 - 117985]</t>
  </si>
  <si>
    <t xml:space="preserve">Signature_1947f139-4f45-4ec4-b83e-8b077ae4a8da</t>
  </si>
  <si>
    <t xml:space="preserve">[0 - 156624], [173010 - 178357]</t>
  </si>
  <si>
    <t xml:space="preserve">Signature_3f29451c-570a-4b64-b9ea-2fbae09301c4</t>
  </si>
  <si>
    <t xml:space="preserve">2024-04-30 08:53:48-05:00</t>
  </si>
  <si>
    <t xml:space="preserve">2024:04:30 08:53:48-05:00</t>
  </si>
  <si>
    <t xml:space="preserve">[0 - 69355], [85741 - 94228]</t>
  </si>
  <si>
    <t xml:space="preserve">Signature_0158e0b2-991f-4f08-b15e-558fc7557bbc</t>
  </si>
  <si>
    <t xml:space="preserve">2024-04-30 08:53:52-05:00</t>
  </si>
  <si>
    <t xml:space="preserve">2024:04:30 08:53:52-05:00</t>
  </si>
  <si>
    <t xml:space="preserve">[0 - 241850], [258236 - 262947]</t>
  </si>
  <si>
    <t xml:space="preserve">Signature_e05edddd-ee55-4bdc-9505-b066d8a5f39b</t>
  </si>
  <si>
    <t xml:space="preserve">2024-04-30 08:54:35-05:00</t>
  </si>
  <si>
    <t xml:space="preserve">2024:04:30 08:54:35-05:00</t>
  </si>
  <si>
    <t xml:space="preserve">Signature_f35114f9-b559-4ace-8162-dc63401b2057</t>
  </si>
  <si>
    <t xml:space="preserve">2024-04-30 08:54:50-05:00</t>
  </si>
  <si>
    <t xml:space="preserve">2024:04:30 08:54:50-05:00</t>
  </si>
  <si>
    <t xml:space="preserve">[0 - 313071], [329457 - 335270]</t>
  </si>
  <si>
    <t xml:space="preserve">437 0 obj</t>
  </si>
  <si>
    <t xml:space="preserve">Signature_f5005eb6-4e8a-4224-bd4b-eddfc143315e</t>
  </si>
  <si>
    <t xml:space="preserve">2024-04-30 08:54:58-05:00</t>
  </si>
  <si>
    <t xml:space="preserve">2024:04:30 08:54:58-05:00</t>
  </si>
  <si>
    <t xml:space="preserve">[0 - 468590], [484976 - 487713]</t>
  </si>
  <si>
    <t xml:space="preserve">Signature_9dc7f29b-8ace-4f17-bb60-6ba49cb274cc</t>
  </si>
  <si>
    <t xml:space="preserve">2024-04-30 08:54:26-05:00</t>
  </si>
  <si>
    <t xml:space="preserve">2024:04:30 08:54:26-05:00</t>
  </si>
  <si>
    <t xml:space="preserve">[0 - 810968], [827354 - 832563]</t>
  </si>
  <si>
    <t xml:space="preserve">Signature_25348fbe-b56d-4b5d-b47c-500c8adb9bb5</t>
  </si>
  <si>
    <t xml:space="preserve">2024-04-30 08:54:41-05:00</t>
  </si>
  <si>
    <t xml:space="preserve">2024:04:30 08:54:41-05:00</t>
  </si>
  <si>
    <t xml:space="preserve">Signature_96859bc5-1f92-47c6-9e8f-c39836af939e</t>
  </si>
  <si>
    <t xml:space="preserve">2024-04-30 08:54:47-05:00</t>
  </si>
  <si>
    <t xml:space="preserve">2024:04:30 08:54:47-05:00</t>
  </si>
  <si>
    <t xml:space="preserve">Signature_24d1d152-0d7c-47d3-a115-3c424f5400e7</t>
  </si>
  <si>
    <t xml:space="preserve">2024-04-30 08:54:39-05:00</t>
  </si>
  <si>
    <t xml:space="preserve">2024:04:30 08:54:39-05:00</t>
  </si>
  <si>
    <t xml:space="preserve">[0 - 795242], [811628 - 816219]</t>
  </si>
  <si>
    <t xml:space="preserve">Signature_4ed6eb0d-8aa4-4e55-bc43-6e81cda2c361</t>
  </si>
  <si>
    <t xml:space="preserve">2024-04-30 08:54:45-05:00</t>
  </si>
  <si>
    <t xml:space="preserve">2024:04:30 08:54:45-05:00</t>
  </si>
  <si>
    <t xml:space="preserve">[0 - 76591], [92977 - 101465]</t>
  </si>
  <si>
    <t xml:space="preserve">Signature_c5759959-87d7-4c63-aeb7-c1c2ac614159</t>
  </si>
  <si>
    <t xml:space="preserve">2024-04-30 08:54:37-05:00</t>
  </si>
  <si>
    <t xml:space="preserve">2024:04:30 08:54:37-05:00</t>
  </si>
  <si>
    <t xml:space="preserve">[0 - 72167], [88553 - 97040]</t>
  </si>
  <si>
    <t xml:space="preserve">Signature_db9e57a8-3f0d-4851-8b7b-14621eb40c1d</t>
  </si>
  <si>
    <t xml:space="preserve">2024-04-30 08:54:31-05:00</t>
  </si>
  <si>
    <t xml:space="preserve">2024:04:30 08:54:31-05:00</t>
  </si>
  <si>
    <t xml:space="preserve">[0 - 287665], [304051 - 312538]</t>
  </si>
  <si>
    <t xml:space="preserve">Signature_3bd06dc7-eff4-49c6-9ab2-275eba30d286</t>
  </si>
  <si>
    <t xml:space="preserve">2024-04-30 08:54:28-05:00</t>
  </si>
  <si>
    <t xml:space="preserve">2024:04:30 08:54:28-05:00</t>
  </si>
  <si>
    <t xml:space="preserve">[0 - 271172], [287558 - 296045]</t>
  </si>
  <si>
    <t xml:space="preserve">Signature_7788af24-f741-456b-a2cd-7fbd0c412eb4</t>
  </si>
  <si>
    <t xml:space="preserve">2024-04-30 08:54:49-05:00</t>
  </si>
  <si>
    <t xml:space="preserve">2024:04:30 08:54:49-05:00</t>
  </si>
  <si>
    <t xml:space="preserve">[0 - 85885], [102271 - 106744]</t>
  </si>
  <si>
    <t xml:space="preserve">Signature_6fe667c4-e511-4bab-96d1-648b01b1d531</t>
  </si>
  <si>
    <t xml:space="preserve">2024-04-30 08:54:46-05:00</t>
  </si>
  <si>
    <t xml:space="preserve">2024:04:30 08:54:46-05:00</t>
  </si>
  <si>
    <t xml:space="preserve">[0 - 64706], [81092 - 85563]</t>
  </si>
  <si>
    <t xml:space="preserve">Signature_f78b83c3-10f3-4ca6-995c-5e02f3ddac95</t>
  </si>
  <si>
    <t xml:space="preserve">2024-04-30 08:54:23-05:00</t>
  </si>
  <si>
    <t xml:space="preserve">2024:04:30 08:54:23-05:00</t>
  </si>
  <si>
    <t xml:space="preserve">[0 - 234846], [251232 - 255845]</t>
  </si>
  <si>
    <t xml:space="preserve">Signature_48d64efd-d56f-4aa6-be86-ea8cc3304e52</t>
  </si>
  <si>
    <t xml:space="preserve">2024-04-30 08:54:30-05:00</t>
  </si>
  <si>
    <t xml:space="preserve">2024:04:30 08:54:30-05:00</t>
  </si>
  <si>
    <t xml:space="preserve">[0 - 822698], [839084 - 844617]</t>
  </si>
  <si>
    <t xml:space="preserve">Signature_c584ec73-bc2a-499e-a20b-d377a66f19c6</t>
  </si>
  <si>
    <t xml:space="preserve">2024-04-30 08:54:27-05:00</t>
  </si>
  <si>
    <t xml:space="preserve">2024:04:30 08:54:27-05:00</t>
  </si>
  <si>
    <t xml:space="preserve">Signature_7e6f0871-1d27-408b-9ae6-d313dccb6b1f</t>
  </si>
  <si>
    <t xml:space="preserve">2024-04-30 08:54:24-05:00</t>
  </si>
  <si>
    <t xml:space="preserve">2024:04:30 08:54:24-05:00</t>
  </si>
  <si>
    <t xml:space="preserve">[0 - 234644], [251030 - 255642]</t>
  </si>
  <si>
    <t xml:space="preserve">Signature_5fdf8b8d-253c-439a-9618-1e1951b87e9e</t>
  </si>
  <si>
    <t xml:space="preserve">2024-04-30 08:54:51-05:00</t>
  </si>
  <si>
    <t xml:space="preserve">2024:04:30 08:54:51-05:00</t>
  </si>
  <si>
    <t xml:space="preserve">[0 - 460788], [477174 - 482260]</t>
  </si>
  <si>
    <t xml:space="preserve">Signature_6737bce4-3713-44b2-8e25-c51045b028cd</t>
  </si>
  <si>
    <t xml:space="preserve">2024-04-30 08:54:43-05:00</t>
  </si>
  <si>
    <t xml:space="preserve">2024:04:30 08:54:43-05:00</t>
  </si>
  <si>
    <t xml:space="preserve">[0 - 490156], [506542 - 511947]</t>
  </si>
  <si>
    <t xml:space="preserve">Signature_c20e16bb-531e-40d2-8a45-3c5b240e283c</t>
  </si>
  <si>
    <t xml:space="preserve">2024-04-30 08:54:36-05:00</t>
  </si>
  <si>
    <t xml:space="preserve">2024:04:30 08:54:36-05:00</t>
  </si>
  <si>
    <t xml:space="preserve">Signature_13633bec-327a-418a-b466-a88420aba846</t>
  </si>
  <si>
    <t xml:space="preserve">2024-04-30 08:54:33-05:00</t>
  </si>
  <si>
    <t xml:space="preserve">2024:04:30 08:54:33-05:00</t>
  </si>
  <si>
    <t xml:space="preserve">[0 - 802147], [818533 - 823502]</t>
  </si>
  <si>
    <t xml:space="preserve">Signature_d906e4d7-d521-4d6e-8d5b-d12173bd484c</t>
  </si>
  <si>
    <t xml:space="preserve">2024-04-30 08:54:32-05:00</t>
  </si>
  <si>
    <t xml:space="preserve">2024:04:30 08:54:32-05:00</t>
  </si>
  <si>
    <t xml:space="preserve">[0 - 891706], [908092 - 913097]</t>
  </si>
  <si>
    <t xml:space="preserve">Signature_8944bfbf-0cb4-4538-bdde-a1c08f93b31a</t>
  </si>
  <si>
    <t xml:space="preserve">2024-04-30 08:54:29-05:00</t>
  </si>
  <si>
    <t xml:space="preserve">2024:04:30 08:54:29-05:00</t>
  </si>
  <si>
    <t xml:space="preserve">[0 - 740689], [757075 - 761666]</t>
  </si>
  <si>
    <t xml:space="preserve">Signature_e1dfd6d0-1ab2-4ed7-9717-50862da7d3ac</t>
  </si>
  <si>
    <t xml:space="preserve">2024-04-30 08:54:44-05:00</t>
  </si>
  <si>
    <t xml:space="preserve">2024:04:30 08:54:44-05:00</t>
  </si>
  <si>
    <t xml:space="preserve">[0 - 133105], [149491 - 158024]</t>
  </si>
  <si>
    <t xml:space="preserve">Signature_187b9d40-25e4-4249-b2dd-94ce44bad9aa</t>
  </si>
  <si>
    <t xml:space="preserve">2024-04-30 08:54:42-05:00</t>
  </si>
  <si>
    <t xml:space="preserve">2024:04:30 08:54:42-05:00</t>
  </si>
  <si>
    <t xml:space="preserve">[0 - 1145960], [1162346 - 1167056]</t>
  </si>
  <si>
    <t xml:space="preserve">Signature_9a890e19-5860-45cd-abea-6e5a5cbc9c2c</t>
  </si>
  <si>
    <t xml:space="preserve">2024-04-30 08:54:38-05:00</t>
  </si>
  <si>
    <t xml:space="preserve">2024:04:30 08:54:38-05:00</t>
  </si>
  <si>
    <t xml:space="preserve">[0 - 172507], [188893 - 194380]</t>
  </si>
  <si>
    <t xml:space="preserve">Signature_cb9295d5-3e99-4f60-b60d-64a92c23450b</t>
  </si>
  <si>
    <t xml:space="preserve">2024-04-30 08:54:54-05:00</t>
  </si>
  <si>
    <t xml:space="preserve">2024:04:30 08:54:54-05:00</t>
  </si>
  <si>
    <t xml:space="preserve">[0 - 88286], [104672 - 113241]</t>
  </si>
  <si>
    <t xml:space="preserve">Signature_1b9fe490-508a-4098-89e4-14bd93f580ca</t>
  </si>
  <si>
    <t xml:space="preserve">2024-04-30 08:54:53-05:00</t>
  </si>
  <si>
    <t xml:space="preserve">2024:04:30 08:54:53-05:00</t>
  </si>
  <si>
    <t xml:space="preserve">[0 - 74049], [90435 - 99001]</t>
  </si>
  <si>
    <t xml:space="preserve">Signature_c956b3fc-efe1-43fa-b2da-43100b777951</t>
  </si>
  <si>
    <t xml:space="preserve">2024-04-30 08:54:48-05:00</t>
  </si>
  <si>
    <t xml:space="preserve">2024:04:30 08:54:48-05:00</t>
  </si>
  <si>
    <t xml:space="preserve">[0 - 348326], [364712 - 369190]</t>
  </si>
  <si>
    <t xml:space="preserve">Signature_835157d6-e72c-4dab-87a4-e17808402486</t>
  </si>
  <si>
    <t xml:space="preserve">2024-04-30 08:54:34-05:00</t>
  </si>
  <si>
    <t xml:space="preserve">2024:04:30 08:54:34-05:00</t>
  </si>
  <si>
    <t xml:space="preserve">[0 - 156970], [173356 - 178715]</t>
  </si>
  <si>
    <t xml:space="preserve">Signature_50b0e310-b936-407a-a818-26cb0dc22657</t>
  </si>
  <si>
    <t xml:space="preserve">2024-04-30 08:54:55-05:00</t>
  </si>
  <si>
    <t xml:space="preserve">2024:04:30 08:54:55-05:00</t>
  </si>
  <si>
    <t xml:space="preserve">[0 - 219186], [235572 - 244140]</t>
  </si>
  <si>
    <t xml:space="preserve">Signature_d9267933-857d-4239-aa37-e184b4fcac43</t>
  </si>
  <si>
    <t xml:space="preserve">2024-04-30 08:54:52-05:00</t>
  </si>
  <si>
    <t xml:space="preserve">2024:04:30 08:54:52-05:00</t>
  </si>
  <si>
    <t xml:space="preserve">[0 - 244786], [261172 - 269740]</t>
  </si>
  <si>
    <t xml:space="preserve">Signature_78318e52-94a1-4406-a41f-44a37b000e65</t>
  </si>
  <si>
    <t xml:space="preserve">2024-04-30 08:54:22-05:00</t>
  </si>
  <si>
    <t xml:space="preserve">2024:04:30 08:54:22-05:00</t>
  </si>
  <si>
    <t xml:space="preserve">[0 - 87250], [103636 - 112166]</t>
  </si>
  <si>
    <t xml:space="preserve">Signature_5a04f27c-fe76-4d1c-959a-a7d6c3f939da</t>
  </si>
  <si>
    <t xml:space="preserve">2024-04-30 08:54:56-05:00</t>
  </si>
  <si>
    <t xml:space="preserve">2024:04:30 08:54:57-05:00</t>
  </si>
  <si>
    <t xml:space="preserve">[0 - 233956], [250342 - 252409]</t>
  </si>
  <si>
    <t xml:space="preserve">Signature_017df3a2-ed2c-421a-b51e-23cc465ee2ed</t>
  </si>
  <si>
    <t xml:space="preserve">2024-04-30 08:56:03-05:00</t>
  </si>
  <si>
    <t xml:space="preserve">2024:04:30 08:56:04-05:00</t>
  </si>
  <si>
    <t xml:space="preserve">[0 - 465239], [481625 - 484362]</t>
  </si>
  <si>
    <t xml:space="preserve">354 0 obj</t>
  </si>
  <si>
    <t xml:space="preserve">Signature_c73557b5-2405-4904-97fa-06cf429b0554</t>
  </si>
  <si>
    <t xml:space="preserve">2024-04-30 08:55:31-05:00</t>
  </si>
  <si>
    <t xml:space="preserve">2024:04:30 08:55:31-05:00</t>
  </si>
  <si>
    <t xml:space="preserve">[0 - 225248], [241634 - 250165]</t>
  </si>
  <si>
    <t xml:space="preserve">Signature_9027088f-36ed-4880-8c88-eadb44e7ae4c</t>
  </si>
  <si>
    <t xml:space="preserve">2024-04-30 08:55:52-05:00</t>
  </si>
  <si>
    <t xml:space="preserve">2024:04:30 08:55:52-05:00</t>
  </si>
  <si>
    <t xml:space="preserve">[0 - 310970], [327356 - 335845]</t>
  </si>
  <si>
    <t xml:space="preserve">Signature_19c2ef82-fe6c-4bab-9a0f-5d886462ad99</t>
  </si>
  <si>
    <t xml:space="preserve">2024-04-30 08:55:50-05:00</t>
  </si>
  <si>
    <t xml:space="preserve">2024:04:30 08:55:50-05:00</t>
  </si>
  <si>
    <t xml:space="preserve">[0 - 67380], [83766 - 92253]</t>
  </si>
  <si>
    <t xml:space="preserve">Signature_96db90b3-6780-4d9b-adf9-e5c4fff3e455</t>
  </si>
  <si>
    <t xml:space="preserve">2024-04-30 08:55:49-05:00</t>
  </si>
  <si>
    <t xml:space="preserve">2024:04:30 08:55:49-05:00</t>
  </si>
  <si>
    <t xml:space="preserve">[0 - 269411], [285797 - 294284]</t>
  </si>
  <si>
    <t xml:space="preserve">Signature_3a1c92c2-abdd-4ca8-91d6-c3fe90611064</t>
  </si>
  <si>
    <t xml:space="preserve">2024-04-30 08:55:32-05:00</t>
  </si>
  <si>
    <t xml:space="preserve">2024:04:30 08:55:32-05:00</t>
  </si>
  <si>
    <t xml:space="preserve">[0 - 151462], [167848 - 173175]</t>
  </si>
  <si>
    <t xml:space="preserve">Signature_87213329-6b6f-420d-921b-3c68ba8c032a</t>
  </si>
  <si>
    <t xml:space="preserve">2024-04-30 08:56:01-05:00</t>
  </si>
  <si>
    <t xml:space="preserve">2024:04:30 08:56:01-05:00</t>
  </si>
  <si>
    <t xml:space="preserve">[0 - 76788], [93174 - 101741]</t>
  </si>
  <si>
    <t xml:space="preserve">Signature_eb083de6-970a-4965-8be4-f15c0245c92a</t>
  </si>
  <si>
    <t xml:space="preserve">2024-04-30 08:56:02-05:00</t>
  </si>
  <si>
    <t xml:space="preserve">2024:04:30 08:56:02-05:00</t>
  </si>
  <si>
    <t xml:space="preserve">[0 - 77130], [93516 - 102083]</t>
  </si>
  <si>
    <t xml:space="preserve">Signature_38a1d544-b648-4f1a-8f73-a4284718b834</t>
  </si>
  <si>
    <t xml:space="preserve">2024-04-30 08:55:58-05:00</t>
  </si>
  <si>
    <t xml:space="preserve">2024:04:30 08:55:58-05:00</t>
  </si>
  <si>
    <t xml:space="preserve">[0 - 126779], [143165 - 151698]</t>
  </si>
  <si>
    <t xml:space="preserve">Signature_91ddf784-d70d-4b4e-9456-64de079d9cb5</t>
  </si>
  <si>
    <t xml:space="preserve">2024-04-30 08:55:48-05:00</t>
  </si>
  <si>
    <t xml:space="preserve">2024:04:30 08:55:48-05:00</t>
  </si>
  <si>
    <t xml:space="preserve">[0 - 536571], [552957 - 561488]</t>
  </si>
  <si>
    <t xml:space="preserve">Signature_ef1f894c-75a0-4237-a6a0-f3e63f705427</t>
  </si>
  <si>
    <t xml:space="preserve">2024-04-30 08:55:46-05:00</t>
  </si>
  <si>
    <t xml:space="preserve">2024:04:30 08:55:46-05:00</t>
  </si>
  <si>
    <t xml:space="preserve">[0 - 575814], [592200 - 600731]</t>
  </si>
  <si>
    <t xml:space="preserve">Signature_01bd4257-1ce9-4c05-9648-f5aa8ad7f0a2</t>
  </si>
  <si>
    <t xml:space="preserve">2024-04-30 08:55:45-05:00</t>
  </si>
  <si>
    <t xml:space="preserve">2024:04:30 08:55:45-05:00</t>
  </si>
  <si>
    <t xml:space="preserve">Signature_d6089177-06d9-4970-bc66-0950cb36ea98</t>
  </si>
  <si>
    <t xml:space="preserve">2024-04-30 08:55:44-05:00</t>
  </si>
  <si>
    <t xml:space="preserve">2024:04:30 08:55:44-05:00</t>
  </si>
  <si>
    <t xml:space="preserve">[0 - 734049], [750435 - 755008]</t>
  </si>
  <si>
    <t xml:space="preserve">Signature_792eef27-45b4-410c-8f4b-74082af1491b</t>
  </si>
  <si>
    <t xml:space="preserve">2024-04-30 08:55:40-05:00</t>
  </si>
  <si>
    <t xml:space="preserve">2024:04:30 08:55:40-05:00</t>
  </si>
  <si>
    <t xml:space="preserve">[0 - 693428], [709814 - 715094]</t>
  </si>
  <si>
    <t xml:space="preserve">Signature_ba35f300-8163-4b34-9c4b-fdb7697628af</t>
  </si>
  <si>
    <t xml:space="preserve">2024-04-30 08:55:38-05:00</t>
  </si>
  <si>
    <t xml:space="preserve">2024:04:30 08:55:38-05:00</t>
  </si>
  <si>
    <t xml:space="preserve">[0 - 693427], [709813 - 715093]</t>
  </si>
  <si>
    <t xml:space="preserve">Signature_cb5f1518-b593-417a-9be8-d2d0c7905d70</t>
  </si>
  <si>
    <t xml:space="preserve">2024-04-30 08:55:34-05:00</t>
  </si>
  <si>
    <t xml:space="preserve">2024:04:30 08:55:34-05:00</t>
  </si>
  <si>
    <t xml:space="preserve">Signature_2cf24f19-b277-4780-bea4-fad127a7107c</t>
  </si>
  <si>
    <t xml:space="preserve">2024-04-30 08:56:00-05:00</t>
  </si>
  <si>
    <t xml:space="preserve">2024:04:30 08:56:00-05:00</t>
  </si>
  <si>
    <t xml:space="preserve">[0 - 773192], [789578 - 798111]</t>
  </si>
  <si>
    <t xml:space="preserve">Signature_5930b370-a95b-4b68-a3ae-3410f92efed3</t>
  </si>
  <si>
    <t xml:space="preserve">2024-04-30 08:55:56-05:00</t>
  </si>
  <si>
    <t xml:space="preserve">2024:04:30 08:55:56-05:00</t>
  </si>
  <si>
    <t xml:space="preserve">[0 - 131868], [148254 - 156787]</t>
  </si>
  <si>
    <t xml:space="preserve">Signature_e8b30d52-85ae-4028-94cf-7fbf7cf8f65f</t>
  </si>
  <si>
    <t xml:space="preserve">2024-04-30 08:55:51-05:00</t>
  </si>
  <si>
    <t xml:space="preserve">2024:04:30 08:55:51-05:00</t>
  </si>
  <si>
    <t xml:space="preserve">[0 - 136447], [152833 - 161366]</t>
  </si>
  <si>
    <t xml:space="preserve">Signature_0bca71ee-ba4c-4ab8-8e64-79b29f483707</t>
  </si>
  <si>
    <t xml:space="preserve">2024-04-30 08:55:43-05:00</t>
  </si>
  <si>
    <t xml:space="preserve">2024:04:30 08:55:43-05:00</t>
  </si>
  <si>
    <t xml:space="preserve">[0 - 235044], [251430 - 256083]</t>
  </si>
  <si>
    <t xml:space="preserve">Signature_e686ca58-08b6-48fa-abc2-8a0c93397cee</t>
  </si>
  <si>
    <t xml:space="preserve">2024-04-30 08:55:41-05:00</t>
  </si>
  <si>
    <t xml:space="preserve">2024:04:30 08:55:41-05:00</t>
  </si>
  <si>
    <t xml:space="preserve">[0 - 824186], [840572 - 846140]</t>
  </si>
  <si>
    <t xml:space="preserve">Signature_e6e0d7c3-821e-4309-8508-deb4276b6708</t>
  </si>
  <si>
    <t xml:space="preserve">2024-04-30 08:55:39-05:00</t>
  </si>
  <si>
    <t xml:space="preserve">2024:04:30 08:55:39-05:00</t>
  </si>
  <si>
    <t xml:space="preserve">[0 - 838442], [854828 - 859423]</t>
  </si>
  <si>
    <t xml:space="preserve">Signature_502a4ed1-eee7-431e-b8ca-de91ac82b28d</t>
  </si>
  <si>
    <t xml:space="preserve">2024-04-30 08:55:35-05:00</t>
  </si>
  <si>
    <t xml:space="preserve">2024:04:30 08:55:35-05:00</t>
  </si>
  <si>
    <t xml:space="preserve">Signature_7dba1a0e-fa5b-4925-a1b4-e335af9a7eb5</t>
  </si>
  <si>
    <t xml:space="preserve">2024-04-30 08:55:42-05:00</t>
  </si>
  <si>
    <t xml:space="preserve">2024:04:30 08:55:42-05:00</t>
  </si>
  <si>
    <t xml:space="preserve">[0 - 739710], [756096 - 760686]</t>
  </si>
  <si>
    <t xml:space="preserve">Signature_67f185a6-86e7-4a64-8271-030014815517</t>
  </si>
  <si>
    <t xml:space="preserve">2024-04-30 08:55:36-05:00</t>
  </si>
  <si>
    <t xml:space="preserve">2024:04:30 08:55:36-05:00</t>
  </si>
  <si>
    <t xml:space="preserve">Signature_57c4a85b-9ec2-4f89-85f1-1f10f6fa49ad</t>
  </si>
  <si>
    <t xml:space="preserve">2024-04-30 08:55:57-05:00</t>
  </si>
  <si>
    <t xml:space="preserve">2024:04:30 08:55:57-05:00</t>
  </si>
  <si>
    <t xml:space="preserve">[0 - 111443], [127829 - 136318]</t>
  </si>
  <si>
    <t xml:space="preserve">Signature_b225e9d6-496c-4076-b682-7778e5872c66</t>
  </si>
  <si>
    <t xml:space="preserve">2024-04-30 08:55:55-05:00</t>
  </si>
  <si>
    <t xml:space="preserve">2024:04:30 08:55:55-05:00</t>
  </si>
  <si>
    <t xml:space="preserve">[0 - 160503], [176889 - 182363]</t>
  </si>
  <si>
    <t xml:space="preserve">Signature_0fa9ce49-1730-4ac4-ab19-41284e45967e</t>
  </si>
  <si>
    <t xml:space="preserve">2024-04-30 08:55:33-05:00</t>
  </si>
  <si>
    <t xml:space="preserve">2024:04:30 08:55:33-05:00</t>
  </si>
  <si>
    <t xml:space="preserve">[0 - 183565], [199951 - 205618]</t>
  </si>
  <si>
    <t xml:space="preserve">Signature_01e587db-63e9-48e8-a56c-65b5ce3b5157</t>
  </si>
  <si>
    <t xml:space="preserve">2024-04-30 08:55:59-05:00</t>
  </si>
  <si>
    <t xml:space="preserve">2024:04:30 08:55:59-05:00</t>
  </si>
  <si>
    <t xml:space="preserve">[0 - 231141], [247527 - 256016]</t>
  </si>
  <si>
    <t xml:space="preserve">Signature_89aaffcd-225e-4f37-acaf-f3639cdd184f</t>
  </si>
  <si>
    <t xml:space="preserve">2024-04-30 08:55:53-05:00</t>
  </si>
  <si>
    <t xml:space="preserve">2024:04:30 08:55:53-05:00</t>
  </si>
  <si>
    <t xml:space="preserve">[0 - 257554], [273940 - 282429]</t>
  </si>
  <si>
    <t xml:space="preserve">Signature_2e75220e-9f60-4c73-b8b6-dd8b3298606c</t>
  </si>
  <si>
    <t xml:space="preserve">2024-04-30 08:55:47-05:00</t>
  </si>
  <si>
    <t xml:space="preserve">2024:04:30 08:55:47-05:00</t>
  </si>
  <si>
    <t xml:space="preserve">Signature_8703e4ec-c878-4d68-a8e0-2a7861d1d9a2</t>
  </si>
  <si>
    <t xml:space="preserve">2024-04-30 08:22:22-05:00</t>
  </si>
  <si>
    <t xml:space="preserve">2024:04:30 08:22:22-05:00</t>
  </si>
  <si>
    <t xml:space="preserve">[0 - 359025], [375411 - 381014]</t>
  </si>
  <si>
    <t xml:space="preserve">Signature_997b7014-5abe-410c-bac2-dd4ba45875fa</t>
  </si>
  <si>
    <t xml:space="preserve">2024-04-30 08:22:41-05:00</t>
  </si>
  <si>
    <t xml:space="preserve">2024:04:30 08:22:41-05:00</t>
  </si>
  <si>
    <t xml:space="preserve">[0 - 325339], [341725 - 347555]</t>
  </si>
  <si>
    <t xml:space="preserve">Signature_8416d241-904b-4801-9d99-f70894dd09c2</t>
  </si>
  <si>
    <t xml:space="preserve">2024-04-30 08:22:43-05:00</t>
  </si>
  <si>
    <t xml:space="preserve">2024:04:30 08:22:44-05:00</t>
  </si>
  <si>
    <t xml:space="preserve">[0 - 471486], [487872 - 490609]</t>
  </si>
  <si>
    <t xml:space="preserve">367 0 obj</t>
  </si>
  <si>
    <t xml:space="preserve">Signature_a70d36e4-dce9-44a7-a1d4-b9a274c4957e</t>
  </si>
  <si>
    <t xml:space="preserve">2024-04-30 08:22:23-05:00</t>
  </si>
  <si>
    <t xml:space="preserve">2024:04:30 08:22:23-05:00</t>
  </si>
  <si>
    <t xml:space="preserve">[0 - 942237], [958623 - 964365]</t>
  </si>
  <si>
    <t xml:space="preserve">248 0 obj</t>
  </si>
  <si>
    <t xml:space="preserve">Signature_a20e1be0-ec1b-446e-a7f2-2ba4309df55e</t>
  </si>
  <si>
    <t xml:space="preserve">2024-04-30 08:22:29-05:00</t>
  </si>
  <si>
    <t xml:space="preserve">2024:04:30 08:22:29-05:00</t>
  </si>
  <si>
    <t xml:space="preserve">[0 - 76338], [92724 - 101212]</t>
  </si>
  <si>
    <t xml:space="preserve">Signature_c900943a-3e37-41a3-8609-f876deef7b1a</t>
  </si>
  <si>
    <t xml:space="preserve">2024-04-30 08:22:28-05:00</t>
  </si>
  <si>
    <t xml:space="preserve">2024:04:30 08:22:28-05:00</t>
  </si>
  <si>
    <t xml:space="preserve">[0 - 72015], [88401 - 96888]</t>
  </si>
  <si>
    <t xml:space="preserve">Signature_e938e3fe-e125-4347-8aa9-79311e67dd7a</t>
  </si>
  <si>
    <t xml:space="preserve">2024-04-30 08:22:17-05:00</t>
  </si>
  <si>
    <t xml:space="preserve">2024:04:30 08:22:17-05:00</t>
  </si>
  <si>
    <t xml:space="preserve">[0 - 93531], [109917 - 114468]</t>
  </si>
  <si>
    <t xml:space="preserve">Signature_0240c63e-65bc-4d21-a399-1ade2577fe50</t>
  </si>
  <si>
    <t xml:space="preserve">2024-04-30 08:22:27-05:00</t>
  </si>
  <si>
    <t xml:space="preserve">2024:04:30 08:22:27-05:00</t>
  </si>
  <si>
    <t xml:space="preserve">[0 - 84127], [100513 - 109001]</t>
  </si>
  <si>
    <t xml:space="preserve">Signature_fdebdfa3-1a51-4f8a-8054-742a3302ae30</t>
  </si>
  <si>
    <t xml:space="preserve">2024-04-30 08:22:18-05:00</t>
  </si>
  <si>
    <t xml:space="preserve">2024:04:30 08:22:18-05:00</t>
  </si>
  <si>
    <t xml:space="preserve">[0 - 69526], [85912 - 90384]</t>
  </si>
  <si>
    <t xml:space="preserve">Signature_689e59ae-3e8b-48da-8224-b4b23ee22bc5</t>
  </si>
  <si>
    <t xml:space="preserve">2024-04-30 08:22:15-05:00</t>
  </si>
  <si>
    <t xml:space="preserve">2024:04:30 08:22:15-05:00</t>
  </si>
  <si>
    <t xml:space="preserve">[0 - 68549], [84935 - 89407]</t>
  </si>
  <si>
    <t xml:space="preserve">Signature_e7c52a60-b4d1-4f9d-a07b-3864c0a8f013</t>
  </si>
  <si>
    <t xml:space="preserve">2024-04-30 08:22:42-05:00</t>
  </si>
  <si>
    <t xml:space="preserve">2024:04:30 08:22:42-05:00</t>
  </si>
  <si>
    <t xml:space="preserve">[0 - 135674], [152060 - 160593]</t>
  </si>
  <si>
    <t xml:space="preserve">Signature_56c0298c-2a1d-4520-94b5-6cb1368dceb6</t>
  </si>
  <si>
    <t xml:space="preserve">2024-04-30 08:22:40-05:00</t>
  </si>
  <si>
    <t xml:space="preserve">2024:04:30 08:22:40-05:00</t>
  </si>
  <si>
    <t xml:space="preserve">[0 - 116057], [132443 - 140976]</t>
  </si>
  <si>
    <t xml:space="preserve">Signature_edfd8cab-dee5-4e9f-bca4-5a90b3f26bdd</t>
  </si>
  <si>
    <t xml:space="preserve">2024-04-30 08:22:38-05:00</t>
  </si>
  <si>
    <t xml:space="preserve">2024:04:30 08:22:38-05:00</t>
  </si>
  <si>
    <t xml:space="preserve">[0 - 136025], [152411 - 160944]</t>
  </si>
  <si>
    <t xml:space="preserve">Signature_c63061a4-5b67-47e1-a7a4-0a7b3336d265</t>
  </si>
  <si>
    <t xml:space="preserve">2024-04-30 08:22:34-05:00</t>
  </si>
  <si>
    <t xml:space="preserve">2024:04:30 08:22:34-05:00</t>
  </si>
  <si>
    <t xml:space="preserve">[0 - 673805], [690191 - 694655]</t>
  </si>
  <si>
    <t xml:space="preserve">45 0 obj</t>
  </si>
  <si>
    <t xml:space="preserve">Signature_6a8a16fb-be51-4d2b-ac27-b4a46e93774d</t>
  </si>
  <si>
    <t xml:space="preserve">2024-04-30 08:22:33-05:00</t>
  </si>
  <si>
    <t xml:space="preserve">2024:04:30 08:22:33-05:00</t>
  </si>
  <si>
    <t xml:space="preserve">[0 - 121873], [138259 - 142735]</t>
  </si>
  <si>
    <t xml:space="preserve">Signature_32681114-3865-4296-977a-91c0bc42a7f5</t>
  </si>
  <si>
    <t xml:space="preserve">2024-04-30 08:22:19-05:00</t>
  </si>
  <si>
    <t xml:space="preserve">2024:04:30 08:22:19-05:00</t>
  </si>
  <si>
    <t xml:space="preserve">[0 - 819107], [835493 - 841063]</t>
  </si>
  <si>
    <t xml:space="preserve">Signature_1aadce6c-d83c-4497-a9db-f44c59ee25e4</t>
  </si>
  <si>
    <t xml:space="preserve">2024-04-30 08:22:39-05:00</t>
  </si>
  <si>
    <t xml:space="preserve">2024:04:30 08:22:39-05:00</t>
  </si>
  <si>
    <t xml:space="preserve">[0 - 109813], [126199 - 134688]</t>
  </si>
  <si>
    <t xml:space="preserve">Signature_411fe041-2550-4bcb-b222-bf1123cd4861</t>
  </si>
  <si>
    <t xml:space="preserve">2024-04-30 08:22:35-05:00</t>
  </si>
  <si>
    <t xml:space="preserve">2024:04:30 08:22:35-05:00</t>
  </si>
  <si>
    <t xml:space="preserve">[0 - 197772], [214158 - 219278]</t>
  </si>
  <si>
    <t xml:space="preserve">601 0 obj</t>
  </si>
  <si>
    <t xml:space="preserve">Signature_61ebee75-7618-4dca-aebc-d2ac33f840e6</t>
  </si>
  <si>
    <t xml:space="preserve">2024-04-30 08:22:26-05:00</t>
  </si>
  <si>
    <t xml:space="preserve">2024:04:30 08:22:26-05:00</t>
  </si>
  <si>
    <t xml:space="preserve">[0 - 116907], [133293 - 141782]</t>
  </si>
  <si>
    <t xml:space="preserve">Signature_18b2cd69-3d3e-4fa5-bd91-89dbf9337118</t>
  </si>
  <si>
    <t xml:space="preserve">2024-04-30 08:22:20-05:00</t>
  </si>
  <si>
    <t xml:space="preserve">2024:04:30 08:22:20-05:00</t>
  </si>
  <si>
    <t xml:space="preserve">[0 - 306777], [323163 - 328154]</t>
  </si>
  <si>
    <t xml:space="preserve">Signature_3c185916-94df-4f5c-a73b-38b58ba0f9d2</t>
  </si>
  <si>
    <t xml:space="preserve">2024-04-30 08:22:36-05:00</t>
  </si>
  <si>
    <t xml:space="preserve">2024:04:30 08:22:36-05:00</t>
  </si>
  <si>
    <t xml:space="preserve">[0 - 566763], [583149 - 587587]</t>
  </si>
  <si>
    <t xml:space="preserve">Signature_30ea1c06-e4d6-4382-828a-5267ea18a7a2</t>
  </si>
  <si>
    <t xml:space="preserve">2024-04-30 08:22:30-05:00</t>
  </si>
  <si>
    <t xml:space="preserve">2024:04:30 08:22:30-05:00</t>
  </si>
  <si>
    <t xml:space="preserve">[0 - 341193], [357579 - 362501]</t>
  </si>
  <si>
    <t xml:space="preserve">210 0 obj</t>
  </si>
  <si>
    <t xml:space="preserve">Signature_a86be384-a26e-4e8e-8e21-06010cd978c4</t>
  </si>
  <si>
    <t xml:space="preserve">2024-04-30 08:22:24-05:00</t>
  </si>
  <si>
    <t xml:space="preserve">2024:04:30 08:22:24-05:00</t>
  </si>
  <si>
    <t xml:space="preserve">[0 - 336770], [353156 - 358081]</t>
  </si>
  <si>
    <t xml:space="preserve">Signature_cc2a3f51-0902-417a-986b-4b22d843c387</t>
  </si>
  <si>
    <t xml:space="preserve">2024-04-30 08:22:37-05:00</t>
  </si>
  <si>
    <t xml:space="preserve">2024:04:30 08:22:37-05:00</t>
  </si>
  <si>
    <t xml:space="preserve">[0 - 428789], [445175 - 449724]</t>
  </si>
  <si>
    <t xml:space="preserve">Signature_62ea10bc-7b21-4ecf-a51d-b4a9e32ffb74</t>
  </si>
  <si>
    <t xml:space="preserve">2024-04-30 08:22:31-05:00</t>
  </si>
  <si>
    <t xml:space="preserve">2022:02:24 12:41:38-06:00</t>
  </si>
  <si>
    <t xml:space="preserve">[0 - 188414], [204800 - 209081]</t>
  </si>
  <si>
    <t xml:space="preserve">Signature_de7d864e-cd9f-4b4f-845f-6019db4a1d49</t>
  </si>
  <si>
    <t xml:space="preserve">2024-04-30 08:22:25-05:00</t>
  </si>
  <si>
    <t xml:space="preserve">2022:09:16 10:25:45-05:00</t>
  </si>
  <si>
    <t xml:space="preserve">[0 - 188621], [205007 - 209288]</t>
  </si>
  <si>
    <t xml:space="preserve">Signature_8a3d05a9-28cc-449f-a291-210f298226ee</t>
  </si>
  <si>
    <t xml:space="preserve">2024-04-30 08:22:21-05:00</t>
  </si>
  <si>
    <t xml:space="preserve">2024:04:30 08:22:21-05:00</t>
  </si>
  <si>
    <t xml:space="preserve">[0 - 156657], [173043 - 178391]</t>
  </si>
  <si>
    <t xml:space="preserve">Signature_9104a1c1-124d-477c-aee5-6f6e42e5a116</t>
  </si>
  <si>
    <t xml:space="preserve">2024-04-30 07:53:19-05:00</t>
  </si>
  <si>
    <t xml:space="preserve">2024:04:30 07:53:19-05:00</t>
  </si>
  <si>
    <t xml:space="preserve">[0 - 971994], [988380 - 994764]</t>
  </si>
  <si>
    <t xml:space="preserve">Signature_b582bef4-d9f8-46b4-ab19-9804356dd8cc</t>
  </si>
  <si>
    <t xml:space="preserve">2024-04-30 07:53:13-05:00</t>
  </si>
  <si>
    <t xml:space="preserve">2024:04:30 07:53:13-05:00</t>
  </si>
  <si>
    <t xml:space="preserve">[0 - 285403], [301789 - 307326]</t>
  </si>
  <si>
    <t xml:space="preserve">289 0 obj</t>
  </si>
  <si>
    <t xml:space="preserve">Signature_31954a1d-27a9-429b-91d7-5899d924716c</t>
  </si>
  <si>
    <t xml:space="preserve">2024-04-30 07:53:28-05:00</t>
  </si>
  <si>
    <t xml:space="preserve">2024:04:30 07:53:28-05:00</t>
  </si>
  <si>
    <t xml:space="preserve">[0 - 351320], [367706 - 373886]</t>
  </si>
  <si>
    <t xml:space="preserve">361 0 obj</t>
  </si>
  <si>
    <t xml:space="preserve">Signature_c20a0372-f975-4fd7-8286-820063851865</t>
  </si>
  <si>
    <t xml:space="preserve">2024-04-30 07:53:29-05:00</t>
  </si>
  <si>
    <t xml:space="preserve">2024:04:30 07:53:29-05:00</t>
  </si>
  <si>
    <t xml:space="preserve">[0 - 481621], [498007 - 501120]</t>
  </si>
  <si>
    <t xml:space="preserve">Signature_a47a4ea7-b589-4097-bf5d-6aa7d528215a</t>
  </si>
  <si>
    <t xml:space="preserve">2024-04-30 07:53:17-05:00</t>
  </si>
  <si>
    <t xml:space="preserve">2024:04:30 07:53:17-05:00</t>
  </si>
  <si>
    <t xml:space="preserve">[0 - 923824], [940210 - 945490]</t>
  </si>
  <si>
    <t xml:space="preserve">247 0 obj</t>
  </si>
  <si>
    <t xml:space="preserve">Signature_b329a0d6-fc32-4e08-bfc1-51ece7756264</t>
  </si>
  <si>
    <t xml:space="preserve">2024-04-30 07:53:22-05:00</t>
  </si>
  <si>
    <t xml:space="preserve">2024:04:30 07:53:22-05:00</t>
  </si>
  <si>
    <t xml:space="preserve">[0 - 797982], [814368 - 819655]</t>
  </si>
  <si>
    <t xml:space="preserve">Signature_190eec63-683b-4604-b4a1-a6217b585ea3</t>
  </si>
  <si>
    <t xml:space="preserve">2024-04-30 07:53:24-05:00</t>
  </si>
  <si>
    <t xml:space="preserve">2024:04:30 07:53:24-05:00</t>
  </si>
  <si>
    <t xml:space="preserve">[0 - 94466], [110852 - 115297]</t>
  </si>
  <si>
    <t xml:space="preserve">Signature_425b3fa7-92f8-4d52-b264-4b94476c9391</t>
  </si>
  <si>
    <t xml:space="preserve">2024-04-30 07:53:09-05:00</t>
  </si>
  <si>
    <t xml:space="preserve">2024:04:30 07:53:09-05:00</t>
  </si>
  <si>
    <t xml:space="preserve">[0 - 173661], [190047 - 195593]</t>
  </si>
  <si>
    <t xml:space="preserve">Signature_1c7c79bb-8661-4883-8b3e-a8ed639bed64</t>
  </si>
  <si>
    <t xml:space="preserve">2024-04-30 07:53:08-05:00</t>
  </si>
  <si>
    <t xml:space="preserve">2024:04:30 07:53:08-05:00</t>
  </si>
  <si>
    <t xml:space="preserve">[0 - 92894], [109280 - 113725]</t>
  </si>
  <si>
    <t xml:space="preserve">Signature_f7c9b5d1-b6e4-41ae-ae4c-aa25f3328fc0</t>
  </si>
  <si>
    <t xml:space="preserve">2024-04-30 07:53:23-05:00</t>
  </si>
  <si>
    <t xml:space="preserve">2024:04:30 07:53:23-05:00</t>
  </si>
  <si>
    <t xml:space="preserve">[0 - 125870], [142256 - 146885]</t>
  </si>
  <si>
    <t xml:space="preserve">Signature_3e6210a0-d020-48f4-b1e6-ad59bc541dbc</t>
  </si>
  <si>
    <t xml:space="preserve">2024-04-30 07:53:27-05:00</t>
  </si>
  <si>
    <t xml:space="preserve">2024:04:30 07:53:27-05:00</t>
  </si>
  <si>
    <t xml:space="preserve">[0 - 718708], [735094 - 739584]</t>
  </si>
  <si>
    <t xml:space="preserve">Signature_3d75add6-a7ba-4e35-9915-976910795074</t>
  </si>
  <si>
    <t xml:space="preserve">2024-04-30 07:53:25-05:00</t>
  </si>
  <si>
    <t xml:space="preserve">2024:04:30 07:53:25-05:00</t>
  </si>
  <si>
    <t xml:space="preserve">[0 - 717013], [733399 - 737868]</t>
  </si>
  <si>
    <t xml:space="preserve">Signature_83c6dff8-093a-4e79-a5b4-e8109e741e1f</t>
  </si>
  <si>
    <t xml:space="preserve">2024-04-30 07:53:15-05:00</t>
  </si>
  <si>
    <t xml:space="preserve">2024:04:30 07:53:15-05:00</t>
  </si>
  <si>
    <t xml:space="preserve">[0 - 821985], [838371 - 843943]</t>
  </si>
  <si>
    <t xml:space="preserve">Signature_035205df-222f-4098-a2b7-acf56655f2e6</t>
  </si>
  <si>
    <t xml:space="preserve">2024-04-30 07:53:12-05:00</t>
  </si>
  <si>
    <t xml:space="preserve">2024:04:30 07:53:12-05:00</t>
  </si>
  <si>
    <t xml:space="preserve">[0 - 820783], [837169 - 842742]</t>
  </si>
  <si>
    <t xml:space="preserve">Signature_aa6c319a-7311-4cb3-83e4-8073bbee9b1e</t>
  </si>
  <si>
    <t xml:space="preserve">2024-04-30 07:53:18-05:00</t>
  </si>
  <si>
    <t xml:space="preserve">2024:04:30 07:53:18-05:00</t>
  </si>
  <si>
    <t xml:space="preserve">[0 - 735086], [751472 - 757265]</t>
  </si>
  <si>
    <t xml:space="preserve">341 0 obj</t>
  </si>
  <si>
    <t xml:space="preserve">Signature_e05660c6-e4c6-4b12-addd-1a0cf50f0d78</t>
  </si>
  <si>
    <t xml:space="preserve">2024-04-30 07:53:16-05:00</t>
  </si>
  <si>
    <t xml:space="preserve">2024:04:30 07:53:16-05:00</t>
  </si>
  <si>
    <t xml:space="preserve">[0 - 856436], [872822 - 877795]</t>
  </si>
  <si>
    <t xml:space="preserve">Signature_91945ad3-90a7-4eb9-ae57-9aa704787d34</t>
  </si>
  <si>
    <t xml:space="preserve">2024-04-30 07:53:11-05:00</t>
  </si>
  <si>
    <t xml:space="preserve">2024:04:30 07:53:11-05:00</t>
  </si>
  <si>
    <t xml:space="preserve">[0 - 847230], [863616 - 868584]</t>
  </si>
  <si>
    <t xml:space="preserve">Signature_e96a67c9-4f24-4196-8f0a-8c3436895d4f</t>
  </si>
  <si>
    <t xml:space="preserve">2024-04-30 07:53:20-05:00</t>
  </si>
  <si>
    <t xml:space="preserve">2024:04:30 07:53:20-05:00</t>
  </si>
  <si>
    <t xml:space="preserve">[0 - 542542], [558928 - 563390]</t>
  </si>
  <si>
    <t xml:space="preserve">Signature_8d82df78-41f6-4fb6-b118-64508627f231</t>
  </si>
  <si>
    <t xml:space="preserve">[0 - 1686643], [1703029 - 1707875]</t>
  </si>
  <si>
    <t xml:space="preserve">1063 0 obj</t>
  </si>
  <si>
    <t xml:space="preserve">Signature_5f5e1888-8b35-456c-9104-d365199c9cf2</t>
  </si>
  <si>
    <t xml:space="preserve">2024-04-30 07:53:14-05:00</t>
  </si>
  <si>
    <t xml:space="preserve">2024:04:30 07:53:14-05:00</t>
  </si>
  <si>
    <t xml:space="preserve">[0 - 74017], [90403 - 98897]</t>
  </si>
  <si>
    <t xml:space="preserve">Signature_2ea3ae38-fd0b-4eeb-9146-bb94d7bd1560</t>
  </si>
  <si>
    <t xml:space="preserve">2024-04-30 07:54:29-05:00</t>
  </si>
  <si>
    <t xml:space="preserve">2024:04:30 07:54:29-05:00</t>
  </si>
  <si>
    <t xml:space="preserve">[0 - 165186], [181572 - 186823]</t>
  </si>
  <si>
    <t xml:space="preserve">Signature_6a03901f-0a31-4661-a9f3-2c7754e7ac1c</t>
  </si>
  <si>
    <t xml:space="preserve">2024-04-30 07:54:27-05:00</t>
  </si>
  <si>
    <t xml:space="preserve">2024:04:30 07:54:27-05:00</t>
  </si>
  <si>
    <t xml:space="preserve">[0 - 43746], [60132 - 65266]</t>
  </si>
  <si>
    <t xml:space="preserve">Signature_6f091447-4125-4be7-b8a2-c8ea7c39f03c</t>
  </si>
  <si>
    <t xml:space="preserve">2024-04-30 07:54:31-05:00</t>
  </si>
  <si>
    <t xml:space="preserve">2024:04:30 07:54:31-05:00</t>
  </si>
  <si>
    <t xml:space="preserve">[0 - 63250], [79636 - 84806]</t>
  </si>
  <si>
    <t xml:space="preserve">Signature_00c6bcd2-37c3-4610-8839-dce74c0704a8</t>
  </si>
  <si>
    <t xml:space="preserve">2024-04-30 07:54:32-05:00</t>
  </si>
  <si>
    <t xml:space="preserve">2024:04:30 07:54:32-05:00</t>
  </si>
  <si>
    <t xml:space="preserve">[0 - 119806], [136192 - 141392]</t>
  </si>
  <si>
    <t xml:space="preserve">Signature_56bd3313-02e7-44ce-9307-943adf823d03</t>
  </si>
  <si>
    <t xml:space="preserve">2024-04-30 07:54:55-05:00</t>
  </si>
  <si>
    <t xml:space="preserve">2024:04:30 07:54:55-05:00</t>
  </si>
  <si>
    <t xml:space="preserve">[0 - 322192], [338578 - 344397]</t>
  </si>
  <si>
    <t xml:space="preserve">445 0 obj</t>
  </si>
  <si>
    <t xml:space="preserve">Signature_dfb45c7d-4e45-4803-b237-af850d2d6af0</t>
  </si>
  <si>
    <t xml:space="preserve">2024-04-30 07:54:58-05:00</t>
  </si>
  <si>
    <t xml:space="preserve">2024:04:30 07:54:59-05:00</t>
  </si>
  <si>
    <t xml:space="preserve">[0 - 486691], [503077 - 506245]</t>
  </si>
  <si>
    <t xml:space="preserve">Signature_06fc50e7-f146-4f1a-bb31-8b27b18ff055</t>
  </si>
  <si>
    <t xml:space="preserve">2024-04-30 07:54:04-05:00</t>
  </si>
  <si>
    <t xml:space="preserve">2024:04:30 07:54:04-05:00</t>
  </si>
  <si>
    <t xml:space="preserve">[0 - 211849], [228235 - 236766]</t>
  </si>
  <si>
    <t xml:space="preserve">Signature_cd7ce2cd-508a-4cac-9cdb-67b2ecb0ab89</t>
  </si>
  <si>
    <t xml:space="preserve">2024-04-30 07:54:47-05:00</t>
  </si>
  <si>
    <t xml:space="preserve">2024:04:30 07:54:47-05:00</t>
  </si>
  <si>
    <t xml:space="preserve">[0 - 87337], [103723 - 112211]</t>
  </si>
  <si>
    <t xml:space="preserve">Signature_eaf29f15-a92e-460a-8dd2-1a768c60cf86</t>
  </si>
  <si>
    <t xml:space="preserve">2024-04-30 07:54:49-05:00</t>
  </si>
  <si>
    <t xml:space="preserve">2024:04:30 07:54:49-05:00</t>
  </si>
  <si>
    <t xml:space="preserve">[0 - 190843], [207229 - 215762]</t>
  </si>
  <si>
    <t xml:space="preserve">Signature_af1248ce-a8ee-4d45-a0ff-5c0c519c5c8a</t>
  </si>
  <si>
    <t xml:space="preserve">2024-04-30 07:54:34-05:00</t>
  </si>
  <si>
    <t xml:space="preserve">2024:04:30 07:54:34-05:00</t>
  </si>
  <si>
    <t xml:space="preserve">[0 - 217260], [233646 - 242177]</t>
  </si>
  <si>
    <t xml:space="preserve">Signature_f2768eb7-5057-4541-982d-a1b8fa8c1cfd</t>
  </si>
  <si>
    <t xml:space="preserve">2024-04-30 07:54:35-05:00</t>
  </si>
  <si>
    <t xml:space="preserve">2024:04:30 07:54:35-05:00</t>
  </si>
  <si>
    <t xml:space="preserve">[0 - 743993], [760379 - 765572]</t>
  </si>
  <si>
    <t xml:space="preserve">Signature_4febbe42-e952-43e5-940a-cb441c1bee17</t>
  </si>
  <si>
    <t xml:space="preserve">2024-04-30 07:54:44-05:00</t>
  </si>
  <si>
    <t xml:space="preserve">2024:04:30 07:54:44-05:00</t>
  </si>
  <si>
    <t xml:space="preserve">[0 - 310149], [326535 - 335024]</t>
  </si>
  <si>
    <t xml:space="preserve">Signature_5ae4d2a2-41e7-47d4-a98b-24f92624b575</t>
  </si>
  <si>
    <t xml:space="preserve">2024-04-30 07:54:42-05:00</t>
  </si>
  <si>
    <t xml:space="preserve">2024:04:30 07:54:42-05:00</t>
  </si>
  <si>
    <t xml:space="preserve">[0 - 67110], [83496 - 91983]</t>
  </si>
  <si>
    <t xml:space="preserve">Signature_daa16a2d-c157-49e8-afe0-01c4f99590f4</t>
  </si>
  <si>
    <t xml:space="preserve">2024-04-30 07:54:37-05:00</t>
  </si>
  <si>
    <t xml:space="preserve">2024:04:30 07:54:37-05:00</t>
  </si>
  <si>
    <t xml:space="preserve">[0 - 268874], [285260 - 293747]</t>
  </si>
  <si>
    <t xml:space="preserve">Signature_e2d84060-845b-4d6d-af6e-05b72a10639b</t>
  </si>
  <si>
    <t xml:space="preserve">2024-04-30 07:54:06-05:00</t>
  </si>
  <si>
    <t xml:space="preserve">2024:04:30 07:54:06-05:00</t>
  </si>
  <si>
    <t xml:space="preserve">[0 - 151463], [167849 - 173176]</t>
  </si>
  <si>
    <t xml:space="preserve">Signature_b0c13d60-caa6-4547-97a0-a3acf70bd199</t>
  </si>
  <si>
    <t xml:space="preserve">2024-04-30 07:54:23-05:00</t>
  </si>
  <si>
    <t xml:space="preserve">2024:04:30 07:54:23-05:00</t>
  </si>
  <si>
    <t xml:space="preserve">[0 - 60528], [76914 - 78564]</t>
  </si>
  <si>
    <t xml:space="preserve">Signature_64932e82-c35a-4abb-b549-0d8281838c1f</t>
  </si>
  <si>
    <t xml:space="preserve">2024-04-30 07:54:46-05:00</t>
  </si>
  <si>
    <t xml:space="preserve">2024:04:30 07:54:46-05:00</t>
  </si>
  <si>
    <t xml:space="preserve">[0 - 723250], [739636 - 744214]</t>
  </si>
  <si>
    <t xml:space="preserve">Signature_1f02b626-efb0-492e-9414-8275e009160c</t>
  </si>
  <si>
    <t xml:space="preserve">2024-04-30 07:54:25-05:00</t>
  </si>
  <si>
    <t xml:space="preserve">2024:04:30 07:54:25-05:00</t>
  </si>
  <si>
    <t xml:space="preserve">[0 - 536408], [552794 - 561325]</t>
  </si>
  <si>
    <t xml:space="preserve">Signature_2ab5bbf1-ef34-464a-97c6-69f061e64270</t>
  </si>
  <si>
    <t xml:space="preserve">2024-04-30 07:54:21-05:00</t>
  </si>
  <si>
    <t xml:space="preserve">2024:04:30 07:54:21-05:00</t>
  </si>
  <si>
    <t xml:space="preserve">[0 - 576213], [592599 - 601130]</t>
  </si>
  <si>
    <t xml:space="preserve">Signature_cf3f36b4-b15c-43e9-9952-5c6138a33db9</t>
  </si>
  <si>
    <t xml:space="preserve">2024-04-30 07:54:20-05:00</t>
  </si>
  <si>
    <t xml:space="preserve">2024:04:30 07:54:20-05:00</t>
  </si>
  <si>
    <t xml:space="preserve">[0 - 667765], [684151 - 688611]</t>
  </si>
  <si>
    <t xml:space="preserve">Signature_b1adcee8-9521-44a9-af16-f08b12d29f5d</t>
  </si>
  <si>
    <t xml:space="preserve">2024-04-30 07:54:17-05:00</t>
  </si>
  <si>
    <t xml:space="preserve">2024:04:30 07:54:17-05:00</t>
  </si>
  <si>
    <t xml:space="preserve">[0 - 734050], [750436 - 755010]</t>
  </si>
  <si>
    <t xml:space="preserve">Signature_d44a8e88-3d4f-495c-afb5-1d21dd91a79f</t>
  </si>
  <si>
    <t xml:space="preserve">2024-04-30 07:54:12-05:00</t>
  </si>
  <si>
    <t xml:space="preserve">2024:04:30 07:54:12-05:00</t>
  </si>
  <si>
    <t xml:space="preserve">[0 - 693427], [709813 - 715094]</t>
  </si>
  <si>
    <t xml:space="preserve">Signature_688fe04b-32c6-48a7-a479-df7d3ed9a5f7</t>
  </si>
  <si>
    <t xml:space="preserve">2024-04-30 07:54:10-05:00</t>
  </si>
  <si>
    <t xml:space="preserve">2024:04:30 07:54:10-05:00</t>
  </si>
  <si>
    <t xml:space="preserve">Signature_2553e27d-9cd3-40d6-acfc-b85b207f22f2</t>
  </si>
  <si>
    <t xml:space="preserve">2024-04-30 07:54:07-05:00</t>
  </si>
  <si>
    <t xml:space="preserve">2024:04:30 07:54:07-05:00</t>
  </si>
  <si>
    <t xml:space="preserve">Signature_c4c1a917-b1c6-43e2-ae7d-75cccbe4954d</t>
  </si>
  <si>
    <t xml:space="preserve">2024-04-30 07:54:38-05:00</t>
  </si>
  <si>
    <t xml:space="preserve">2024:04:30 07:54:38-05:00</t>
  </si>
  <si>
    <t xml:space="preserve">[0 - 99851], [116237 - 120902]</t>
  </si>
  <si>
    <t xml:space="preserve">Signature_3883e772-5b05-4af3-b136-b47ec0eb6603</t>
  </si>
  <si>
    <t xml:space="preserve">2024-04-30 07:54:56-05:00</t>
  </si>
  <si>
    <t xml:space="preserve">2024:04:30 07:54:56-05:00</t>
  </si>
  <si>
    <t xml:space="preserve">[0 - 795817], [812203 - 820736]</t>
  </si>
  <si>
    <t xml:space="preserve">Signature_5b23d897-a517-455c-88f3-2f83be0e67c6</t>
  </si>
  <si>
    <t xml:space="preserve">2024-04-30 07:54:54-05:00</t>
  </si>
  <si>
    <t xml:space="preserve">2024:04:30 07:54:54-05:00</t>
  </si>
  <si>
    <t xml:space="preserve">[0 - 133836], [150222 - 158755]</t>
  </si>
  <si>
    <t xml:space="preserve">Signature_9b91fef9-84cd-4bb3-b5ce-0acbd067f244</t>
  </si>
  <si>
    <t xml:space="preserve">2024-04-30 07:54:51-05:00</t>
  </si>
  <si>
    <t xml:space="preserve">2024:04:30 07:54:51-05:00</t>
  </si>
  <si>
    <t xml:space="preserve">[0 - 116077], [132463 - 136706]</t>
  </si>
  <si>
    <t xml:space="preserve">Signature_6f87038d-f516-4cca-aae8-8752d076641f</t>
  </si>
  <si>
    <t xml:space="preserve">2024-04-30 07:54:43-05:00</t>
  </si>
  <si>
    <t xml:space="preserve">2024:04:30 07:54:43-05:00</t>
  </si>
  <si>
    <t xml:space="preserve">[0 - 139312], [155698 - 164231]</t>
  </si>
  <si>
    <t xml:space="preserve">Signature_5f3bf727-af06-4f8d-9b05-46f9d1770a52</t>
  </si>
  <si>
    <t xml:space="preserve">2024-04-30 07:54:18-05:00</t>
  </si>
  <si>
    <t xml:space="preserve">2024:04:30 07:54:18-05:00</t>
  </si>
  <si>
    <t xml:space="preserve">[0 - 219768], [236154 - 240895]</t>
  </si>
  <si>
    <t xml:space="preserve">Signature_299dd48d-e412-4c73-9428-28b5632d890a</t>
  </si>
  <si>
    <t xml:space="preserve">2024-04-30 07:54:15-05:00</t>
  </si>
  <si>
    <t xml:space="preserve">2024:04:30 07:54:15-05:00</t>
  </si>
  <si>
    <t xml:space="preserve">[0 - 235040], [251426 - 256078]</t>
  </si>
  <si>
    <t xml:space="preserve">Signature_8cbfa1d6-4afc-4ac2-9979-03bbdbaab92e</t>
  </si>
  <si>
    <t xml:space="preserve">2024-04-30 07:54:13-05:00</t>
  </si>
  <si>
    <t xml:space="preserve">2024:04:30 07:54:13-05:00</t>
  </si>
  <si>
    <t xml:space="preserve">[0 - 824186], [840572 - 846141]</t>
  </si>
  <si>
    <t xml:space="preserve">Signature_8e67e8a2-707c-4a65-8b1a-c55b9c0ebc5d</t>
  </si>
  <si>
    <t xml:space="preserve">2024-04-30 07:54:11-05:00</t>
  </si>
  <si>
    <t xml:space="preserve">2024:04:30 07:54:11-05:00</t>
  </si>
  <si>
    <t xml:space="preserve">[0 - 838444], [854830 - 859426]</t>
  </si>
  <si>
    <t xml:space="preserve">Signature_1a1827da-1c10-4de6-ba4a-815f6238d5ff</t>
  </si>
  <si>
    <t xml:space="preserve">2024-04-30 07:54:08-05:00</t>
  </si>
  <si>
    <t xml:space="preserve">2024:04:30 07:54:08-05:00</t>
  </si>
  <si>
    <t xml:space="preserve">Signature_2fb5919b-32ea-42fa-a65d-4ade01035558</t>
  </si>
  <si>
    <t xml:space="preserve">2024-04-30 07:54:00-05:00</t>
  </si>
  <si>
    <t xml:space="preserve">2024:04:30 07:54:00-05:00</t>
  </si>
  <si>
    <t xml:space="preserve">[0 - 234679], [251065 - 255674]</t>
  </si>
  <si>
    <t xml:space="preserve">Signature_94c5b947-f33c-47be-8d2b-3b56b6caddef</t>
  </si>
  <si>
    <t xml:space="preserve">2024-04-30 07:54:26-05:00</t>
  </si>
  <si>
    <t xml:space="preserve">2024:04:30 07:54:26-05:00</t>
  </si>
  <si>
    <t xml:space="preserve">[0 - 689771], [706157 - 711328]</t>
  </si>
  <si>
    <t xml:space="preserve">Signature_96ba6880-111b-4794-b8c1-775a15243ed1</t>
  </si>
  <si>
    <t xml:space="preserve">2024-04-30 07:54:19-05:00</t>
  </si>
  <si>
    <t xml:space="preserve">2024:04:30 07:54:19-05:00</t>
  </si>
  <si>
    <t xml:space="preserve">[0 - 781445], [797831 - 802972]</t>
  </si>
  <si>
    <t xml:space="preserve">Signature_9ff938a4-95ec-45db-940d-211eea9ece18</t>
  </si>
  <si>
    <t xml:space="preserve">2024-04-30 07:54:14-05:00</t>
  </si>
  <si>
    <t xml:space="preserve">2024:04:30 07:54:14-05:00</t>
  </si>
  <si>
    <t xml:space="preserve">Signature_23f3b218-4459-4270-802f-b3bfbda56206</t>
  </si>
  <si>
    <t xml:space="preserve">2024-04-30 07:54:09-05:00</t>
  </si>
  <si>
    <t xml:space="preserve">2024:04:30 07:54:09-05:00</t>
  </si>
  <si>
    <t xml:space="preserve">Signature_797ac5c9-7502-4cab-8b8d-aefe420b13cc</t>
  </si>
  <si>
    <t xml:space="preserve">2024-04-30 07:54:05-05:00</t>
  </si>
  <si>
    <t xml:space="preserve">2024:04:30 07:54:05-05:00</t>
  </si>
  <si>
    <t xml:space="preserve">[0 - 1092504], [1108890 - 1117423]</t>
  </si>
  <si>
    <t xml:space="preserve">Signature_381096c1-3a43-4479-96d5-26024df8a00b</t>
  </si>
  <si>
    <t xml:space="preserve">2024-04-30 07:54:57-05:00</t>
  </si>
  <si>
    <t xml:space="preserve">2024:04:30 07:54:57-05:00</t>
  </si>
  <si>
    <t xml:space="preserve">[0 - 833612], [849998 - 858487]</t>
  </si>
  <si>
    <t xml:space="preserve">Signature_d7dd3967-8c27-4e7f-b353-04933e2a1f3d</t>
  </si>
  <si>
    <t xml:space="preserve">2024-04-30 07:54:52-05:00</t>
  </si>
  <si>
    <t xml:space="preserve">2024:04:30 07:54:52-05:00</t>
  </si>
  <si>
    <t xml:space="preserve">[0 - 3126413], [3142799 - 3147735]</t>
  </si>
  <si>
    <t xml:space="preserve">Signature_c901a213-3185-4e54-8e17-dfba4b1db116</t>
  </si>
  <si>
    <t xml:space="preserve">2024-04-30 07:54:50-05:00</t>
  </si>
  <si>
    <t xml:space="preserve">2024:04:30 07:54:50-05:00</t>
  </si>
  <si>
    <t xml:space="preserve">[0 - 291082], [307468 - 313290]</t>
  </si>
  <si>
    <t xml:space="preserve">411 0 obj</t>
  </si>
  <si>
    <t xml:space="preserve">Signature_248d556f-dc9c-4664-9432-711149f8b23a</t>
  </si>
  <si>
    <t xml:space="preserve">2024-04-30 07:54:36-05:00</t>
  </si>
  <si>
    <t xml:space="preserve">2024:04:30 07:54:36-05:00</t>
  </si>
  <si>
    <t xml:space="preserve">[0 - 205065], [221451 - 226600]</t>
  </si>
  <si>
    <t xml:space="preserve">146 0 obj</t>
  </si>
  <si>
    <t xml:space="preserve">Signature_b60aec7e-4114-4393-b834-b084ca27c7ff</t>
  </si>
  <si>
    <t xml:space="preserve">2024-04-30 07:54:24-05:00</t>
  </si>
  <si>
    <t xml:space="preserve">2024:04:30 07:54:24-05:00</t>
  </si>
  <si>
    <t xml:space="preserve">[0 - 149050], [165436 - 169968]</t>
  </si>
  <si>
    <t xml:space="preserve">Signature_c5dc796c-42f5-425d-9a6c-615659cd6da3</t>
  </si>
  <si>
    <t xml:space="preserve">2024-04-30 07:54:40-05:00</t>
  </si>
  <si>
    <t xml:space="preserve">2024:04:30 07:54:40-05:00</t>
  </si>
  <si>
    <t xml:space="preserve">[0 - 401453], [417839 - 422301]</t>
  </si>
  <si>
    <t xml:space="preserve">92 0 obj</t>
  </si>
  <si>
    <t xml:space="preserve">Signature_6eabd14d-9735-4c8d-9034-67d93a1b5d88</t>
  </si>
  <si>
    <t xml:space="preserve">2024-04-30 07:54:02-05:00</t>
  </si>
  <si>
    <t xml:space="preserve">2024:04:30 07:54:02-05:00</t>
  </si>
  <si>
    <t xml:space="preserve">[0 - 302750], [319136 - 324029]</t>
  </si>
  <si>
    <t xml:space="preserve">Signature_1da6f073-342f-4291-84e1-d3d89612e476</t>
  </si>
  <si>
    <t xml:space="preserve">2024-04-30 07:54:30-05:00</t>
  </si>
  <si>
    <t xml:space="preserve">2024:04:30 07:54:30-05:00</t>
  </si>
  <si>
    <t xml:space="preserve">[0 - 44728], [61114 - 66285]</t>
  </si>
  <si>
    <t xml:space="preserve">Signature_ed54dd33-3f92-4543-bbab-ce17fc7bbc0f</t>
  </si>
  <si>
    <t xml:space="preserve">2024-04-30 07:54:41-05:00</t>
  </si>
  <si>
    <t xml:space="preserve">2024:04:30 07:54:41-05:00</t>
  </si>
  <si>
    <t xml:space="preserve">[0 - 327618], [344004 - 348681]</t>
  </si>
  <si>
    <t xml:space="preserve">Signature_0ccd6239-0e00-4b91-85e0-cb13a1b3bf5e</t>
  </si>
  <si>
    <t xml:space="preserve">2024-04-30 07:54:28-05:00</t>
  </si>
  <si>
    <t xml:space="preserve">2024:04:30 07:54:28-05:00</t>
  </si>
  <si>
    <t xml:space="preserve">[0 - 116181], [132567 - 137706]</t>
  </si>
  <si>
    <t xml:space="preserve">76 0 obj</t>
  </si>
  <si>
    <t xml:space="preserve">Signature_ef77b31b-45a0-49dd-9d12-a2804c233d6a</t>
  </si>
  <si>
    <t xml:space="preserve">2024-04-30 07:54:03-05:00</t>
  </si>
  <si>
    <t xml:space="preserve">2024:04:30 07:54:03-05:00</t>
  </si>
  <si>
    <t xml:space="preserve">[0 - 151216], [167602 - 172754]</t>
  </si>
  <si>
    <t xml:space="preserve">Signature_d0efe4df-64df-49a4-b8de-9ac811e36367</t>
  </si>
  <si>
    <t xml:space="preserve">2024-04-30 07:54:53-05:00</t>
  </si>
  <si>
    <t xml:space="preserve">2024:04:30 07:54:53-05:00</t>
  </si>
  <si>
    <t xml:space="preserve">[0 - 262020], [278406 - 286895]</t>
  </si>
  <si>
    <t xml:space="preserve">Signature_b849f42d-23c3-46fb-afab-34e832bf0ae6</t>
  </si>
  <si>
    <t xml:space="preserve">2024-04-30 07:54:45-05:00</t>
  </si>
  <si>
    <t xml:space="preserve">2024:04:30 07:54:45-05:00</t>
  </si>
  <si>
    <t xml:space="preserve">[0 - 121787], [138173 - 146662]</t>
  </si>
  <si>
    <t xml:space="preserve">Signature_d65cb243-c6dd-4cdb-88f5-9de861cd7a5c</t>
  </si>
  <si>
    <t xml:space="preserve">2024-04-30 07:54:22-05:00</t>
  </si>
  <si>
    <t xml:space="preserve">2024:04:30 07:54:22-05:00</t>
  </si>
  <si>
    <t xml:space="preserve">Signature_6fd27b7e-02c9-4b10-9150-89fcb759ba91</t>
  </si>
  <si>
    <t xml:space="preserve">2024-04-30 07:53:59-05:00</t>
  </si>
  <si>
    <t xml:space="preserve">2024:04:30 07:53:59-05:00</t>
  </si>
  <si>
    <t xml:space="preserve">[0 - 85471], [101857 - 110387]</t>
  </si>
  <si>
    <t xml:space="preserve">Signature_490aa087-bc80-4974-b25c-9bfb1c136731</t>
  </si>
  <si>
    <t xml:space="preserve">2024-04-30 07:54:39-05:00</t>
  </si>
  <si>
    <t xml:space="preserve">2024:04:30 07:54:39-05:00</t>
  </si>
  <si>
    <t xml:space="preserve">[0 - 76208], [92594 - 97721]</t>
  </si>
  <si>
    <t xml:space="preserve">Signature_cc946986-d6eb-4ff9-8ecd-cf43da27142f</t>
  </si>
  <si>
    <t xml:space="preserve">2024-04-30 08:23:41-05:00</t>
  </si>
  <si>
    <t xml:space="preserve">2024:04:30 08:23:41-05:00</t>
  </si>
  <si>
    <t xml:space="preserve">[0 - 165242], [181628 - 186880]</t>
  </si>
  <si>
    <t xml:space="preserve">Signature_e9004d52-4dcc-43e0-bc6e-650debdb7f8e</t>
  </si>
  <si>
    <t xml:space="preserve">2024-04-30 08:23:38-05:00</t>
  </si>
  <si>
    <t xml:space="preserve">2024:04:30 08:23:38-05:00</t>
  </si>
  <si>
    <t xml:space="preserve">[0 - 43768], [60154 - 65289]</t>
  </si>
  <si>
    <t xml:space="preserve">Signature_6c314a82-06e4-4159-87f2-7391d3d8db02</t>
  </si>
  <si>
    <t xml:space="preserve">2024-04-30 08:23:43-05:00</t>
  </si>
  <si>
    <t xml:space="preserve">2024:04:30 08:23:43-05:00</t>
  </si>
  <si>
    <t xml:space="preserve">[0 - 63581], [79967 - 85136]</t>
  </si>
  <si>
    <t xml:space="preserve">Signature_475d31fd-2502-4a29-8280-d4a8b31f50d8</t>
  </si>
  <si>
    <t xml:space="preserve">2024-04-30 08:23:44-05:00</t>
  </si>
  <si>
    <t xml:space="preserve">2024:04:30 08:23:44-05:00</t>
  </si>
  <si>
    <t xml:space="preserve">[0 - 119798], [136184 - 141384]</t>
  </si>
  <si>
    <t xml:space="preserve">Signature_f1839034-8795-4f06-8daa-35a60efd02ba</t>
  </si>
  <si>
    <t xml:space="preserve">2024-04-30 08:23:59-05:00</t>
  </si>
  <si>
    <t xml:space="preserve">2024:04:30 08:23:59-05:00</t>
  </si>
  <si>
    <t xml:space="preserve">[0 - 281368], [297754 - 303575]</t>
  </si>
  <si>
    <t xml:space="preserve">426 0 obj</t>
  </si>
  <si>
    <t xml:space="preserve">Signature_296667df-acd7-427e-aada-55a5c4955086</t>
  </si>
  <si>
    <t xml:space="preserve">2024-04-30 08:24:03-05:00</t>
  </si>
  <si>
    <t xml:space="preserve">2024:04:30 08:24:03-05:00</t>
  </si>
  <si>
    <t xml:space="preserve">[0 - 485091], [501477 - 504645]</t>
  </si>
  <si>
    <t xml:space="preserve">Signature_ac75e504-d5ed-464f-82a5-bb1cdd32fdb8</t>
  </si>
  <si>
    <t xml:space="preserve">2024-04-30 08:23:16-05:00</t>
  </si>
  <si>
    <t xml:space="preserve">2024:04:30 08:23:16-05:00</t>
  </si>
  <si>
    <t xml:space="preserve">[0 - 208421], [224807 - 233338]</t>
  </si>
  <si>
    <t xml:space="preserve">Signature_e9017b73-9a6b-4a18-bf54-4ed515c52433</t>
  </si>
  <si>
    <t xml:space="preserve">2024-04-30 08:23:53-05:00</t>
  </si>
  <si>
    <t xml:space="preserve">2024:04:30 08:23:53-05:00</t>
  </si>
  <si>
    <t xml:space="preserve">[0 - 216581], [232967 - 241500]</t>
  </si>
  <si>
    <t xml:space="preserve">Signature_76f6584d-9fe0-4778-b2ba-fbc9fdc72b33</t>
  </si>
  <si>
    <t xml:space="preserve">2024-04-30 08:23:46-05:00</t>
  </si>
  <si>
    <t xml:space="preserve">2024:04:30 08:23:46-05:00</t>
  </si>
  <si>
    <t xml:space="preserve">[0 - 743145], [759531 - 764725]</t>
  </si>
  <si>
    <t xml:space="preserve">Signature_f5531edf-51f8-47b3-a90b-a58b67c27627</t>
  </si>
  <si>
    <t xml:space="preserve">2024-04-30 08:23:58-05:00</t>
  </si>
  <si>
    <t xml:space="preserve">2024:04:30 08:23:58-05:00</t>
  </si>
  <si>
    <t xml:space="preserve">[0 - 312220], [328606 - 337095]</t>
  </si>
  <si>
    <t xml:space="preserve">Signature_756e0f3f-7b3c-4aca-8f47-b3bcc35d49cd</t>
  </si>
  <si>
    <t xml:space="preserve">2024-04-30 08:23:52-05:00</t>
  </si>
  <si>
    <t xml:space="preserve">2024:04:30 08:23:52-05:00</t>
  </si>
  <si>
    <t xml:space="preserve">[0 - 67723], [84109 - 92596]</t>
  </si>
  <si>
    <t xml:space="preserve">Signature_00539128-f28c-4899-9d1c-35766039b039</t>
  </si>
  <si>
    <t xml:space="preserve">2024-04-30 08:23:48-05:00</t>
  </si>
  <si>
    <t xml:space="preserve">2024:04:30 08:23:48-05:00</t>
  </si>
  <si>
    <t xml:space="preserve">[0 - 265530], [281916 - 290403]</t>
  </si>
  <si>
    <t xml:space="preserve">Signature_ba02d91e-494c-4591-aecd-7839dda72163</t>
  </si>
  <si>
    <t xml:space="preserve">2024-04-30 08:23:18-05:00</t>
  </si>
  <si>
    <t xml:space="preserve">2024:04:30 08:23:18-05:00</t>
  </si>
  <si>
    <t xml:space="preserve">[0 - 151464], [167850 - 173174]</t>
  </si>
  <si>
    <t xml:space="preserve">Signature_5eed694e-d44e-4334-b615-c80cc095f136</t>
  </si>
  <si>
    <t xml:space="preserve">2024-04-30 08:23:35-05:00</t>
  </si>
  <si>
    <t xml:space="preserve">2024:04:30 08:23:35-05:00</t>
  </si>
  <si>
    <t xml:space="preserve">[0 - 60565], [76951 - 78601]</t>
  </si>
  <si>
    <t xml:space="preserve">Signature_87bb62ae-087a-4abf-9f68-418e683d7874</t>
  </si>
  <si>
    <t xml:space="preserve">2024-04-30 08:23:49-05:00</t>
  </si>
  <si>
    <t xml:space="preserve">2024:04:30 08:23:49-05:00</t>
  </si>
  <si>
    <t xml:space="preserve">[0 - 324267], [340653 - 349140]</t>
  </si>
  <si>
    <t xml:space="preserve">Signature_ec917bdb-d36d-4514-95c8-7625d096989e</t>
  </si>
  <si>
    <t xml:space="preserve">2024-04-30 08:23:37-05:00</t>
  </si>
  <si>
    <t xml:space="preserve">2024:04:30 08:23:37-05:00</t>
  </si>
  <si>
    <t xml:space="preserve">[0 - 538589], [554975 - 563506]</t>
  </si>
  <si>
    <t xml:space="preserve">Signature_5d45ffbd-b135-4411-8ee4-632f98dbbd25</t>
  </si>
  <si>
    <t xml:space="preserve">2024-04-30 08:23:33-05:00</t>
  </si>
  <si>
    <t xml:space="preserve">2024:04:30 08:23:33-05:00</t>
  </si>
  <si>
    <t xml:space="preserve">[0 - 575151], [591537 - 600068]</t>
  </si>
  <si>
    <t xml:space="preserve">Signature_92e362d6-c8b1-4313-ba4b-0d6830d99bc5</t>
  </si>
  <si>
    <t xml:space="preserve">2024-04-30 08:23:31-05:00</t>
  </si>
  <si>
    <t xml:space="preserve">2024:04:30 08:23:31-05:00</t>
  </si>
  <si>
    <t xml:space="preserve">[0 - 667764], [684150 - 688610]</t>
  </si>
  <si>
    <t xml:space="preserve">Signature_75c26ef7-29b2-4db7-8a4f-98d03738328f</t>
  </si>
  <si>
    <t xml:space="preserve">2024-04-30 08:23:29-05:00</t>
  </si>
  <si>
    <t xml:space="preserve">2024:04:30 08:23:29-05:00</t>
  </si>
  <si>
    <t xml:space="preserve">Signature_0faa9356-5913-4271-a3a2-f404e7ab05a0</t>
  </si>
  <si>
    <t xml:space="preserve">2024-04-30 08:23:24-05:00</t>
  </si>
  <si>
    <t xml:space="preserve">2024:04:30 08:23:24-05:00</t>
  </si>
  <si>
    <t xml:space="preserve">[0 - 693425], [709811 - 715090]</t>
  </si>
  <si>
    <t xml:space="preserve">Signature_853331b8-c069-4d38-a5b5-d6491a59853e</t>
  </si>
  <si>
    <t xml:space="preserve">2024-04-30 08:23:22-05:00</t>
  </si>
  <si>
    <t xml:space="preserve">2024:04:30 08:23:22-05:00</t>
  </si>
  <si>
    <t xml:space="preserve">[0 - 693427], [709813 - 715091]</t>
  </si>
  <si>
    <t xml:space="preserve">Signature_266153b6-fc4c-4687-bc4a-ecad96c8a130</t>
  </si>
  <si>
    <t xml:space="preserve">2024-04-30 08:23:19-05:00</t>
  </si>
  <si>
    <t xml:space="preserve">2024:04:30 08:23:19-05:00</t>
  </si>
  <si>
    <t xml:space="preserve">[0 - 693512], [709898 - 715178]</t>
  </si>
  <si>
    <t xml:space="preserve">Signature_745299cc-a3cc-4a7d-bb35-e30661c76cab</t>
  </si>
  <si>
    <t xml:space="preserve">2024-04-30 08:24:02-05:00</t>
  </si>
  <si>
    <t xml:space="preserve">2024:04:30 08:24:02-05:00</t>
  </si>
  <si>
    <t xml:space="preserve">[0 - 131378], [147764 - 156297]</t>
  </si>
  <si>
    <t xml:space="preserve">Signature_363ef196-5f1d-4153-b2a0-2f4624c35d7f</t>
  </si>
  <si>
    <t xml:space="preserve">2024-04-30 08:23:55-05:00</t>
  </si>
  <si>
    <t xml:space="preserve">2024:04:30 08:23:55-05:00</t>
  </si>
  <si>
    <t xml:space="preserve">[0 - 136116], [152502 - 161035]</t>
  </si>
  <si>
    <t xml:space="preserve">Signature_8bbd02f1-569d-437d-8bdb-5183e284ea7c</t>
  </si>
  <si>
    <t xml:space="preserve">2024-04-30 08:23:32-05:00</t>
  </si>
  <si>
    <t xml:space="preserve">2024:04:30 08:23:32-05:00</t>
  </si>
  <si>
    <t xml:space="preserve">[0 - 219768], [236154 - 240896]</t>
  </si>
  <si>
    <t xml:space="preserve">Signature_d44d9ee2-fa96-45cb-9edc-fde3ccf9f3a3</t>
  </si>
  <si>
    <t xml:space="preserve">2024-04-30 08:23:28-05:00</t>
  </si>
  <si>
    <t xml:space="preserve">2024:04:30 08:23:28-05:00</t>
  </si>
  <si>
    <t xml:space="preserve">[0 - 235040], [251426 - 256080]</t>
  </si>
  <si>
    <t xml:space="preserve">Signature_5ec6abee-8859-4bba-8b96-2a84dcff6d7d</t>
  </si>
  <si>
    <t xml:space="preserve">2024-04-30 08:23:26-05:00</t>
  </si>
  <si>
    <t xml:space="preserve">2024:04:30 08:23:26-05:00</t>
  </si>
  <si>
    <t xml:space="preserve">[0 - 824184], [840570 - 846139]</t>
  </si>
  <si>
    <t xml:space="preserve">Signature_ad0c43f9-c5af-4b7c-8ac0-64e16179031a</t>
  </si>
  <si>
    <t xml:space="preserve">2024-04-30 08:23:23-05:00</t>
  </si>
  <si>
    <t xml:space="preserve">2024:04:30 08:23:23-05:00</t>
  </si>
  <si>
    <t xml:space="preserve">Signature_47e97d18-a1c1-4734-861c-62d20c2d1e94</t>
  </si>
  <si>
    <t xml:space="preserve">2024-04-30 08:23:20-05:00</t>
  </si>
  <si>
    <t xml:space="preserve">2024:04:30 08:23:20-05:00</t>
  </si>
  <si>
    <t xml:space="preserve">[0 - 834839], [851225 - 855822]</t>
  </si>
  <si>
    <t xml:space="preserve">Signature_c2bb88fd-20f1-4fa9-9eef-1b2d0d5a824b</t>
  </si>
  <si>
    <t xml:space="preserve">2024-04-30 08:23:13-05:00</t>
  </si>
  <si>
    <t xml:space="preserve">2024:04:30 08:23:13-05:00</t>
  </si>
  <si>
    <t xml:space="preserve">[0 - 234677], [251063 - 255671]</t>
  </si>
  <si>
    <t xml:space="preserve">Signature_96bc550d-f4d0-4e53-a983-83bf9db56de8</t>
  </si>
  <si>
    <t xml:space="preserve">2024-04-30 08:23:45-05:00</t>
  </si>
  <si>
    <t xml:space="preserve">2024:04:30 08:23:45-05:00</t>
  </si>
  <si>
    <t xml:space="preserve">[0 - 689767], [706153 - 711323]</t>
  </si>
  <si>
    <t xml:space="preserve">Signature_d86adf77-e5c9-4634-91db-1f8a6d457774</t>
  </si>
  <si>
    <t xml:space="preserve">2024-04-30 08:23:30-05:00</t>
  </si>
  <si>
    <t xml:space="preserve">2024:04:30 08:23:30-05:00</t>
  </si>
  <si>
    <t xml:space="preserve">[0 - 781444], [797830 - 802971]</t>
  </si>
  <si>
    <t xml:space="preserve">Signature_b74bd955-7331-4e03-93cb-86f13a31c065</t>
  </si>
  <si>
    <t xml:space="preserve">2024-04-30 08:23:27-05:00</t>
  </si>
  <si>
    <t xml:space="preserve">2024:04:30 08:23:27-05:00</t>
  </si>
  <si>
    <t xml:space="preserve">Signature_973e370b-73ef-4732-b441-1ad8185a6a32</t>
  </si>
  <si>
    <t xml:space="preserve">2024-04-30 08:23:21-05:00</t>
  </si>
  <si>
    <t xml:space="preserve">2024:04:30 08:23:21-05:00</t>
  </si>
  <si>
    <t xml:space="preserve">[0 - 742598], [758984 - 763574]</t>
  </si>
  <si>
    <t xml:space="preserve">Signature_e950a7bb-9afc-4cfa-9c18-c752057e07ce</t>
  </si>
  <si>
    <t xml:space="preserve">2024-04-30 08:24:01-05:00</t>
  </si>
  <si>
    <t xml:space="preserve">2024:04:30 08:24:01-05:00</t>
  </si>
  <si>
    <t xml:space="preserve">[0 - 110846], [127232 - 135721]</t>
  </si>
  <si>
    <t xml:space="preserve">Signature_ef574a7f-3711-4a15-8f23-4f4f1c41abf0</t>
  </si>
  <si>
    <t xml:space="preserve">2024-04-30 08:23:54-05:00</t>
  </si>
  <si>
    <t xml:space="preserve">2024:04:30 08:23:54-05:00</t>
  </si>
  <si>
    <t xml:space="preserve">[0 - 106931], [123317 - 131806]</t>
  </si>
  <si>
    <t xml:space="preserve">Signature_d91c48a4-e7c5-4ae3-8bc5-ccbf71083f37</t>
  </si>
  <si>
    <t xml:space="preserve">2024-04-30 08:23:17-05:00</t>
  </si>
  <si>
    <t xml:space="preserve">2024:04:30 08:23:17-05:00</t>
  </si>
  <si>
    <t xml:space="preserve">[0 - 578324], [594710 - 599230]</t>
  </si>
  <si>
    <t xml:space="preserve">Signature_b34b2d33-63ed-4a0f-aa64-66275d784af1</t>
  </si>
  <si>
    <t xml:space="preserve">2024-04-30 08:23:47-05:00</t>
  </si>
  <si>
    <t xml:space="preserve">2024:04:30 08:23:47-05:00</t>
  </si>
  <si>
    <t xml:space="preserve">[0 - 205061], [221447 - 226596]</t>
  </si>
  <si>
    <t xml:space="preserve">Signature_283a3406-6778-4324-b03c-5b7df2829da4</t>
  </si>
  <si>
    <t xml:space="preserve">2024-04-30 08:23:36-05:00</t>
  </si>
  <si>
    <t xml:space="preserve">2024:04:30 08:23:36-05:00</t>
  </si>
  <si>
    <t xml:space="preserve">[0 - 146066], [162452 - 166984]</t>
  </si>
  <si>
    <t xml:space="preserve">Signature_d1786395-6fce-4e8c-9040-25da096a2fe6</t>
  </si>
  <si>
    <t xml:space="preserve">2024-04-30 08:23:50-05:00</t>
  </si>
  <si>
    <t xml:space="preserve">2024:04:30 08:23:50-05:00</t>
  </si>
  <si>
    <t xml:space="preserve">[0 - 405722], [422108 - 426570]</t>
  </si>
  <si>
    <t xml:space="preserve">94 0 obj</t>
  </si>
  <si>
    <t xml:space="preserve">Signature_8eb5918e-727b-4d4e-89ea-ef3885651757</t>
  </si>
  <si>
    <t xml:space="preserve">2024-04-30 08:23:14-05:00</t>
  </si>
  <si>
    <t xml:space="preserve">2024:04:30 08:23:14-05:00</t>
  </si>
  <si>
    <t xml:space="preserve">[0 - 302773], [319159 - 324054]</t>
  </si>
  <si>
    <t xml:space="preserve">Signature_ab357f70-7bce-4917-bc58-a158e844b63a</t>
  </si>
  <si>
    <t xml:space="preserve">2024-04-30 08:24:00-05:00</t>
  </si>
  <si>
    <t xml:space="preserve">2024:04:30 08:24:00-05:00</t>
  </si>
  <si>
    <t xml:space="preserve">[0 - 81790], [98176 - 106664]</t>
  </si>
  <si>
    <t xml:space="preserve">Signature_1f952a31-2f19-44db-a11f-e37bcc7a00bf</t>
  </si>
  <si>
    <t xml:space="preserve">2024-04-30 08:23:42-05:00</t>
  </si>
  <si>
    <t xml:space="preserve">2024:04:30 08:23:42-05:00</t>
  </si>
  <si>
    <t xml:space="preserve">[0 - 44812], [61198 - 66371]</t>
  </si>
  <si>
    <t xml:space="preserve">Signature_0b463677-75ac-4ac0-8e10-5de5864e8c0a</t>
  </si>
  <si>
    <t xml:space="preserve">2024-04-30 08:23:51-05:00</t>
  </si>
  <si>
    <t xml:space="preserve">2024:04:30 08:23:51-05:00</t>
  </si>
  <si>
    <t xml:space="preserve">[0 - 328558], [344944 - 349621]</t>
  </si>
  <si>
    <t xml:space="preserve">Signature_72d12ff3-c7fb-403d-926f-a97b29ea8995</t>
  </si>
  <si>
    <t xml:space="preserve">2024-04-30 08:23:39-05:00</t>
  </si>
  <si>
    <t xml:space="preserve">2024:04:30 08:23:39-05:00</t>
  </si>
  <si>
    <t xml:space="preserve">[0 - 115969], [132355 - 137496]</t>
  </si>
  <si>
    <t xml:space="preserve">Signature_e96589a3-0df2-4fe8-a4ad-4d711f65a5d9</t>
  </si>
  <si>
    <t xml:space="preserve">2024-04-30 08:23:15-05:00</t>
  </si>
  <si>
    <t xml:space="preserve">2024:04:30 08:23:15-05:00</t>
  </si>
  <si>
    <t xml:space="preserve">[0 - 151270], [167656 - 172809]</t>
  </si>
  <si>
    <t xml:space="preserve">Signature_e6a0a827-34f6-4168-8492-874a6edc36a2</t>
  </si>
  <si>
    <t xml:space="preserve">2024-04-30 08:23:56-05:00</t>
  </si>
  <si>
    <t xml:space="preserve">2024:04:30 08:23:56-05:00</t>
  </si>
  <si>
    <t xml:space="preserve">[0 - 187208], [203594 - 208113]</t>
  </si>
  <si>
    <t xml:space="preserve">Signature_ecf4a64d-7b4c-49e1-acb7-ddcdb5ee6338</t>
  </si>
  <si>
    <t xml:space="preserve">2024-04-30 08:23:34-05:00</t>
  </si>
  <si>
    <t xml:space="preserve">2024:04:30 08:23:34-05:00</t>
  </si>
  <si>
    <t xml:space="preserve">Signature_2720a519-8b86-4507-bc30-fef902698fbb</t>
  </si>
  <si>
    <t xml:space="preserve">2024-04-30 08:23:12-05:00</t>
  </si>
  <si>
    <t xml:space="preserve">2024:04:30 08:23:12-05:00</t>
  </si>
  <si>
    <t xml:space="preserve">[0 - 61284], [77670 - 86155]</t>
  </si>
  <si>
    <t xml:space="preserve">Signature_912399cd-84ce-4db8-974b-6dffdc669d7a</t>
  </si>
  <si>
    <t xml:space="preserve">2024-04-30 08:24:34-05:00</t>
  </si>
  <si>
    <t xml:space="preserve">2024:04:30 08:24:34-05:00</t>
  </si>
  <si>
    <t xml:space="preserve">[0 - 221141], [237527 - 242914]</t>
  </si>
  <si>
    <t xml:space="preserve">Signature_5d0d4c05-79c8-4979-a357-697b3bbe9201</t>
  </si>
  <si>
    <t xml:space="preserve">2024-04-30 08:24:45-05:00</t>
  </si>
  <si>
    <t xml:space="preserve">2024:04:30 08:24:45-05:00</t>
  </si>
  <si>
    <t xml:space="preserve">[0 - 447239], [463625 - 469450]</t>
  </si>
  <si>
    <t xml:space="preserve">473 0 obj</t>
  </si>
  <si>
    <t xml:space="preserve">Signature_65e356f6-52a3-437f-b41c-5596713efc17</t>
  </si>
  <si>
    <t xml:space="preserve">2024-04-30 08:24:31-05:00</t>
  </si>
  <si>
    <t xml:space="preserve">2024:04:30 08:24:31-05:00</t>
  </si>
  <si>
    <t xml:space="preserve">[0 - 117702], [134088 - 139739]</t>
  </si>
  <si>
    <t xml:space="preserve">140 0 obj</t>
  </si>
  <si>
    <t xml:space="preserve">Signature_32336c7f-e2a4-49ba-bb82-9c0c18d7cf4e</t>
  </si>
  <si>
    <t xml:space="preserve">2024-04-30 08:24:48-05:00</t>
  </si>
  <si>
    <t xml:space="preserve">2024:04:30 08:24:49-05:00</t>
  </si>
  <si>
    <t xml:space="preserve">[0 - 490111], [506497 - 509665]</t>
  </si>
  <si>
    <t xml:space="preserve">Signature_00180580-4f2a-4cbf-a1c3-bfff8ae54a23</t>
  </si>
  <si>
    <t xml:space="preserve">2024-04-30 08:24:42-05:00</t>
  </si>
  <si>
    <t xml:space="preserve">2024:04:30 08:24:42-05:00</t>
  </si>
  <si>
    <t xml:space="preserve">[0 - 317510], [333896 - 338948]</t>
  </si>
  <si>
    <t xml:space="preserve">Signature_a5b8eef4-a60c-4c8b-811b-544b67d94250</t>
  </si>
  <si>
    <t xml:space="preserve">2024-04-30 08:24:40-05:00</t>
  </si>
  <si>
    <t xml:space="preserve">2024:04:30 08:24:40-05:00</t>
  </si>
  <si>
    <t xml:space="preserve">[0 - 73279], [89665 - 98152]</t>
  </si>
  <si>
    <t xml:space="preserve">Signature_a4fa1fc7-3fc7-45bd-944c-c6b407c9b115</t>
  </si>
  <si>
    <t xml:space="preserve">2024-04-30 08:24:32-05:00</t>
  </si>
  <si>
    <t xml:space="preserve">2024:04:30 08:24:32-05:00</t>
  </si>
  <si>
    <t xml:space="preserve">[0 - 293984], [310370 - 318857]</t>
  </si>
  <si>
    <t xml:space="preserve">Signature_b45444a5-856a-4bc5-ade5-61839ce52629</t>
  </si>
  <si>
    <t xml:space="preserve">2024-04-30 08:24:46-05:00</t>
  </si>
  <si>
    <t xml:space="preserve">2024:04:30 08:24:46-05:00</t>
  </si>
  <si>
    <t xml:space="preserve">[0 - 134837], [151223 - 159756]</t>
  </si>
  <si>
    <t xml:space="preserve">Signature_06afc24a-9454-4e68-8291-e55168cfdd19</t>
  </si>
  <si>
    <t xml:space="preserve">2024-04-30 08:24:43-05:00</t>
  </si>
  <si>
    <t xml:space="preserve">2024:04:30 08:24:43-05:00</t>
  </si>
  <si>
    <t xml:space="preserve">[0 - 170678], [187064 - 195597]</t>
  </si>
  <si>
    <t xml:space="preserve">Signature_cc731e01-37ba-4c18-b7c9-889e3cf04091</t>
  </si>
  <si>
    <t xml:space="preserve">2024-04-30 08:24:37-05:00</t>
  </si>
  <si>
    <t xml:space="preserve">2024:04:30 08:24:37-05:00</t>
  </si>
  <si>
    <t xml:space="preserve">[0 - 256623], [273009 - 277734]</t>
  </si>
  <si>
    <t xml:space="preserve">Signature_4c7b7786-37d8-4639-9545-8e0e89468597</t>
  </si>
  <si>
    <t xml:space="preserve">2024-04-30 08:24:47-05:00</t>
  </si>
  <si>
    <t xml:space="preserve">2024:04:30 08:24:47-05:00</t>
  </si>
  <si>
    <t xml:space="preserve">[0 - 108549], [124935 - 133424]</t>
  </si>
  <si>
    <t xml:space="preserve">Signature_5e03418d-322a-41b2-b529-37eb6b5f0100</t>
  </si>
  <si>
    <t xml:space="preserve">2024-04-30 08:24:44-05:00</t>
  </si>
  <si>
    <t xml:space="preserve">2024:04:30 08:24:44-05:00</t>
  </si>
  <si>
    <t xml:space="preserve">[0 - 112825], [129211 - 137700]</t>
  </si>
  <si>
    <t xml:space="preserve">Signature_950ebf11-646d-4f38-800d-0c9299c06696</t>
  </si>
  <si>
    <t xml:space="preserve">2024-04-30 08:24:41-05:00</t>
  </si>
  <si>
    <t xml:space="preserve">2024:04:30 08:24:41-05:00</t>
  </si>
  <si>
    <t xml:space="preserve">[0 - 188339], [204725 - 209926]</t>
  </si>
  <si>
    <t xml:space="preserve">Signature_aab00d8e-2943-4ead-8c11-8eeb01a76f5d</t>
  </si>
  <si>
    <t xml:space="preserve">2024-04-30 08:24:36-05:00</t>
  </si>
  <si>
    <t xml:space="preserve">2024:04:30 08:24:36-05:00</t>
  </si>
  <si>
    <t xml:space="preserve">[0 - 163792], [180178 - 185640]</t>
  </si>
  <si>
    <t xml:space="preserve">Signature_a7a3106d-0a60-4d9b-af35-e678d96351b2</t>
  </si>
  <si>
    <t xml:space="preserve">2024-04-30 08:24:35-05:00</t>
  </si>
  <si>
    <t xml:space="preserve">2024:04:30 08:24:35-05:00</t>
  </si>
  <si>
    <t xml:space="preserve">[0 - 222083], [238469 - 243962]</t>
  </si>
  <si>
    <t xml:space="preserve">Signature_9d41daff-dbd4-4134-8ae9-d4c76dc8e572</t>
  </si>
  <si>
    <t xml:space="preserve">2024-04-30 08:24:33-05:00</t>
  </si>
  <si>
    <t xml:space="preserve">2022:09:14 14:46:53-05:00</t>
  </si>
  <si>
    <t xml:space="preserve">[0 - 199193], [215579 - 219603]</t>
  </si>
  <si>
    <t xml:space="preserve">Signature_27f6a7d1-263c-4991-a5ab-fe5fff8c60c6</t>
  </si>
  <si>
    <t xml:space="preserve">2024-04-30 08:24:38-05:00</t>
  </si>
  <si>
    <t xml:space="preserve">2024:04:30 08:24:38-05:00</t>
  </si>
  <si>
    <t xml:space="preserve">Signature_892aad84-a2c4-4c38-892e-147d5b999172</t>
  </si>
  <si>
    <t xml:space="preserve">2024-04-30 08:25:35-05:00</t>
  </si>
  <si>
    <t xml:space="preserve">2024:04:30 08:25:35-05:00</t>
  </si>
  <si>
    <t xml:space="preserve">[0 - 399416], [415802 - 421689]</t>
  </si>
  <si>
    <t xml:space="preserve">Signature_b61188c4-b374-4a80-b28f-6b5a5f8f8394</t>
  </si>
  <si>
    <t xml:space="preserve">2024-04-30 08:25:42-05:00</t>
  </si>
  <si>
    <t xml:space="preserve">2024:04:30 08:25:42-05:00</t>
  </si>
  <si>
    <t xml:space="preserve">[0 - 482089], [498475 - 501267]</t>
  </si>
  <si>
    <t xml:space="preserve">Signature_81bdc5f1-04c1-46c5-9214-b5c86be2faa2</t>
  </si>
  <si>
    <t xml:space="preserve">2024-04-30 08:25:17-05:00</t>
  </si>
  <si>
    <t xml:space="preserve">2024:04:30 08:25:17-05:00</t>
  </si>
  <si>
    <t xml:space="preserve">[0 - 859152], [875538 - 880822]</t>
  </si>
  <si>
    <t xml:space="preserve">233 0 obj</t>
  </si>
  <si>
    <t xml:space="preserve">Signature_4d755d62-8016-4c5f-9935-f5612fa8b91e</t>
  </si>
  <si>
    <t xml:space="preserve">2024-04-30 08:25:29-05:00</t>
  </si>
  <si>
    <t xml:space="preserve">2024:04:30 08:25:29-05:00</t>
  </si>
  <si>
    <t xml:space="preserve">[0 - 68982], [85368 - 93855]</t>
  </si>
  <si>
    <t xml:space="preserve">Signature_cd848fb2-9992-4701-8881-8df2f9d66d8b</t>
  </si>
  <si>
    <t xml:space="preserve">2024-04-30 08:25:20-05:00</t>
  </si>
  <si>
    <t xml:space="preserve">2024:04:30 08:25:20-05:00</t>
  </si>
  <si>
    <t xml:space="preserve">[0 - 72905], [89291 - 93763]</t>
  </si>
  <si>
    <t xml:space="preserve">Signature_93d09c2b-9021-4b3f-b876-dc76f023a9da</t>
  </si>
  <si>
    <t xml:space="preserve">2024-04-30 08:25:19-05:00</t>
  </si>
  <si>
    <t xml:space="preserve">2024:04:30 08:25:19-05:00</t>
  </si>
  <si>
    <t xml:space="preserve">[0 - 417988], [434374 - 442861]</t>
  </si>
  <si>
    <t xml:space="preserve">Signature_b86bc49a-ee9a-420a-97f1-c106f5458d56</t>
  </si>
  <si>
    <t xml:space="preserve">2024-04-30 08:25:41-05:00</t>
  </si>
  <si>
    <t xml:space="preserve">2024:04:30 08:25:41-05:00</t>
  </si>
  <si>
    <t xml:space="preserve">[0 - 1252533], [1268919 - 1274435]</t>
  </si>
  <si>
    <t xml:space="preserve">Signature_da733e6c-e419-4971-965f-0548822f253b</t>
  </si>
  <si>
    <t xml:space="preserve">2024-04-30 08:25:37-05:00</t>
  </si>
  <si>
    <t xml:space="preserve">2024:04:30 08:25:37-05:00</t>
  </si>
  <si>
    <t xml:space="preserve">[0 - 130342], [146728 - 155261]</t>
  </si>
  <si>
    <t xml:space="preserve">Signature_38673ffa-79bc-4276-910e-9cc7f755aaa9</t>
  </si>
  <si>
    <t xml:space="preserve">2024-04-30 08:25:36-05:00</t>
  </si>
  <si>
    <t xml:space="preserve">2024:04:30 08:25:36-05:00</t>
  </si>
  <si>
    <t xml:space="preserve">[0 - 136410], [152796 - 161329]</t>
  </si>
  <si>
    <t xml:space="preserve">Signature_e791a6bf-5f5a-45cd-a4c6-04a08cf2f7ea</t>
  </si>
  <si>
    <t xml:space="preserve">2024-04-30 08:25:34-05:00</t>
  </si>
  <si>
    <t xml:space="preserve">2024:04:30 08:25:34-05:00</t>
  </si>
  <si>
    <t xml:space="preserve">[0 - 134697], [151083 - 159616]</t>
  </si>
  <si>
    <t xml:space="preserve">Signature_e9cdbf98-e254-49d2-9bd6-ad0cb2537cca</t>
  </si>
  <si>
    <t xml:space="preserve">2024-04-30 08:25:33-05:00</t>
  </si>
  <si>
    <t xml:space="preserve">2024:04:30 08:25:33-05:00</t>
  </si>
  <si>
    <t xml:space="preserve">[0 - 749601], [765987 - 771018]</t>
  </si>
  <si>
    <t xml:space="preserve">Signature_0bc58b69-8619-42f4-b703-e728a415d2e6</t>
  </si>
  <si>
    <t xml:space="preserve">2024-04-30 08:25:27-05:00</t>
  </si>
  <si>
    <t xml:space="preserve">2024:04:30 08:25:27-05:00</t>
  </si>
  <si>
    <t xml:space="preserve">[0 - 808092], [824478 - 829534]</t>
  </si>
  <si>
    <t xml:space="preserve">333 0 obj</t>
  </si>
  <si>
    <t xml:space="preserve">Signature_bb0a3071-5bc4-4dcf-9013-6f26105f2a59</t>
  </si>
  <si>
    <t xml:space="preserve">2024-04-30 08:25:16-05:00</t>
  </si>
  <si>
    <t xml:space="preserve">2024:04:30 08:25:16-05:00</t>
  </si>
  <si>
    <t xml:space="preserve">[0 - 845612], [861998 - 866975]</t>
  </si>
  <si>
    <t xml:space="preserve">381 0 obj</t>
  </si>
  <si>
    <t xml:space="preserve">Signature_ba952d1b-2be8-4a7a-aec1-467e234b34fe</t>
  </si>
  <si>
    <t xml:space="preserve">2024-04-30 08:25:22-05:00</t>
  </si>
  <si>
    <t xml:space="preserve">2024:04:30 08:25:22-05:00</t>
  </si>
  <si>
    <t xml:space="preserve">[0 - 689417], [705803 - 711161]</t>
  </si>
  <si>
    <t xml:space="preserve">Signature_a330aee1-f5af-4e1c-862d-f524c6db019a</t>
  </si>
  <si>
    <t xml:space="preserve">2024-04-30 08:25:30-05:00</t>
  </si>
  <si>
    <t xml:space="preserve">2024:04:30 08:25:30-05:00</t>
  </si>
  <si>
    <t xml:space="preserve">[0 - 1041358], [1057744 - 1062218]</t>
  </si>
  <si>
    <t xml:space="preserve">Signature_4b6403a8-c3b2-4d5a-8325-6b8dca9199a5</t>
  </si>
  <si>
    <t xml:space="preserve">2024-04-30 08:25:31-05:00</t>
  </si>
  <si>
    <t xml:space="preserve">2024:04:30 08:25:31-05:00</t>
  </si>
  <si>
    <t xml:space="preserve">[0 - 79878], [96264 - 100736]</t>
  </si>
  <si>
    <t xml:space="preserve">Signature_cb5a65ea-c026-4918-8161-355a10f4f6fd</t>
  </si>
  <si>
    <t xml:space="preserve">2024-04-30 08:25:26-05:00</t>
  </si>
  <si>
    <t xml:space="preserve">2024:04:30 08:25:26-05:00</t>
  </si>
  <si>
    <t xml:space="preserve">[0 - 95968], [112354 - 120842]</t>
  </si>
  <si>
    <t xml:space="preserve">Signature_5920e2da-0c99-49fd-b7bf-29efa29796f0</t>
  </si>
  <si>
    <t xml:space="preserve">2024-04-30 08:25:18-05:00</t>
  </si>
  <si>
    <t xml:space="preserve">2024:04:30 08:25:18-05:00</t>
  </si>
  <si>
    <t xml:space="preserve">[0 - 333816], [350202 - 355632]</t>
  </si>
  <si>
    <t xml:space="preserve">625 0 obj</t>
  </si>
  <si>
    <t xml:space="preserve">Signature_621e07cc-ffbe-47b9-b83d-4c77bcbf43e2</t>
  </si>
  <si>
    <t xml:space="preserve">2024-04-30 08:25:25-05:00</t>
  </si>
  <si>
    <t xml:space="preserve">2024:04:30 08:25:25-05:00</t>
  </si>
  <si>
    <t xml:space="preserve">[0 - 720358], [736744 - 741660]</t>
  </si>
  <si>
    <t xml:space="preserve">Signature_c1de0a6b-98e6-4c0c-9474-328ebf176b08</t>
  </si>
  <si>
    <t xml:space="preserve">2024-04-30 08:25:39-05:00</t>
  </si>
  <si>
    <t xml:space="preserve">2024:04:30 08:25:40-05:00</t>
  </si>
  <si>
    <t xml:space="preserve">[0 - 133341], [149727 - 150986]</t>
  </si>
  <si>
    <t xml:space="preserve">Signature_af2e8f89-1cc8-41d5-bfdf-5144c06c6b3a</t>
  </si>
  <si>
    <t xml:space="preserve">2024-04-30 08:25:28-05:00</t>
  </si>
  <si>
    <t xml:space="preserve">2024:04:30 08:25:28-05:00</t>
  </si>
  <si>
    <t xml:space="preserve">[0 - 70251], [86637 - 95124]</t>
  </si>
  <si>
    <t xml:space="preserve">Signature_01a67041-9c27-4347-8ed6-44e7d86e3241</t>
  </si>
  <si>
    <t xml:space="preserve">2024-04-30 08:25:24-05:00</t>
  </si>
  <si>
    <t xml:space="preserve">2024:04:30 08:25:24-05:00</t>
  </si>
  <si>
    <t xml:space="preserve">[0 - 691293], [707679 - 711967]</t>
  </si>
  <si>
    <t xml:space="preserve">Signature_270a72ef-e933-4d3e-94aa-956d4d58a249</t>
  </si>
  <si>
    <t xml:space="preserve">2024-04-30 08:25:21-05:00</t>
  </si>
  <si>
    <t xml:space="preserve">2024:04:30 08:25:21-05:00</t>
  </si>
  <si>
    <t xml:space="preserve">[0 - 737135], [753521 - 758075]</t>
  </si>
  <si>
    <t xml:space="preserve">69 0 obj</t>
  </si>
  <si>
    <t xml:space="preserve">Signature_37247029-c7e9-4b29-b8ea-6ccc32cf063a</t>
  </si>
  <si>
    <t xml:space="preserve">2024-04-30 08:25:38-05:00</t>
  </si>
  <si>
    <t xml:space="preserve">2024:04:30 08:25:38-05:00</t>
  </si>
  <si>
    <t xml:space="preserve">[0 - 803074], [819460 - 824303]</t>
  </si>
  <si>
    <t xml:space="preserve">Signature_5240f815-227e-4b48-8d07-4b9cd2774a01</t>
  </si>
  <si>
    <t xml:space="preserve">2024-04-30 08:25:32-05:00</t>
  </si>
  <si>
    <t xml:space="preserve">2024:04:30 08:25:32-05:00</t>
  </si>
  <si>
    <t xml:space="preserve">[0 - 248786], [265172 - 269883]</t>
  </si>
  <si>
    <t xml:space="preserve">Signature_937dce03-9d90-4987-b969-7a39975c1ccf</t>
  </si>
  <si>
    <t xml:space="preserve">2024-04-30 08:26:50-05:00</t>
  </si>
  <si>
    <t xml:space="preserve">2024:04:30 08:26:50-05:00</t>
  </si>
  <si>
    <t xml:space="preserve">[0 - 391017], [407403 - 412420]</t>
  </si>
  <si>
    <t xml:space="preserve">Signature_19065a35-d47e-485c-a28a-c290f1914fc0</t>
  </si>
  <si>
    <t xml:space="preserve">2024-04-30 08:26:52-05:00</t>
  </si>
  <si>
    <t xml:space="preserve">2024:04:30 08:26:52-05:00</t>
  </si>
  <si>
    <t xml:space="preserve">[0 - 476516], [492902 - 495694]</t>
  </si>
  <si>
    <t xml:space="preserve">Signature_2900b35c-024e-4813-b6a8-a5b26f78bd81</t>
  </si>
  <si>
    <t xml:space="preserve">2024-04-30 08:26:48-05:00</t>
  </si>
  <si>
    <t xml:space="preserve">2024:04:30 08:26:48-05:00</t>
  </si>
  <si>
    <t xml:space="preserve">[0 - 298536], [314922 - 319932]</t>
  </si>
  <si>
    <t xml:space="preserve">Signature_c4ace096-2268-4a5e-a622-fcab6d6623ad</t>
  </si>
  <si>
    <t xml:space="preserve">2024-04-30 08:26:37-05:00</t>
  </si>
  <si>
    <t xml:space="preserve">2024:04:30 08:26:37-05:00</t>
  </si>
  <si>
    <t xml:space="preserve">[0 - 221376], [237762 - 243113]</t>
  </si>
  <si>
    <t xml:space="preserve">Signature_2c4daa68-51ac-46c8-ae99-cae59a56090e</t>
  </si>
  <si>
    <t xml:space="preserve">2024-04-30 08:26:46-05:00</t>
  </si>
  <si>
    <t xml:space="preserve">2024:04:30 08:26:46-05:00</t>
  </si>
  <si>
    <t xml:space="preserve">[0 - 77686], [94072 - 102560]</t>
  </si>
  <si>
    <t xml:space="preserve">Signature_196697ca-c492-49eb-ad0f-dd8bd4fad524</t>
  </si>
  <si>
    <t xml:space="preserve">2024-04-30 08:26:47-05:00</t>
  </si>
  <si>
    <t xml:space="preserve">2024:04:30 08:26:47-05:00</t>
  </si>
  <si>
    <t xml:space="preserve">[0 - 145877], [162263 - 170796]</t>
  </si>
  <si>
    <t xml:space="preserve">Signature_7262a005-d1af-42ba-9188-dc78c3f5381a</t>
  </si>
  <si>
    <t xml:space="preserve">2024-04-30 08:26:30-05:00</t>
  </si>
  <si>
    <t xml:space="preserve">2024:04:30 08:26:30-05:00</t>
  </si>
  <si>
    <t xml:space="preserve">[0 - 138284], [154670 - 160060]</t>
  </si>
  <si>
    <t xml:space="preserve">129 0 obj</t>
  </si>
  <si>
    <t xml:space="preserve">Signature_28212e20-3c51-4449-bc17-bf78cba542ec</t>
  </si>
  <si>
    <t xml:space="preserve">2024-04-30 08:26:29-05:00</t>
  </si>
  <si>
    <t xml:space="preserve">2024:04:30 08:26:29-05:00</t>
  </si>
  <si>
    <t xml:space="preserve">[0 - 105305], [121691 - 127032]</t>
  </si>
  <si>
    <t xml:space="preserve">137 0 obj</t>
  </si>
  <si>
    <t xml:space="preserve">Signature_9e6b0796-e607-4052-8ef3-5eab91d2a771</t>
  </si>
  <si>
    <t xml:space="preserve">2024-04-30 08:26:31-05:00</t>
  </si>
  <si>
    <t xml:space="preserve">2024:04:30 08:26:31-05:00</t>
  </si>
  <si>
    <t xml:space="preserve">[0 - 88089], [104475 - 108920]</t>
  </si>
  <si>
    <t xml:space="preserve">Signature_277f3b68-d597-4a12-b065-764fc8105353</t>
  </si>
  <si>
    <t xml:space="preserve">2024-04-30 08:26:27-05:00</t>
  </si>
  <si>
    <t xml:space="preserve">2024:04:30 08:26:27-05:00</t>
  </si>
  <si>
    <t xml:space="preserve">[0 - 666313], [682699 - 687159]</t>
  </si>
  <si>
    <t xml:space="preserve">Signature_ef038ac9-f81e-417f-bab5-31cc3201b543</t>
  </si>
  <si>
    <t xml:space="preserve">2024-04-30 08:26:45-05:00</t>
  </si>
  <si>
    <t xml:space="preserve">2024:04:30 08:26:45-05:00</t>
  </si>
  <si>
    <t xml:space="preserve">[0 - 116056], [132442 - 140975]</t>
  </si>
  <si>
    <t xml:space="preserve">Signature_2892f9c0-16eb-4948-91da-625322420113</t>
  </si>
  <si>
    <t xml:space="preserve">2024-04-30 08:26:42-05:00</t>
  </si>
  <si>
    <t xml:space="preserve">2024:04:30 08:26:42-05:00</t>
  </si>
  <si>
    <t xml:space="preserve">[0 - 288185], [304571 - 310151]</t>
  </si>
  <si>
    <t xml:space="preserve">Signature_a393d11e-f163-4705-a967-1392d6c0ee89</t>
  </si>
  <si>
    <t xml:space="preserve">2024-04-30 08:26:40-05:00</t>
  </si>
  <si>
    <t xml:space="preserve">2024:04:30 08:26:40-05:00</t>
  </si>
  <si>
    <t xml:space="preserve">[0 - 288334], [304720 - 310299]</t>
  </si>
  <si>
    <t xml:space="preserve">Signature_9e5a5a51-1ecb-4aba-82ad-ced7e9095dc5</t>
  </si>
  <si>
    <t xml:space="preserve">2024-04-30 08:26:39-05:00</t>
  </si>
  <si>
    <t xml:space="preserve">2024:04:30 08:26:39-05:00</t>
  </si>
  <si>
    <t xml:space="preserve">[0 - 288181], [304567 - 310155]</t>
  </si>
  <si>
    <t xml:space="preserve">Signature_85f17aa1-a5fb-410e-9b4b-60a09c1019e2</t>
  </si>
  <si>
    <t xml:space="preserve">2024-04-30 08:26:38-05:00</t>
  </si>
  <si>
    <t xml:space="preserve">2024:04:30 08:26:38-05:00</t>
  </si>
  <si>
    <t xml:space="preserve">[0 - 288170], [304556 - 310136]</t>
  </si>
  <si>
    <t xml:space="preserve">324 0 obj</t>
  </si>
  <si>
    <t xml:space="preserve">Signature_775dc95a-b8aa-4111-a598-774367038ebb</t>
  </si>
  <si>
    <t xml:space="preserve">2024-04-30 08:26:34-05:00</t>
  </si>
  <si>
    <t xml:space="preserve">2024:04:30 08:26:34-05:00</t>
  </si>
  <si>
    <t xml:space="preserve">[0 - 824713], [841099 - 846672]</t>
  </si>
  <si>
    <t xml:space="preserve">Signature_5e1b5908-1124-46e5-a23e-6eaf53fc43d6</t>
  </si>
  <si>
    <t xml:space="preserve">2024-04-30 08:26:33-05:00</t>
  </si>
  <si>
    <t xml:space="preserve">2024:04:30 08:26:33-05:00</t>
  </si>
  <si>
    <t xml:space="preserve">[0 - 819118], [835504 - 841075]</t>
  </si>
  <si>
    <t xml:space="preserve">Signature_579ba8f0-28d6-4b99-88bf-86ec4ba7b1f6</t>
  </si>
  <si>
    <t xml:space="preserve">2024-04-30 08:26:51-05:00</t>
  </si>
  <si>
    <t xml:space="preserve">2024:04:30 08:26:51-05:00</t>
  </si>
  <si>
    <t xml:space="preserve">[0 - 179446], [195832 - 200308]</t>
  </si>
  <si>
    <t xml:space="preserve">Signature_10c82cfa-ef1d-4f86-8c56-9c80b43b1e30</t>
  </si>
  <si>
    <t xml:space="preserve">2024-04-30 08:26:43-05:00</t>
  </si>
  <si>
    <t xml:space="preserve">2024:04:30 08:26:43-05:00</t>
  </si>
  <si>
    <t xml:space="preserve">[0 - 216313], [232699 - 237425]</t>
  </si>
  <si>
    <t xml:space="preserve">Signature_b2a8e3ff-2392-411f-94ca-3e7b734487f5</t>
  </si>
  <si>
    <t xml:space="preserve">2024-04-30 08:26:36-05:00</t>
  </si>
  <si>
    <t xml:space="preserve">2024:04:30 08:26:36-05:00</t>
  </si>
  <si>
    <t xml:space="preserve">[0 - 900169], [916555 - 921530]</t>
  </si>
  <si>
    <t xml:space="preserve">Signature_a254bd73-580b-4e83-822b-2527ff1a4e0a</t>
  </si>
  <si>
    <t xml:space="preserve">2024-04-30 08:26:35-05:00</t>
  </si>
  <si>
    <t xml:space="preserve">2024:04:30 08:26:35-05:00</t>
  </si>
  <si>
    <t xml:space="preserve">[0 - 901135], [917521 - 922520]</t>
  </si>
  <si>
    <t xml:space="preserve">Signature_5d3ad13d-4742-4272-90c6-c9982a291090</t>
  </si>
  <si>
    <t xml:space="preserve">2024-04-30 08:26:28-05:00</t>
  </si>
  <si>
    <t xml:space="preserve">2024:04:30 08:26:28-05:00</t>
  </si>
  <si>
    <t xml:space="preserve">[0 - 810663], [827049 - 831568]</t>
  </si>
  <si>
    <t xml:space="preserve">Signature_7b3dcd17-318e-48c1-9f79-258ab02092a9</t>
  </si>
  <si>
    <t xml:space="preserve">2024-04-30 08:26:44-05:00</t>
  </si>
  <si>
    <t xml:space="preserve">2024:04:30 08:26:44-05:00</t>
  </si>
  <si>
    <t xml:space="preserve">[0 - 201685], [218071 - 226560]</t>
  </si>
  <si>
    <t xml:space="preserve">Signature_ff93f365-a69a-4770-89d2-5eb755446344</t>
  </si>
  <si>
    <t xml:space="preserve">2024-04-30 08:26:41-05:00</t>
  </si>
  <si>
    <t xml:space="preserve">2024:04:30 08:26:41-05:00</t>
  </si>
  <si>
    <t xml:space="preserve">[0 - 67951], [84337 - 92824]</t>
  </si>
  <si>
    <t xml:space="preserve">Signature_2f1fe48a-24ad-4fe4-9370-6714c5f3d8a4</t>
  </si>
  <si>
    <t xml:space="preserve">2024-04-30 08:27:25-05:00</t>
  </si>
  <si>
    <t xml:space="preserve">2024:04:30 08:27:25-05:00</t>
  </si>
  <si>
    <t xml:space="preserve">[0 - 310723], [327109 - 331643]</t>
  </si>
  <si>
    <t xml:space="preserve">Signature_fec686b3-60cc-489a-a504-bfb8b89077e6</t>
  </si>
  <si>
    <t xml:space="preserve">2024-04-30 08:27:50-05:00</t>
  </si>
  <si>
    <t xml:space="preserve">2024:04:30 08:27:50-05:00</t>
  </si>
  <si>
    <t xml:space="preserve">[0 - 351969], [368355 - 374535]</t>
  </si>
  <si>
    <t xml:space="preserve">Signature_dc596fe0-470d-48b2-8359-a7ab69d1c2b1</t>
  </si>
  <si>
    <t xml:space="preserve">2024-04-30 08:27:54-05:00</t>
  </si>
  <si>
    <t xml:space="preserve">2024:04:30 08:27:55-05:00</t>
  </si>
  <si>
    <t xml:space="preserve">[0 - 568513], [584899 - 587965]</t>
  </si>
  <si>
    <t xml:space="preserve">493 0 obj</t>
  </si>
  <si>
    <t xml:space="preserve">Signature_fecedd3f-af64-4715-902d-b7b424a6d4d4</t>
  </si>
  <si>
    <t xml:space="preserve">2024-04-30 08:27:31-05:00</t>
  </si>
  <si>
    <t xml:space="preserve">2024:04:30 08:27:31-05:00</t>
  </si>
  <si>
    <t xml:space="preserve">[0 - 91786], [108172 - 116658]</t>
  </si>
  <si>
    <t xml:space="preserve">Signature_dff158a9-6a61-44c5-ae70-5f947b08304f</t>
  </si>
  <si>
    <t xml:space="preserve">2024-04-30 08:27:49-05:00</t>
  </si>
  <si>
    <t xml:space="preserve">2024:04:30 08:27:49-05:00</t>
  </si>
  <si>
    <t xml:space="preserve">[0 - 72763], [89149 - 97636]</t>
  </si>
  <si>
    <t xml:space="preserve">Signature_ac3d035c-5c2d-427e-9352-5bffe1680936</t>
  </si>
  <si>
    <t xml:space="preserve">2024-04-30 08:27:30-05:00</t>
  </si>
  <si>
    <t xml:space="preserve">2024:04:30 08:27:30-05:00</t>
  </si>
  <si>
    <t xml:space="preserve">[0 - 709553], [725939 - 730514]</t>
  </si>
  <si>
    <t xml:space="preserve">Signature_1c020518-1879-4e4e-925b-9e5bb501d3ac</t>
  </si>
  <si>
    <t xml:space="preserve">2024-04-30 08:27:28-05:00</t>
  </si>
  <si>
    <t xml:space="preserve">2024:04:30 08:27:28-05:00</t>
  </si>
  <si>
    <t xml:space="preserve">[0 - 491138], [507524 - 516055]</t>
  </si>
  <si>
    <t xml:space="preserve">Signature_8acd9f0c-c7ea-4b97-a2e4-759a1b4f7552</t>
  </si>
  <si>
    <t xml:space="preserve">2024-04-30 08:27:37-05:00</t>
  </si>
  <si>
    <t xml:space="preserve">2024:04:30 08:27:37-05:00</t>
  </si>
  <si>
    <t xml:space="preserve">[0 - 160098], [176484 - 181167]</t>
  </si>
  <si>
    <t xml:space="preserve">Signature_ba5bc1e6-f6c0-4e51-8d06-ba96dce2187e</t>
  </si>
  <si>
    <t xml:space="preserve">2024-04-30 08:27:53-05:00</t>
  </si>
  <si>
    <t xml:space="preserve">2024:04:30 08:27:53-05:00</t>
  </si>
  <si>
    <t xml:space="preserve">[0 - 1252801], [1269187 - 1274675]</t>
  </si>
  <si>
    <t xml:space="preserve">Signature_c745d36e-b129-4cfb-a82f-b0002dd2f80d</t>
  </si>
  <si>
    <t xml:space="preserve">2024-04-30 08:27:52-05:00</t>
  </si>
  <si>
    <t xml:space="preserve">2024:04:30 08:27:52-05:00</t>
  </si>
  <si>
    <t xml:space="preserve">[0 - 128671], [145057 - 153590]</t>
  </si>
  <si>
    <t xml:space="preserve">Signature_db18375b-5513-4a08-abaf-c4a5cc31234e</t>
  </si>
  <si>
    <t xml:space="preserve">2024-04-30 08:27:48-05:00</t>
  </si>
  <si>
    <t xml:space="preserve">2024:04:30 08:27:48-05:00</t>
  </si>
  <si>
    <t xml:space="preserve">[0 - 799653], [816039 - 820633]</t>
  </si>
  <si>
    <t xml:space="preserve">Signature_b875bd94-1840-4698-b9f9-650b6f530965</t>
  </si>
  <si>
    <t xml:space="preserve">2024-04-30 08:27:46-05:00</t>
  </si>
  <si>
    <t xml:space="preserve">2024:04:30 08:27:46-05:00</t>
  </si>
  <si>
    <t xml:space="preserve">[0 - 1285169], [1301555 - 1306026]</t>
  </si>
  <si>
    <t xml:space="preserve">Signature_4a1dbe8b-b6c3-45e6-b075-b33a09eca9b4</t>
  </si>
  <si>
    <t xml:space="preserve">2024-04-30 08:27:47-05:00</t>
  </si>
  <si>
    <t xml:space="preserve">2024:04:30 08:27:47-05:00</t>
  </si>
  <si>
    <t xml:space="preserve">[0 - 1212328], [1228714 - 1233177]</t>
  </si>
  <si>
    <t xml:space="preserve">Signature_500e8f83-ed55-41dc-9281-a3ed9b83b592</t>
  </si>
  <si>
    <t xml:space="preserve">2024-04-30 08:27:45-05:00</t>
  </si>
  <si>
    <t xml:space="preserve">2024:04:30 08:27:45-05:00</t>
  </si>
  <si>
    <t xml:space="preserve">[0 - 1252302], [1268688 - 1273157]</t>
  </si>
  <si>
    <t xml:space="preserve">Signature_17074211-5749-45e7-8979-3fe4142555fb</t>
  </si>
  <si>
    <t xml:space="preserve">2024-04-30 08:27:43-05:00</t>
  </si>
  <si>
    <t xml:space="preserve">2024:04:30 08:27:43-05:00</t>
  </si>
  <si>
    <t xml:space="preserve">[0 - 655010], [671396 - 679927]</t>
  </si>
  <si>
    <t xml:space="preserve">Signature_77b3340f-7608-49f0-a7b7-8ee08da72e57</t>
  </si>
  <si>
    <t xml:space="preserve">2024-04-30 08:27:41-05:00</t>
  </si>
  <si>
    <t xml:space="preserve">2024:04:30 08:27:41-05:00</t>
  </si>
  <si>
    <t xml:space="preserve">[0 - 113222], [129608 - 134082]</t>
  </si>
  <si>
    <t xml:space="preserve">Signature_598eaea6-a5ef-48e1-8845-0991996fae12</t>
  </si>
  <si>
    <t xml:space="preserve">2024-04-30 08:27:36-05:00</t>
  </si>
  <si>
    <t xml:space="preserve">2024:04:30 08:27:36-05:00</t>
  </si>
  <si>
    <t xml:space="preserve">[0 - 177974], [194360 - 198806]</t>
  </si>
  <si>
    <t xml:space="preserve">Signature_7b789604-3ccc-4783-8136-ea02ade9fce0</t>
  </si>
  <si>
    <t xml:space="preserve">2024-04-30 08:27:35-05:00</t>
  </si>
  <si>
    <t xml:space="preserve">2024:04:30 08:27:35-05:00</t>
  </si>
  <si>
    <t xml:space="preserve">[0 - 61517], [77903 - 82425]</t>
  </si>
  <si>
    <t xml:space="preserve">Signature_98d45212-b068-4f23-936f-a2757c30f25d</t>
  </si>
  <si>
    <t xml:space="preserve">2024-04-30 08:27:33-05:00</t>
  </si>
  <si>
    <t xml:space="preserve">2024:04:30 08:27:33-05:00</t>
  </si>
  <si>
    <t xml:space="preserve">[0 - 193085], [209471 - 213864]</t>
  </si>
  <si>
    <t xml:space="preserve">Signature_3edcd7de-59f9-4a2f-975a-69e03e2099c5</t>
  </si>
  <si>
    <t xml:space="preserve">2024-04-30 08:27:34-05:00</t>
  </si>
  <si>
    <t xml:space="preserve">2024:04:30 08:27:34-05:00</t>
  </si>
  <si>
    <t xml:space="preserve">[0 - 420652], [437038 - 441437]</t>
  </si>
  <si>
    <t xml:space="preserve">59 0 obj</t>
  </si>
  <si>
    <t xml:space="preserve">Signature_b3070648-05b9-40fb-92df-ab282d557873</t>
  </si>
  <si>
    <t xml:space="preserve">2024-04-30 08:27:32-05:00</t>
  </si>
  <si>
    <t xml:space="preserve">2024:04:30 08:27:32-05:00</t>
  </si>
  <si>
    <t xml:space="preserve">[0 - 332241], [348627 - 354044]</t>
  </si>
  <si>
    <t xml:space="preserve">Signature_b3652b5a-0833-450b-ab64-6d8e827f74b4</t>
  </si>
  <si>
    <t xml:space="preserve">2024-04-30 08:27:27-05:00</t>
  </si>
  <si>
    <t xml:space="preserve">2024:04:30 08:27:27-05:00</t>
  </si>
  <si>
    <t xml:space="preserve">[0 - 166023], [182409 - 187704]</t>
  </si>
  <si>
    <t xml:space="preserve">Signature_6b080378-0fea-4b42-a01c-ef0c83dbc0ce</t>
  </si>
  <si>
    <t xml:space="preserve">2024-04-30 08:27:40-05:00</t>
  </si>
  <si>
    <t xml:space="preserve">2024:04:30 08:27:40-05:00</t>
  </si>
  <si>
    <t xml:space="preserve">[0 - 106490], [122876 - 127365]</t>
  </si>
  <si>
    <t xml:space="preserve">Signature_ae77516d-e61d-4942-bfbb-bb28a012a50f</t>
  </si>
  <si>
    <t xml:space="preserve">2024-04-30 08:27:51-05:00</t>
  </si>
  <si>
    <t xml:space="preserve">2024:04:30 08:27:51-05:00</t>
  </si>
  <si>
    <t xml:space="preserve">[0 - 180519], [196905 - 201356]</t>
  </si>
  <si>
    <t xml:space="preserve">Signature_d733f9e4-824e-4c27-abde-2c08f107c1c4</t>
  </si>
  <si>
    <t xml:space="preserve">2024-04-30 08:27:39-05:00</t>
  </si>
  <si>
    <t xml:space="preserve">2024:04:30 08:27:39-05:00</t>
  </si>
  <si>
    <t xml:space="preserve">[0 - 204959], [221345 - 229832]</t>
  </si>
  <si>
    <t xml:space="preserve">Signature_985bfcdd-a92f-45ed-8584-6c78c0b5a67c</t>
  </si>
  <si>
    <t xml:space="preserve">2024-04-30 08:27:29-05:00</t>
  </si>
  <si>
    <t xml:space="preserve">2024:04:30 08:27:29-05:00</t>
  </si>
  <si>
    <t xml:space="preserve">[0 - 235345], [251731 - 260218]</t>
  </si>
  <si>
    <t xml:space="preserve">Signature_f8be2873-177c-40bd-bd25-47977a0fea6c</t>
  </si>
  <si>
    <t xml:space="preserve">2024-04-30 08:27:44-05:00</t>
  </si>
  <si>
    <t xml:space="preserve">2024:04:30 08:27:44-05:00</t>
  </si>
  <si>
    <t xml:space="preserve">[0 - 136832], [153218 - 158669]</t>
  </si>
  <si>
    <t xml:space="preserve">Signature_39a43691-5b69-491c-9a60-f2f54e16ff64</t>
  </si>
  <si>
    <t xml:space="preserve">2024-04-30 08:27:38-05:00</t>
  </si>
  <si>
    <t xml:space="preserve">2024:04:30 08:27:38-05:00</t>
  </si>
  <si>
    <t xml:space="preserve">[0 - 122828], [139214 - 144509]</t>
  </si>
  <si>
    <t xml:space="preserve">Signature_f3d70a34-6888-4370-9c28-3e045e013cf5</t>
  </si>
  <si>
    <t xml:space="preserve">2024-04-30 08:28:41-05:00</t>
  </si>
  <si>
    <t xml:space="preserve">2024:04:30 08:28:41-05:00</t>
  </si>
  <si>
    <t xml:space="preserve">[0 - 189494], [205880 - 211261]</t>
  </si>
  <si>
    <t xml:space="preserve">Signature_02794135-9ddd-4f09-b90b-7efa9cef9e63</t>
  </si>
  <si>
    <t xml:space="preserve">2024-04-30 08:28:49-05:00</t>
  </si>
  <si>
    <t xml:space="preserve">2024:04:30 08:28:49-05:00</t>
  </si>
  <si>
    <t xml:space="preserve">[0 - 597504], [613890 - 618568]</t>
  </si>
  <si>
    <t xml:space="preserve">Signature_3bf13672-27b3-42b5-95ab-087104ec69e2</t>
  </si>
  <si>
    <t xml:space="preserve">2024-04-30 08:28:53-05:00</t>
  </si>
  <si>
    <t xml:space="preserve">2024:04:30 08:28:53-05:00</t>
  </si>
  <si>
    <t xml:space="preserve">[0 - 485959], [502345 - 505513]</t>
  </si>
  <si>
    <t xml:space="preserve">Signature_fc0b7ee7-0710-4cfa-8d38-e4a9fa91a15c</t>
  </si>
  <si>
    <t xml:space="preserve">2024-04-30 08:28:32-05:00</t>
  </si>
  <si>
    <t xml:space="preserve">2024:04:30 08:28:32-05:00</t>
  </si>
  <si>
    <t xml:space="preserve">[0 - 810969], [827355 - 832563]</t>
  </si>
  <si>
    <t xml:space="preserve">Signature_2d53e9ec-23e5-4039-96d5-a76a2b2145e7</t>
  </si>
  <si>
    <t xml:space="preserve">2024-04-30 08:28:46-05:00</t>
  </si>
  <si>
    <t xml:space="preserve">2024:04:30 08:28:46-05:00</t>
  </si>
  <si>
    <t xml:space="preserve">[0 - 319006], [335392 - 340925]</t>
  </si>
  <si>
    <t xml:space="preserve">Signature_2ba074c6-dcf2-4298-bf46-9cea132296dc</t>
  </si>
  <si>
    <t xml:space="preserve">2024-04-30 08:28:45-05:00</t>
  </si>
  <si>
    <t xml:space="preserve">2024:04:30 08:28:45-05:00</t>
  </si>
  <si>
    <t xml:space="preserve">Signature_b77ba867-ae8c-41ed-90d5-70fde71dfda3</t>
  </si>
  <si>
    <t xml:space="preserve">2024-04-30 08:28:43-05:00</t>
  </si>
  <si>
    <t xml:space="preserve">2024:04:30 08:28:43-05:00</t>
  </si>
  <si>
    <t xml:space="preserve">[0 - 72888], [89274 - 97761]</t>
  </si>
  <si>
    <t xml:space="preserve">Signature_83b910db-e792-4703-be49-528e82f517fa</t>
  </si>
  <si>
    <t xml:space="preserve">2024-04-30 08:28:37-05:00</t>
  </si>
  <si>
    <t xml:space="preserve">2024:04:30 08:28:37-05:00</t>
  </si>
  <si>
    <t xml:space="preserve">[0 - 285303], [301689 - 310176]</t>
  </si>
  <si>
    <t xml:space="preserve">Signature_19afd4da-e106-4315-96c0-f7be4694a1fe</t>
  </si>
  <si>
    <t xml:space="preserve">2024-04-30 08:28:34-05:00</t>
  </si>
  <si>
    <t xml:space="preserve">2024:04:30 08:28:34-05:00</t>
  </si>
  <si>
    <t xml:space="preserve">[0 - 269168], [285554 - 294041]</t>
  </si>
  <si>
    <t xml:space="preserve">Signature_d8ecc843-229f-49d0-bfcf-21ef6e258d35</t>
  </si>
  <si>
    <t xml:space="preserve">2024-04-30 08:28:29-05:00</t>
  </si>
  <si>
    <t xml:space="preserve">2024:04:30 08:28:29-05:00</t>
  </si>
  <si>
    <t xml:space="preserve">Signature_6eef3380-9754-4515-91d6-7b551b193882</t>
  </si>
  <si>
    <t xml:space="preserve">2024-04-30 08:28:52-05:00</t>
  </si>
  <si>
    <t xml:space="preserve">2024:04:30 08:28:52-05:00</t>
  </si>
  <si>
    <t xml:space="preserve">[0 - 840389], [856775 - 862350]</t>
  </si>
  <si>
    <t xml:space="preserve">Signature_dbbf1a46-b2e7-4f38-b837-0948b18f60b4</t>
  </si>
  <si>
    <t xml:space="preserve">2024-04-30 08:28:36-05:00</t>
  </si>
  <si>
    <t xml:space="preserve">2024:04:30 08:28:36-05:00</t>
  </si>
  <si>
    <t xml:space="preserve">[0 - 822701], [839087 - 844620]</t>
  </si>
  <si>
    <t xml:space="preserve">Signature_6bbfe9f6-869b-4fa2-bde1-9c3f2c665757</t>
  </si>
  <si>
    <t xml:space="preserve">2024-04-30 08:28:33-05:00</t>
  </si>
  <si>
    <t xml:space="preserve">2024:04:30 08:28:33-05:00</t>
  </si>
  <si>
    <t xml:space="preserve">Signature_5bcab4b7-30a2-40cc-b6e2-0ca039693d04</t>
  </si>
  <si>
    <t xml:space="preserve">2024-04-30 08:28:30-05:00</t>
  </si>
  <si>
    <t xml:space="preserve">2024:04:30 08:28:30-05:00</t>
  </si>
  <si>
    <t xml:space="preserve">[0 - 234643], [251029 - 255641]</t>
  </si>
  <si>
    <t xml:space="preserve">Signature_a9997acc-9920-4c1c-8c9d-c2bf95f59eb3</t>
  </si>
  <si>
    <t xml:space="preserve">2024-04-30 08:28:42-05:00</t>
  </si>
  <si>
    <t xml:space="preserve">2024:04:30 08:28:42-05:00</t>
  </si>
  <si>
    <t xml:space="preserve">Signature_0b97fb21-46f1-4e22-b067-786dd5bd3fc4</t>
  </si>
  <si>
    <t xml:space="preserve">2024-04-30 08:28:39-05:00</t>
  </si>
  <si>
    <t xml:space="preserve">2024:04:30 08:28:39-05:00</t>
  </si>
  <si>
    <t xml:space="preserve">[0 - 802146], [818532 - 823502]</t>
  </si>
  <si>
    <t xml:space="preserve">Signature_a5d5bb18-588a-42f3-982f-2d30989e67cf</t>
  </si>
  <si>
    <t xml:space="preserve">2024-04-30 08:28:38-05:00</t>
  </si>
  <si>
    <t xml:space="preserve">2024:04:30 08:28:38-05:00</t>
  </si>
  <si>
    <t xml:space="preserve">[0 - 891708], [908094 - 913098]</t>
  </si>
  <si>
    <t xml:space="preserve">Signature_afd0624b-84e5-4276-8338-c6bce678b179</t>
  </si>
  <si>
    <t xml:space="preserve">2024-04-30 08:28:35-05:00</t>
  </si>
  <si>
    <t xml:space="preserve">2024:04:30 08:28:35-05:00</t>
  </si>
  <si>
    <t xml:space="preserve">[0 - 740689], [757075 - 761667]</t>
  </si>
  <si>
    <t xml:space="preserve">Signature_3562b027-45f6-4381-8a65-0797ee045cf1</t>
  </si>
  <si>
    <t xml:space="preserve">2024-04-30 08:28:50-05:00</t>
  </si>
  <si>
    <t xml:space="preserve">2024:04:30 08:28:50-05:00</t>
  </si>
  <si>
    <t xml:space="preserve">[0 - 133298], [149684 - 158217]</t>
  </si>
  <si>
    <t xml:space="preserve">Signature_ff880db7-17bd-4c1a-a181-573955c4271d</t>
  </si>
  <si>
    <t xml:space="preserve">2024-04-30 08:28:48-05:00</t>
  </si>
  <si>
    <t xml:space="preserve">2024:04:30 08:28:48-05:00</t>
  </si>
  <si>
    <t xml:space="preserve">Signature_29070406-7033-46d7-af60-017324d6e4d0</t>
  </si>
  <si>
    <t xml:space="preserve">2024-04-30 08:28:44-05:00</t>
  </si>
  <si>
    <t xml:space="preserve">2024:04:30 08:28:44-05:00</t>
  </si>
  <si>
    <t xml:space="preserve">Signature_289d3f9b-b0f1-4d4a-b425-f2bb9b7e2209</t>
  </si>
  <si>
    <t xml:space="preserve">2024-04-30 08:28:40-05:00</t>
  </si>
  <si>
    <t xml:space="preserve">2024:04:30 08:28:40-05:00</t>
  </si>
  <si>
    <t xml:space="preserve">Signature_a911a3fe-2777-45af-ab16-6c25e5bdcac9</t>
  </si>
  <si>
    <t xml:space="preserve">2024-04-30 08:28:51-05:00</t>
  </si>
  <si>
    <t xml:space="preserve">2024:04:30 08:28:51-05:00</t>
  </si>
  <si>
    <t xml:space="preserve">[0 - 382411], [398797 - 407286]</t>
  </si>
  <si>
    <t xml:space="preserve">Signature_38e34826-3340-4095-a658-c47f1df1a66f</t>
  </si>
  <si>
    <t xml:space="preserve">2024-04-30 08:28:28-05:00</t>
  </si>
  <si>
    <t xml:space="preserve">2024:04:30 08:28:28-05:00</t>
  </si>
  <si>
    <t xml:space="preserve">[0 - 62504], [78890 - 87375]</t>
  </si>
  <si>
    <t xml:space="preserve">Signature_48d8fa52-ff41-4c27-965f-67b239327127</t>
  </si>
  <si>
    <t xml:space="preserve">2024-04-30 08:29:58-05:00</t>
  </si>
  <si>
    <t xml:space="preserve">2024:04:30 08:29:58-05:00</t>
  </si>
  <si>
    <t xml:space="preserve">[0 - 522648], [539034 - 543712]</t>
  </si>
  <si>
    <t xml:space="preserve">190 0 obj</t>
  </si>
  <si>
    <t xml:space="preserve">Signature_c8ba2387-028f-4463-b9dd-1fcb77bbe38b</t>
  </si>
  <si>
    <t xml:space="preserve">2024-04-30 08:30:05-05:00</t>
  </si>
  <si>
    <t xml:space="preserve">2024:04:30 08:30:06-05:00</t>
  </si>
  <si>
    <t xml:space="preserve">[0 - 483250], [499636 - 502804]</t>
  </si>
  <si>
    <t xml:space="preserve">Signature_9e25ea6f-9bff-4a69-be0b-1cf5b9449e17</t>
  </si>
  <si>
    <t xml:space="preserve">2024-04-30 08:29:33-05:00</t>
  </si>
  <si>
    <t xml:space="preserve">2024:04:30 08:29:33-05:00</t>
  </si>
  <si>
    <t xml:space="preserve">[0 - 906110], [922496 - 927759]</t>
  </si>
  <si>
    <t xml:space="preserve">Signature_ecfe0b57-088b-4432-8368-19d5299d1d66</t>
  </si>
  <si>
    <t xml:space="preserve">2024-04-30 08:30:00-05:00</t>
  </si>
  <si>
    <t xml:space="preserve">2024:04:30 08:30:00-05:00</t>
  </si>
  <si>
    <t xml:space="preserve">[0 - 271081], [287467 - 292761]</t>
  </si>
  <si>
    <t xml:space="preserve">Signature_c84896cc-516c-4c63-9868-5b8970bec937</t>
  </si>
  <si>
    <t xml:space="preserve">2024-04-30 08:29:46-05:00</t>
  </si>
  <si>
    <t xml:space="preserve">2024:04:30 08:29:46-05:00</t>
  </si>
  <si>
    <t xml:space="preserve">[0 - 307323], [323709 - 328768]</t>
  </si>
  <si>
    <t xml:space="preserve">263 0 obj</t>
  </si>
  <si>
    <t xml:space="preserve">Signature_54bfc8b4-4b9c-48ba-99bb-a1be5d65dea7</t>
  </si>
  <si>
    <t xml:space="preserve">2024-04-30 08:29:59-05:00</t>
  </si>
  <si>
    <t xml:space="preserve">2024:04:30 08:29:59-05:00</t>
  </si>
  <si>
    <t xml:space="preserve">[0 - 74617], [91003 - 95474]</t>
  </si>
  <si>
    <t xml:space="preserve">Signature_f7b029e5-f091-45e8-81d7-d926a482752f</t>
  </si>
  <si>
    <t xml:space="preserve">2024-04-30 08:29:28-05:00</t>
  </si>
  <si>
    <t xml:space="preserve">2024:04:30 08:29:28-05:00</t>
  </si>
  <si>
    <t xml:space="preserve">[0 - 435089], [451475 - 459962]</t>
  </si>
  <si>
    <t xml:space="preserve">Signature_1f827c4c-3615-4a5d-bf5d-8a6f74cd04f3</t>
  </si>
  <si>
    <t xml:space="preserve">2024-04-30 08:30:01-05:00</t>
  </si>
  <si>
    <t xml:space="preserve">2024:04:30 08:30:01-05:00</t>
  </si>
  <si>
    <t xml:space="preserve">[0 - 135397], [151783 - 160316]</t>
  </si>
  <si>
    <t xml:space="preserve">Signature_a08aa072-e2a6-4cf3-8d62-755a02588ece</t>
  </si>
  <si>
    <t xml:space="preserve">2024-04-30 08:30:03-05:00</t>
  </si>
  <si>
    <t xml:space="preserve">2024:04:30 08:30:03-05:00</t>
  </si>
  <si>
    <t xml:space="preserve">[0 - 135861], [152247 - 160780]</t>
  </si>
  <si>
    <t xml:space="preserve">Signature_50299d16-a363-4791-b819-9290780aaee7</t>
  </si>
  <si>
    <t xml:space="preserve">2024-04-30 08:29:50-05:00</t>
  </si>
  <si>
    <t xml:space="preserve">2024:04:30 08:29:50-05:00</t>
  </si>
  <si>
    <t xml:space="preserve">[0 - 139417], [155803 - 164336]</t>
  </si>
  <si>
    <t xml:space="preserve">Signature_c01edfa1-6f34-4aa1-9f69-e32ed779d9b1</t>
  </si>
  <si>
    <t xml:space="preserve">2024-04-30 08:29:51-05:00</t>
  </si>
  <si>
    <t xml:space="preserve">2024:04:30 08:29:51-05:00</t>
  </si>
  <si>
    <t xml:space="preserve">[0 - 137993], [154379 - 162912]</t>
  </si>
  <si>
    <t xml:space="preserve">Signature_556e4514-0705-479c-ae07-748a1e5ab653</t>
  </si>
  <si>
    <t xml:space="preserve">2024-04-30 08:29:32-05:00</t>
  </si>
  <si>
    <t xml:space="preserve">2024:04:30 08:29:32-05:00</t>
  </si>
  <si>
    <t xml:space="preserve">[0 - 239217], [255603 - 261085]</t>
  </si>
  <si>
    <t xml:space="preserve">Signature_1aa38499-5f3f-4363-be16-195d29ae008c</t>
  </si>
  <si>
    <t xml:space="preserve">2024-04-30 08:29:26-05:00</t>
  </si>
  <si>
    <t xml:space="preserve">2024:04:30 08:29:26-05:00</t>
  </si>
  <si>
    <t xml:space="preserve">[0 - 791343], [807729 - 816260]</t>
  </si>
  <si>
    <t xml:space="preserve">Signature_b2fc8063-800f-4dff-88c5-f93ee442b0f2</t>
  </si>
  <si>
    <t xml:space="preserve">2024-04-30 08:30:04-05:00</t>
  </si>
  <si>
    <t xml:space="preserve">2024:04:30 08:30:04-05:00</t>
  </si>
  <si>
    <t xml:space="preserve">[0 - 1039893], [1056279 - 1064814]</t>
  </si>
  <si>
    <t xml:space="preserve">Signature_35bc4955-66de-459e-8556-4d3247c496ed</t>
  </si>
  <si>
    <t xml:space="preserve">2024-04-30 08:29:56-05:00</t>
  </si>
  <si>
    <t xml:space="preserve">2024:04:30 08:29:56-05:00</t>
  </si>
  <si>
    <t xml:space="preserve">[0 - 235930], [252316 - 256987]</t>
  </si>
  <si>
    <t xml:space="preserve">Signature_97739d0c-2463-49df-aec8-5479aa858c08</t>
  </si>
  <si>
    <t xml:space="preserve">2024-04-30 08:29:54-05:00</t>
  </si>
  <si>
    <t xml:space="preserve">2024:04:30 08:29:54-05:00</t>
  </si>
  <si>
    <t xml:space="preserve">[0 - 928938], [945324 - 949912]</t>
  </si>
  <si>
    <t xml:space="preserve">Signature_027a7673-2499-4e17-8b11-6b7b7d1e894e</t>
  </si>
  <si>
    <t xml:space="preserve">2024-04-30 08:29:53-05:00</t>
  </si>
  <si>
    <t xml:space="preserve">2024:04:30 08:29:53-05:00</t>
  </si>
  <si>
    <t xml:space="preserve">[0 - 176823], [193209 - 197677]</t>
  </si>
  <si>
    <t xml:space="preserve">Signature_527ac634-2f6c-4670-914b-792eb9f34d1b</t>
  </si>
  <si>
    <t xml:space="preserve">2024-04-30 08:29:49-05:00</t>
  </si>
  <si>
    <t xml:space="preserve">2024:04:30 08:29:49-05:00</t>
  </si>
  <si>
    <t xml:space="preserve">[0 - 289014], [305400 - 310237]</t>
  </si>
  <si>
    <t xml:space="preserve">Signature_0ee2346d-9a90-4ba4-884b-e2578e68a2dc</t>
  </si>
  <si>
    <t xml:space="preserve">2024-04-30 08:29:42-05:00</t>
  </si>
  <si>
    <t xml:space="preserve">2024:04:30 08:29:42-05:00</t>
  </si>
  <si>
    <t xml:space="preserve">[0 - 789678], [806064 - 811138]</t>
  </si>
  <si>
    <t xml:space="preserve">Signature_0da3384e-0596-4b29-9762-6be0e9d3ba49</t>
  </si>
  <si>
    <t xml:space="preserve">2024-04-30 08:29:40-05:00</t>
  </si>
  <si>
    <t xml:space="preserve">2024:04:30 08:29:40-05:00</t>
  </si>
  <si>
    <t xml:space="preserve">[0 - 1038431], [1054817 - 1063350]</t>
  </si>
  <si>
    <t xml:space="preserve">Signature_4124473f-f866-42e7-8510-c9e79221a260</t>
  </si>
  <si>
    <t xml:space="preserve">2024-04-30 08:29:35-05:00</t>
  </si>
  <si>
    <t xml:space="preserve">2024:04:30 08:29:35-05:00</t>
  </si>
  <si>
    <t xml:space="preserve">[0 - 1012625], [1029011 - 1037544]</t>
  </si>
  <si>
    <t xml:space="preserve">Signature_4366dfc5-759d-491c-8162-fd8c14ece1d1</t>
  </si>
  <si>
    <t xml:space="preserve">2024-04-30 08:29:31-05:00</t>
  </si>
  <si>
    <t xml:space="preserve">2024:04:30 08:29:31-05:00</t>
  </si>
  <si>
    <t xml:space="preserve">[0 - 848710], [865096 - 870067]</t>
  </si>
  <si>
    <t xml:space="preserve">Signature_39077baf-d460-4e60-bbd7-2e9831ae26fc</t>
  </si>
  <si>
    <t xml:space="preserve">2024-04-30 08:29:29-05:00</t>
  </si>
  <si>
    <t xml:space="preserve">2024:04:30 08:29:29-05:00</t>
  </si>
  <si>
    <t xml:space="preserve">[0 - 119195], [135581 - 144112]</t>
  </si>
  <si>
    <t xml:space="preserve">Signature_4d075f38-216f-44b6-9406-0fc2ad9cdbef</t>
  </si>
  <si>
    <t xml:space="preserve">2024-04-30 08:30:02-05:00</t>
  </si>
  <si>
    <t xml:space="preserve">2024:04:30 08:30:02-05:00</t>
  </si>
  <si>
    <t xml:space="preserve">[0 - 106405], [122791 - 131280]</t>
  </si>
  <si>
    <t xml:space="preserve">Signature_ca0ed943-3d4b-48ef-99a1-a6f3ac4cfe8a</t>
  </si>
  <si>
    <t xml:space="preserve">2024-04-30 08:29:57-05:00</t>
  </si>
  <si>
    <t xml:space="preserve">2024:04:30 08:29:57-05:00</t>
  </si>
  <si>
    <t xml:space="preserve">[0 - 174123], [190509 - 195992]</t>
  </si>
  <si>
    <t xml:space="preserve">Signature_9b0213d8-f845-4a50-8a8c-90b6351d7b97</t>
  </si>
  <si>
    <t xml:space="preserve">2024-04-30 08:29:52-05:00</t>
  </si>
  <si>
    <t xml:space="preserve">2024:04:30 08:29:52-05:00</t>
  </si>
  <si>
    <t xml:space="preserve">[0 - 128909], [145295 - 149759]</t>
  </si>
  <si>
    <t xml:space="preserve">Signature_8eb7fc9b-cad7-41cf-82d9-93787c284c2e</t>
  </si>
  <si>
    <t xml:space="preserve">2024-04-30 08:29:45-05:00</t>
  </si>
  <si>
    <t xml:space="preserve">2024:04:30 08:29:45-05:00</t>
  </si>
  <si>
    <t xml:space="preserve">[0 - 768397], [784783 - 790737]</t>
  </si>
  <si>
    <t xml:space="preserve">Signature_5797ca81-abb3-487b-95eb-5ccf207f7c93</t>
  </si>
  <si>
    <t xml:space="preserve">2024-04-30 08:29:41-05:00</t>
  </si>
  <si>
    <t xml:space="preserve">2024:04:30 08:29:41-05:00</t>
  </si>
  <si>
    <t xml:space="preserve">[0 - 841788], [858174 - 866661]</t>
  </si>
  <si>
    <t xml:space="preserve">Signature_950079d9-09a1-44a5-830d-a828925f99c0</t>
  </si>
  <si>
    <t xml:space="preserve">2024-04-30 08:29:36-05:00</t>
  </si>
  <si>
    <t xml:space="preserve">2024:04:30 08:29:36-05:00</t>
  </si>
  <si>
    <t xml:space="preserve">[0 - 876148], [892534 - 901021]</t>
  </si>
  <si>
    <t xml:space="preserve">Signature_68444f9d-1866-498b-8084-d961ac02bae5</t>
  </si>
  <si>
    <t xml:space="preserve">2024-04-30 08:29:34-05:00</t>
  </si>
  <si>
    <t xml:space="preserve">2024:04:30 08:29:34-05:00</t>
  </si>
  <si>
    <t xml:space="preserve">[0 - 651576], [667962 - 672435]</t>
  </si>
  <si>
    <t xml:space="preserve">Signature_8ae6a345-af33-4771-b660-14c9633e6a39</t>
  </si>
  <si>
    <t xml:space="preserve">2024-04-30 08:29:27-05:00</t>
  </si>
  <si>
    <t xml:space="preserve">2024:04:30 08:29:27-05:00</t>
  </si>
  <si>
    <t xml:space="preserve">[0 - 99089], [115475 - 123961]</t>
  </si>
  <si>
    <t xml:space="preserve">Signature_fe4a24c5-39e1-42a8-8c19-d4a142393e44</t>
  </si>
  <si>
    <t xml:space="preserve">2024-04-30 08:29:44-05:00</t>
  </si>
  <si>
    <t xml:space="preserve">2024:04:30 08:29:44-05:00</t>
  </si>
  <si>
    <t xml:space="preserve">[0 - 788870], [805256 - 810649]</t>
  </si>
  <si>
    <t xml:space="preserve">294 0 obj</t>
  </si>
  <si>
    <t xml:space="preserve">Signature_7e533a25-b1cc-42cf-986e-65a4c590c0b2</t>
  </si>
  <si>
    <t xml:space="preserve">2024-04-30 08:29:37-05:00</t>
  </si>
  <si>
    <t xml:space="preserve">2024:04:30 08:29:37-05:00</t>
  </si>
  <si>
    <t xml:space="preserve">[0 - 374214], [390600 - 396580]</t>
  </si>
  <si>
    <t xml:space="preserve">Signature_a4ef874f-80b6-4827-b4cb-d4bd84b1c7ed</t>
  </si>
  <si>
    <t xml:space="preserve">2024-04-30 08:29:48-05:00</t>
  </si>
  <si>
    <t xml:space="preserve">2024:04:30 08:29:48-05:00</t>
  </si>
  <si>
    <t xml:space="preserve">[0 - 323363], [339749 - 344642]</t>
  </si>
  <si>
    <t xml:space="preserve">Signature_72b0952a-b4bc-468a-9a6e-bf8ce818d94d</t>
  </si>
  <si>
    <t xml:space="preserve">2024-04-30 08:29:47-05:00</t>
  </si>
  <si>
    <t xml:space="preserve">2024:04:30 08:29:47-05:00</t>
  </si>
  <si>
    <t xml:space="preserve">[0 - 150662], [167048 - 172205]</t>
  </si>
  <si>
    <t xml:space="preserve">Signature_8fa54242-3f10-4ef5-8b8c-9e61bc7f5ff6</t>
  </si>
  <si>
    <t xml:space="preserve">2024-04-30 08:29:43-05:00</t>
  </si>
  <si>
    <t xml:space="preserve">2024:04:30 08:29:43-05:00</t>
  </si>
  <si>
    <t xml:space="preserve">[0 - 157221], [173607 - 178955]</t>
  </si>
  <si>
    <t xml:space="preserve">Signature_f9cb2081-6347-46c4-80a2-ab4dabb71f59</t>
  </si>
  <si>
    <t xml:space="preserve">2024-04-30 08:29:38-05:00</t>
  </si>
  <si>
    <t xml:space="preserve">2024:04:30 08:29:38-05:00</t>
  </si>
  <si>
    <t xml:space="preserve">[0 - 189776], [206162 - 212538]</t>
  </si>
  <si>
    <t xml:space="preserve">Signature_3ff09a4b-ac56-4f6b-b8bf-ef00b8c4542c</t>
  </si>
  <si>
    <t xml:space="preserve">2024-04-30 08:29:25-05:00</t>
  </si>
  <si>
    <t xml:space="preserve">2024:04:30 08:29:25-05:00</t>
  </si>
  <si>
    <t xml:space="preserve">[0 - 260688], [277074 - 285561]</t>
  </si>
  <si>
    <t xml:space="preserve">Signature_1ef1ec16-e28e-4deb-a486-12dc8ff0b245</t>
  </si>
  <si>
    <t xml:space="preserve">2024-04-30 07:56:26-05:00</t>
  </si>
  <si>
    <t xml:space="preserve">2024:04:30 07:56:26-05:00</t>
  </si>
  <si>
    <t xml:space="preserve">[0 - 391326], [407712 - 413537]</t>
  </si>
  <si>
    <t xml:space="preserve">464 0 obj</t>
  </si>
  <si>
    <t xml:space="preserve">Signature_bef546fc-7b2a-45d3-907e-88e9d29c4739</t>
  </si>
  <si>
    <t xml:space="preserve">2024-04-30 07:56:33-05:00</t>
  </si>
  <si>
    <t xml:space="preserve">2024:04:30 07:56:33-05:00</t>
  </si>
  <si>
    <t xml:space="preserve">[0 - 479212], [495598 - 498390]</t>
  </si>
  <si>
    <t xml:space="preserve">Signature_2ea04ca8-2311-4bec-9ee4-bb7d3594ece0</t>
  </si>
  <si>
    <t xml:space="preserve">2024-04-30 07:56:04-05:00</t>
  </si>
  <si>
    <t xml:space="preserve">2024:04:30 07:56:04-05:00</t>
  </si>
  <si>
    <t xml:space="preserve">[0 - 331104], [347490 - 351971]</t>
  </si>
  <si>
    <t xml:space="preserve">Signature_04ea8037-0354-4eed-b9e4-294c6dfa41a1</t>
  </si>
  <si>
    <t xml:space="preserve">2024-04-30 07:56:16-05:00</t>
  </si>
  <si>
    <t xml:space="preserve">2024:04:30 07:56:16-05:00</t>
  </si>
  <si>
    <t xml:space="preserve">[0 - 493206], [509592 - 518081]</t>
  </si>
  <si>
    <t xml:space="preserve">Signature_87084339-2e0f-43c2-ae45-ced827e6620b</t>
  </si>
  <si>
    <t xml:space="preserve">2024-04-30 07:56:19-05:00</t>
  </si>
  <si>
    <t xml:space="preserve">2024:04:30 07:56:19-05:00</t>
  </si>
  <si>
    <t xml:space="preserve">[0 - 142115], [158501 - 167034]</t>
  </si>
  <si>
    <t xml:space="preserve">Signature_4f48b0a2-9883-44f9-a46c-4e04180af034</t>
  </si>
  <si>
    <t xml:space="preserve">2024-04-30 07:56:17-05:00</t>
  </si>
  <si>
    <t xml:space="preserve">2024:04:30 07:56:17-05:00</t>
  </si>
  <si>
    <t xml:space="preserve">[0 - 1432058], [1448444 - 1456979]</t>
  </si>
  <si>
    <t xml:space="preserve">Signature_7c45e93d-81ad-40db-b5f7-2dac84aea4f2</t>
  </si>
  <si>
    <t xml:space="preserve">2024-04-30 07:56:21-05:00</t>
  </si>
  <si>
    <t xml:space="preserve">2024:04:30 07:56:21-05:00</t>
  </si>
  <si>
    <t xml:space="preserve">[0 - 67279], [83665 - 92152]</t>
  </si>
  <si>
    <t xml:space="preserve">Signature_ba9ab8e0-50f9-442e-bedb-10a802f88189</t>
  </si>
  <si>
    <t xml:space="preserve">2024-04-30 07:56:08-05:00</t>
  </si>
  <si>
    <t xml:space="preserve">2024:04:30 07:56:08-05:00</t>
  </si>
  <si>
    <t xml:space="preserve">[0 - 675297], [691683 - 696238]</t>
  </si>
  <si>
    <t xml:space="preserve">Signature_f3dcf471-1865-4036-bb0b-5ab49c1cfb15</t>
  </si>
  <si>
    <t xml:space="preserve">2024-04-30 07:56:06-05:00</t>
  </si>
  <si>
    <t xml:space="preserve">2024:04:30 07:56:06-05:00</t>
  </si>
  <si>
    <t xml:space="preserve">[0 - 756169], [772555 - 779393]</t>
  </si>
  <si>
    <t xml:space="preserve">Signature_22aeea68-a69f-4f55-875b-ed46ccb0d842</t>
  </si>
  <si>
    <t xml:space="preserve">2024-04-30 07:56:05-05:00</t>
  </si>
  <si>
    <t xml:space="preserve">2024:04:30 07:56:05-05:00</t>
  </si>
  <si>
    <t xml:space="preserve">Signature_389ee200-9427-4bfd-a91e-7f5627394b57</t>
  </si>
  <si>
    <t xml:space="preserve">2024-04-30 07:56:01-05:00</t>
  </si>
  <si>
    <t xml:space="preserve">2024:04:30 07:56:01-05:00</t>
  </si>
  <si>
    <t xml:space="preserve">[0 - 709223], [725609 - 730182]</t>
  </si>
  <si>
    <t xml:space="preserve">Signature_d31f6fc1-689e-437a-9380-63cd78af30c5</t>
  </si>
  <si>
    <t xml:space="preserve">2024-04-30 07:56:00-05:00</t>
  </si>
  <si>
    <t xml:space="preserve">2024:04:30 07:56:00-05:00</t>
  </si>
  <si>
    <t xml:space="preserve">[0 - 709218], [725604 - 730179]</t>
  </si>
  <si>
    <t xml:space="preserve">Signature_bf969ae7-54e8-48d0-a74d-bc135e5e9879</t>
  </si>
  <si>
    <t xml:space="preserve">2024-04-30 07:55:55-05:00</t>
  </si>
  <si>
    <t xml:space="preserve">2024:04:30 07:55:55-05:00</t>
  </si>
  <si>
    <t xml:space="preserve">[0 - 725977], [742363 - 747861]</t>
  </si>
  <si>
    <t xml:space="preserve">Signature_f3b3fa25-daff-459b-9401-a004517a6e30</t>
  </si>
  <si>
    <t xml:space="preserve">2024-04-30 07:55:51-05:00</t>
  </si>
  <si>
    <t xml:space="preserve">2024:04:30 07:55:51-05:00</t>
  </si>
  <si>
    <t xml:space="preserve">[0 - 348212], [364598 - 369118]</t>
  </si>
  <si>
    <t xml:space="preserve">Signature_6d9281cd-66ec-44ff-ac81-95142ae7d72d</t>
  </si>
  <si>
    <t xml:space="preserve">2024-04-30 07:55:50-05:00</t>
  </si>
  <si>
    <t xml:space="preserve">2024:04:30 07:55:50-05:00</t>
  </si>
  <si>
    <t xml:space="preserve">[0 - 709318], [725704 - 730278]</t>
  </si>
  <si>
    <t xml:space="preserve">Signature_8237e01b-b2a9-4228-bd53-982eb3480b3e</t>
  </si>
  <si>
    <t xml:space="preserve">2024-04-30 07:56:32-05:00</t>
  </si>
  <si>
    <t xml:space="preserve">2024:04:30 07:56:32-05:00</t>
  </si>
  <si>
    <t xml:space="preserve">[0 - 1232511], [1248897 - 1254378]</t>
  </si>
  <si>
    <t xml:space="preserve">Signature_f3f49302-ceb6-434e-8afa-ffb27f4ea48a</t>
  </si>
  <si>
    <t xml:space="preserve">2024-04-30 07:56:27-05:00</t>
  </si>
  <si>
    <t xml:space="preserve">2024:04:30 07:56:27-05:00</t>
  </si>
  <si>
    <t xml:space="preserve">[0 - 818759], [835145 - 839733]</t>
  </si>
  <si>
    <t xml:space="preserve">Signature_009ce429-a298-4691-9f40-2bf51bfaef30</t>
  </si>
  <si>
    <t xml:space="preserve">2024-04-30 07:56:25-05:00</t>
  </si>
  <si>
    <t xml:space="preserve">2024:04:30 07:56:25-05:00</t>
  </si>
  <si>
    <t xml:space="preserve">[0 - 137618], [154004 - 162537]</t>
  </si>
  <si>
    <t xml:space="preserve">Signature_c1bf3a7e-c96a-42fd-ace0-b3feeb8f712e</t>
  </si>
  <si>
    <t xml:space="preserve">2024-04-30 07:56:24-05:00</t>
  </si>
  <si>
    <t xml:space="preserve">2024:04:30 07:56:24-05:00</t>
  </si>
  <si>
    <t xml:space="preserve">[0 - 144601], [160987 - 165902]</t>
  </si>
  <si>
    <t xml:space="preserve">Signature_6d47ea59-36a8-4748-a22e-29393a7a50e4</t>
  </si>
  <si>
    <t xml:space="preserve">2024-04-30 07:56:23-05:00</t>
  </si>
  <si>
    <t xml:space="preserve">2024:04:30 07:56:23-05:00</t>
  </si>
  <si>
    <t xml:space="preserve">[0 - 121434], [137820 - 142296]</t>
  </si>
  <si>
    <t xml:space="preserve">Signature_9bb962ea-41c5-4729-8b0c-ffac3166c248</t>
  </si>
  <si>
    <t xml:space="preserve">2024-04-30 07:56:22-05:00</t>
  </si>
  <si>
    <t xml:space="preserve">2024:04:30 07:56:22-05:00</t>
  </si>
  <si>
    <t xml:space="preserve">[0 - 120692], [137078 - 141554]</t>
  </si>
  <si>
    <t xml:space="preserve">Signature_3dee00e6-4fc6-4ce8-8cc0-76799c7d7d05</t>
  </si>
  <si>
    <t xml:space="preserve">2024-04-30 07:56:20-05:00</t>
  </si>
  <si>
    <t xml:space="preserve">2024:04:30 07:56:20-05:00</t>
  </si>
  <si>
    <t xml:space="preserve">[0 - 834275], [850661 - 856228]</t>
  </si>
  <si>
    <t xml:space="preserve">Signature_5e1a0472-a280-4f2d-918a-cc2fb38eaf70</t>
  </si>
  <si>
    <t xml:space="preserve">2024-04-30 07:56:18-05:00</t>
  </si>
  <si>
    <t xml:space="preserve">2024:04:30 07:56:18-05:00</t>
  </si>
  <si>
    <t xml:space="preserve">[0 - 734643], [751029 - 755514]</t>
  </si>
  <si>
    <t xml:space="preserve">Signature_aa5a38ec-7066-434f-a0a2-d73428dc782a</t>
  </si>
  <si>
    <t xml:space="preserve">2024-04-30 07:56:15-05:00</t>
  </si>
  <si>
    <t xml:space="preserve">Signature_88febe35-aa2d-4e22-8909-c21647c766e1</t>
  </si>
  <si>
    <t xml:space="preserve">2024-04-30 07:56:13-05:00</t>
  </si>
  <si>
    <t xml:space="preserve">2024:04:30 07:56:13-05:00</t>
  </si>
  <si>
    <t xml:space="preserve">[0 - 804979], [821365 - 826673]</t>
  </si>
  <si>
    <t xml:space="preserve">Signature_1d0fb778-8144-4983-97ee-c1b14ce7f3a2</t>
  </si>
  <si>
    <t xml:space="preserve">2024-04-30 07:56:12-05:00</t>
  </si>
  <si>
    <t xml:space="preserve">2024:04:30 07:56:12-05:00</t>
  </si>
  <si>
    <t xml:space="preserve">[0 - 1951007], [1967393 - 1972625]</t>
  </si>
  <si>
    <t xml:space="preserve">Signature_aa413ee4-a3e2-43dc-a7d4-c136e4669a0c</t>
  </si>
  <si>
    <t xml:space="preserve">2024-04-30 07:56:09-05:00</t>
  </si>
  <si>
    <t xml:space="preserve">2024:04:30 07:56:09-05:00</t>
  </si>
  <si>
    <t xml:space="preserve">[0 - 832918], [849304 - 857837]</t>
  </si>
  <si>
    <t xml:space="preserve">Signature_eef758da-3307-460a-9e92-ab357a829fa3</t>
  </si>
  <si>
    <t xml:space="preserve">2024-04-30 07:55:56-05:00</t>
  </si>
  <si>
    <t xml:space="preserve">2024:04:30 07:55:56-05:00</t>
  </si>
  <si>
    <t xml:space="preserve">[0 - 226497], [242883 - 248576]</t>
  </si>
  <si>
    <t xml:space="preserve">Signature_74149ec2-74a1-41a7-94d1-25b47a615e47</t>
  </si>
  <si>
    <t xml:space="preserve">2024-04-30 07:55:52-05:00</t>
  </si>
  <si>
    <t xml:space="preserve">2024:04:30 07:55:52-05:00</t>
  </si>
  <si>
    <t xml:space="preserve">[0 - 834441], [850827 - 855422]</t>
  </si>
  <si>
    <t xml:space="preserve">Signature_c947146e-d0ab-44d3-b19a-894ea23ef89b</t>
  </si>
  <si>
    <t xml:space="preserve">2024-04-30 07:56:02-05:00</t>
  </si>
  <si>
    <t xml:space="preserve">2024:04:30 07:56:02-05:00</t>
  </si>
  <si>
    <t xml:space="preserve">Signature_63016f8e-89dd-4156-8a7e-41074d65217c</t>
  </si>
  <si>
    <t xml:space="preserve">2024-04-30 07:55:54-05:00</t>
  </si>
  <si>
    <t xml:space="preserve">2024:04:30 07:55:54-05:00</t>
  </si>
  <si>
    <t xml:space="preserve">[0 - 147492], [163878 - 168410]</t>
  </si>
  <si>
    <t xml:space="preserve">Signature_a1dfb6a8-2049-44b0-acb4-f2b8aa9d7cd7</t>
  </si>
  <si>
    <t xml:space="preserve">2024-04-30 07:56:28-05:00</t>
  </si>
  <si>
    <t xml:space="preserve">2024:04:30 07:56:28-05:00</t>
  </si>
  <si>
    <t xml:space="preserve">[0 - 805356], [821742 - 826431]</t>
  </si>
  <si>
    <t xml:space="preserve">310 0 obj</t>
  </si>
  <si>
    <t xml:space="preserve">Signature_6934665f-ca15-4540-a081-9b08e6999803</t>
  </si>
  <si>
    <t xml:space="preserve">2024-04-30 07:56:29-05:00</t>
  </si>
  <si>
    <t xml:space="preserve">2024:04:30 07:56:29-05:00</t>
  </si>
  <si>
    <t xml:space="preserve">[0 - 151526], [167912 - 172363]</t>
  </si>
  <si>
    <t xml:space="preserve">Signature_d964e883-fa1e-483d-a58e-59b7cbfaef42</t>
  </si>
  <si>
    <t xml:space="preserve">[0 - 69172], [85558 - 94045]</t>
  </si>
  <si>
    <t xml:space="preserve">Signature_62ca8c92-96b1-4e49-8a74-c54c29d17677</t>
  </si>
  <si>
    <t xml:space="preserve">2024-04-30 07:56:10-05:00</t>
  </si>
  <si>
    <t xml:space="preserve">2024:04:30 07:56:10-05:00</t>
  </si>
  <si>
    <t xml:space="preserve">[0 - 359376], [375762 - 384251]</t>
  </si>
  <si>
    <t xml:space="preserve">Signature_80d31515-48f1-4f4e-a202-182c71e131bc</t>
  </si>
  <si>
    <t xml:space="preserve">2024-04-30 07:56:07-05:00</t>
  </si>
  <si>
    <t xml:space="preserve">2024:04:30 07:56:07-05:00</t>
  </si>
  <si>
    <t xml:space="preserve">[0 - 419119], [435505 - 443994]</t>
  </si>
  <si>
    <t xml:space="preserve">Signature_41a6d5d2-adbe-4547-aa84-35d13d608bdc</t>
  </si>
  <si>
    <t xml:space="preserve">2024-04-30 07:56:03-05:00</t>
  </si>
  <si>
    <t xml:space="preserve">2024:04:30 07:56:03-05:00</t>
  </si>
  <si>
    <t xml:space="preserve">[0 - 209790], [226176 - 234663]</t>
  </si>
  <si>
    <t xml:space="preserve">Signature_8124d057-7f30-4978-acb9-b76ff5246eec</t>
  </si>
  <si>
    <t xml:space="preserve">2024-04-30 07:55:58-05:00</t>
  </si>
  <si>
    <t xml:space="preserve">2024:04:30 07:55:58-05:00</t>
  </si>
  <si>
    <t xml:space="preserve">[0 - 272120], [288506 - 296993]</t>
  </si>
  <si>
    <t xml:space="preserve">Signature_6a849682-8046-423a-8b15-d14512d2b23a</t>
  </si>
  <si>
    <t xml:space="preserve">2024-04-30 07:55:57-05:00</t>
  </si>
  <si>
    <t xml:space="preserve">2024:04:30 07:55:57-05:00</t>
  </si>
  <si>
    <t xml:space="preserve">Signature_de7ebb75-bda1-4516-804c-bd99acea2359</t>
  </si>
  <si>
    <t xml:space="preserve">2024-04-30 07:55:53-05:00</t>
  </si>
  <si>
    <t xml:space="preserve">2024:04:30 07:55:53-05:00</t>
  </si>
  <si>
    <t xml:space="preserve">[0 - 263055], [279441 - 287928]</t>
  </si>
  <si>
    <t xml:space="preserve">Signature_a424ca8e-72cd-44ca-b3d6-bc6c4116cf20</t>
  </si>
  <si>
    <t xml:space="preserve">2024-04-30 07:55:49-05:00</t>
  </si>
  <si>
    <t xml:space="preserve">2024:04:30 07:55:49-05:00</t>
  </si>
  <si>
    <t xml:space="preserve">[0 - 261602], [277988 - 286475]</t>
  </si>
  <si>
    <t xml:space="preserve">Signature_c649eb44-0d0c-4caf-8b33-c2d39f1e87e5</t>
  </si>
  <si>
    <t xml:space="preserve">2024-04-30 07:55:48-05:00</t>
  </si>
  <si>
    <t xml:space="preserve">2024:04:30 07:55:48-05:00</t>
  </si>
  <si>
    <t xml:space="preserve">[0 - 76923], [93309 - 101807]</t>
  </si>
  <si>
    <t xml:space="preserve">Signature_afd5299a-1f2b-4699-9011-b28794d479e3</t>
  </si>
  <si>
    <t xml:space="preserve">2024-04-30 07:56:30-05:00</t>
  </si>
  <si>
    <t xml:space="preserve">2024:04:30 07:56:30-05:00</t>
  </si>
  <si>
    <t xml:space="preserve">[0 - 242480], [258866 - 263393]</t>
  </si>
  <si>
    <t xml:space="preserve">Signature_8a48b7b9-b30b-41d5-a01c-f8a01da56897</t>
  </si>
  <si>
    <t xml:space="preserve">2024-04-30 07:57:36-05:00</t>
  </si>
  <si>
    <t xml:space="preserve">2024:04:30 07:57:36-05:00</t>
  </si>
  <si>
    <t xml:space="preserve">[0 - 282208], [298594 - 304419]</t>
  </si>
  <si>
    <t xml:space="preserve">438 0 obj</t>
  </si>
  <si>
    <t xml:space="preserve">Signature_79f5dcf8-cca9-4093-a49a-4d41698c8bdb</t>
  </si>
  <si>
    <t xml:space="preserve">2024-04-30 07:57:41-05:00</t>
  </si>
  <si>
    <t xml:space="preserve">2024:04:30 07:57:41-05:00</t>
  </si>
  <si>
    <t xml:space="preserve">[0 - 480359], [496745 - 499537]</t>
  </si>
  <si>
    <t xml:space="preserve">Signature_40ff2f06-5c43-48fb-89ef-17544aaac65d</t>
  </si>
  <si>
    <t xml:space="preserve">2024-04-30 07:57:15-05:00</t>
  </si>
  <si>
    <t xml:space="preserve">2024:04:30 07:57:15-05:00</t>
  </si>
  <si>
    <t xml:space="preserve">[0 - 331106], [347492 - 351973]</t>
  </si>
  <si>
    <t xml:space="preserve">Signature_7483776a-bc4d-4992-bef3-86f330868c81</t>
  </si>
  <si>
    <t xml:space="preserve">2024-04-30 07:57:26-05:00</t>
  </si>
  <si>
    <t xml:space="preserve">2024:04:30 07:57:26-05:00</t>
  </si>
  <si>
    <t xml:space="preserve">[0 - 86831], [103217 - 111705]</t>
  </si>
  <si>
    <t xml:space="preserve">Signature_5ec3face-e9b6-47f8-9b3b-94b0ec02725a</t>
  </si>
  <si>
    <t xml:space="preserve">2024-04-30 07:57:28-05:00</t>
  </si>
  <si>
    <t xml:space="preserve">2024:04:30 07:57:28-05:00</t>
  </si>
  <si>
    <t xml:space="preserve">[0 - 142808], [159194 - 167727]</t>
  </si>
  <si>
    <t xml:space="preserve">Signature_2d307c8f-e5cc-4d11-b0cd-b4dd22539546</t>
  </si>
  <si>
    <t xml:space="preserve">2024-04-30 07:57:30-05:00</t>
  </si>
  <si>
    <t xml:space="preserve">2024:04:30 07:57:30-05:00</t>
  </si>
  <si>
    <t xml:space="preserve">[0 - 67033], [83419 - 91906]</t>
  </si>
  <si>
    <t xml:space="preserve">Signature_9a935af8-2f40-47b4-826e-1204b485256c</t>
  </si>
  <si>
    <t xml:space="preserve">2024-04-30 07:57:20-05:00</t>
  </si>
  <si>
    <t xml:space="preserve">2024:04:30 07:57:20-05:00</t>
  </si>
  <si>
    <t xml:space="preserve">[0 - 675296], [691682 - 696237]</t>
  </si>
  <si>
    <t xml:space="preserve">Signature_90cb9912-9bcd-432b-a80f-e1150e3a1a51</t>
  </si>
  <si>
    <t xml:space="preserve">2024-04-30 07:57:18-05:00</t>
  </si>
  <si>
    <t xml:space="preserve">2024:04:30 07:57:18-05:00</t>
  </si>
  <si>
    <t xml:space="preserve">Signature_b0bc6808-0bd0-4e8f-b45c-9664ce0ed728</t>
  </si>
  <si>
    <t xml:space="preserve">2024-04-30 07:57:16-05:00</t>
  </si>
  <si>
    <t xml:space="preserve">2024:04:30 07:57:16-05:00</t>
  </si>
  <si>
    <t xml:space="preserve">[0 - 786514], [802900 - 807373]</t>
  </si>
  <si>
    <t xml:space="preserve">Signature_ebe067ab-ac3b-4a79-907d-01c7e2e38941</t>
  </si>
  <si>
    <t xml:space="preserve">2024-04-30 07:57:12-05:00</t>
  </si>
  <si>
    <t xml:space="preserve">2024:04:30 07:57:12-05:00</t>
  </si>
  <si>
    <t xml:space="preserve">[0 - 709224], [725610 - 730183]</t>
  </si>
  <si>
    <t xml:space="preserve">Signature_90a58c29-9b23-40e2-916d-193ddfae4e04</t>
  </si>
  <si>
    <t xml:space="preserve">2024-04-30 07:57:11-05:00</t>
  </si>
  <si>
    <t xml:space="preserve">2024:04:30 07:57:11-05:00</t>
  </si>
  <si>
    <t xml:space="preserve">[0 - 709217], [725603 - 730177]</t>
  </si>
  <si>
    <t xml:space="preserve">Signature_555e0b58-5f15-4408-8c09-de662f0f2930</t>
  </si>
  <si>
    <t xml:space="preserve">2024-04-30 07:57:08-05:00</t>
  </si>
  <si>
    <t xml:space="preserve">2024:04:30 07:57:08-05:00</t>
  </si>
  <si>
    <t xml:space="preserve">[0 - 725976], [742362 - 747859]</t>
  </si>
  <si>
    <t xml:space="preserve">Signature_4e02a56f-0a40-417e-98d9-865d9af7b856</t>
  </si>
  <si>
    <t xml:space="preserve">2024-04-30 07:57:04-05:00</t>
  </si>
  <si>
    <t xml:space="preserve">2024:04:30 07:57:04-05:00</t>
  </si>
  <si>
    <t xml:space="preserve">Signature_5434b4e3-b23c-4270-8eab-63aa6a4964b3</t>
  </si>
  <si>
    <t xml:space="preserve">2024-04-30 07:57:03-05:00</t>
  </si>
  <si>
    <t xml:space="preserve">2024:04:30 07:57:03-05:00</t>
  </si>
  <si>
    <t xml:space="preserve">[0 - 709317], [725703 - 730276]</t>
  </si>
  <si>
    <t xml:space="preserve">Signature_9b166ec0-79d0-4ba1-9aa1-a07538f347df</t>
  </si>
  <si>
    <t xml:space="preserve">2024-04-30 07:57:40-05:00</t>
  </si>
  <si>
    <t xml:space="preserve">2024:04:30 07:57:40-05:00</t>
  </si>
  <si>
    <t xml:space="preserve">[0 - 1232501], [1248887 - 1254366]</t>
  </si>
  <si>
    <t xml:space="preserve">Signature_d88fd823-29e1-4ea0-9fd6-63e3badcb3b2</t>
  </si>
  <si>
    <t xml:space="preserve">2024-04-30 07:57:37-05:00</t>
  </si>
  <si>
    <t xml:space="preserve">2024:04:30 07:57:37-05:00</t>
  </si>
  <si>
    <t xml:space="preserve">[0 - 818760], [835146 - 839734]</t>
  </si>
  <si>
    <t xml:space="preserve">Signature_97415137-fb63-4aa8-ab18-a3663be4d00b</t>
  </si>
  <si>
    <t xml:space="preserve">2024-04-30 07:57:34-05:00</t>
  </si>
  <si>
    <t xml:space="preserve">2024:04:30 07:57:34-05:00</t>
  </si>
  <si>
    <t xml:space="preserve">[0 - 138995], [155381 - 163914]</t>
  </si>
  <si>
    <t xml:space="preserve">Signature_69e1cbb4-b36e-4252-9d30-fb83beb5499f</t>
  </si>
  <si>
    <t xml:space="preserve">2024-04-30 07:57:33-05:00</t>
  </si>
  <si>
    <t xml:space="preserve">2024:04:30 07:57:33-05:00</t>
  </si>
  <si>
    <t xml:space="preserve">Signature_46016195-1de4-4d9d-b39f-a9e45f6a340e</t>
  </si>
  <si>
    <t xml:space="preserve">2024-04-30 07:57:32-05:00</t>
  </si>
  <si>
    <t xml:space="preserve">2024:04:30 07:57:32-05:00</t>
  </si>
  <si>
    <t xml:space="preserve">[0 - 119530], [135916 - 140392]</t>
  </si>
  <si>
    <t xml:space="preserve">Signature_c9f0c498-a5d5-43c7-af0a-58813c1ede01</t>
  </si>
  <si>
    <t xml:space="preserve">2024-04-30 07:57:31-05:00</t>
  </si>
  <si>
    <t xml:space="preserve">2024:04:30 07:57:31-05:00</t>
  </si>
  <si>
    <t xml:space="preserve">[0 - 120691], [137077 - 141553]</t>
  </si>
  <si>
    <t xml:space="preserve">Signature_2d8d6865-7c78-4e29-8443-453a3b4a6e20</t>
  </si>
  <si>
    <t xml:space="preserve">2024-04-30 07:57:29-05:00</t>
  </si>
  <si>
    <t xml:space="preserve">2024:04:30 07:57:29-05:00</t>
  </si>
  <si>
    <t xml:space="preserve">[0 - 834273], [850659 - 856225]</t>
  </si>
  <si>
    <t xml:space="preserve">Signature_26afe991-7399-455e-bef8-f87f3118416c</t>
  </si>
  <si>
    <t xml:space="preserve">2024-04-30 07:57:27-05:00</t>
  </si>
  <si>
    <t xml:space="preserve">2024:04:30 07:57:27-05:00</t>
  </si>
  <si>
    <t xml:space="preserve">Signature_75085003-dc1e-472b-8b6a-64d95f1d6b0f</t>
  </si>
  <si>
    <t xml:space="preserve">2024-04-30 07:57:25-05:00</t>
  </si>
  <si>
    <t xml:space="preserve">Signature_e3df9c1b-4746-4980-980a-6d1957e93bfb</t>
  </si>
  <si>
    <t xml:space="preserve">2024-04-30 07:57:24-05:00</t>
  </si>
  <si>
    <t xml:space="preserve">2024:04:30 07:57:24-05:00</t>
  </si>
  <si>
    <t xml:space="preserve">[0 - 804978], [821364 - 826673]</t>
  </si>
  <si>
    <t xml:space="preserve">Signature_c21a1cdc-5689-4804-92ac-527a1e859717</t>
  </si>
  <si>
    <t xml:space="preserve">2024-04-30 07:57:22-05:00</t>
  </si>
  <si>
    <t xml:space="preserve">2024:04:30 07:57:22-05:00</t>
  </si>
  <si>
    <t xml:space="preserve">[0 - 1951010], [1967396 - 1972626]</t>
  </si>
  <si>
    <t xml:space="preserve">Signature_4ab0f097-bade-4ae8-9334-4dbb7e1e5a6b</t>
  </si>
  <si>
    <t xml:space="preserve">2024-04-30 07:57:21-05:00</t>
  </si>
  <si>
    <t xml:space="preserve">2024:04:30 07:57:21-05:00</t>
  </si>
  <si>
    <t xml:space="preserve">[0 - 833267], [849653 - 858186]</t>
  </si>
  <si>
    <t xml:space="preserve">Signature_293343e9-94aa-4e29-9aa9-bf8c432b8a48</t>
  </si>
  <si>
    <t xml:space="preserve">2024-04-30 07:57:09-05:00</t>
  </si>
  <si>
    <t xml:space="preserve">2024:04:30 07:57:09-05:00</t>
  </si>
  <si>
    <t xml:space="preserve">[0 - 226498], [242884 - 248578]</t>
  </si>
  <si>
    <t xml:space="preserve">Signature_c94b1beb-fe57-421f-980c-7ef8aaccc889</t>
  </si>
  <si>
    <t xml:space="preserve">2024-04-30 07:57:05-05:00</t>
  </si>
  <si>
    <t xml:space="preserve">2024:04:30 07:57:05-05:00</t>
  </si>
  <si>
    <t xml:space="preserve">[0 - 248968], [265354 - 269962]</t>
  </si>
  <si>
    <t xml:space="preserve">Signature_b5790c2e-7589-410f-8797-583cc7ed4907</t>
  </si>
  <si>
    <t xml:space="preserve">2024-04-30 07:57:13-05:00</t>
  </si>
  <si>
    <t xml:space="preserve">2024:04:30 07:57:13-05:00</t>
  </si>
  <si>
    <t xml:space="preserve">[0 - 795265], [811651 - 816725]</t>
  </si>
  <si>
    <t xml:space="preserve">Signature_fff8d5b6-815c-4baf-a88b-e1ef7888bd70</t>
  </si>
  <si>
    <t xml:space="preserve">2024-04-30 07:57:07-05:00</t>
  </si>
  <si>
    <t xml:space="preserve">2024:04:30 07:57:07-05:00</t>
  </si>
  <si>
    <t xml:space="preserve">Signature_865fad9f-faa6-4f12-a205-8f20215ec080</t>
  </si>
  <si>
    <t xml:space="preserve">2024-04-30 07:57:38-05:00</t>
  </si>
  <si>
    <t xml:space="preserve">2024:04:30 07:57:38-05:00</t>
  </si>
  <si>
    <t xml:space="preserve">[0 - 805357], [821743 - 826431]</t>
  </si>
  <si>
    <t xml:space="preserve">Signature_a3939a7f-bab2-40c9-9849-2835da2d67b7</t>
  </si>
  <si>
    <t xml:space="preserve">2024-04-30 07:57:23-05:00</t>
  </si>
  <si>
    <t xml:space="preserve">2024:04:30 07:57:23-05:00</t>
  </si>
  <si>
    <t xml:space="preserve">Signature_cd2361ae-c31e-4b2b-b620-ec3b9ad4ba7a</t>
  </si>
  <si>
    <t xml:space="preserve">2024-04-30 07:57:19-05:00</t>
  </si>
  <si>
    <t xml:space="preserve">2024:04:30 07:57:19-05:00</t>
  </si>
  <si>
    <t xml:space="preserve">Signature_ff156adb-18e3-439a-bc16-5d82a01b3814</t>
  </si>
  <si>
    <t xml:space="preserve">2024-04-30 07:57:14-05:00</t>
  </si>
  <si>
    <t xml:space="preserve">2024:04:30 07:57:14-05:00</t>
  </si>
  <si>
    <t xml:space="preserve">[0 - 204942], [221328 - 229464]</t>
  </si>
  <si>
    <t xml:space="preserve">Signature_32fbb9a0-987f-479f-a090-65e9aa92d110</t>
  </si>
  <si>
    <t xml:space="preserve">2024-04-30 07:57:10-05:00</t>
  </si>
  <si>
    <t xml:space="preserve">2024:04:30 07:57:10-05:00</t>
  </si>
  <si>
    <t xml:space="preserve">Signature_1ad8ff0f-1046-464e-b6bd-a165907b7552</t>
  </si>
  <si>
    <t xml:space="preserve">2024-04-30 07:57:06-05:00</t>
  </si>
  <si>
    <t xml:space="preserve">2024:04:30 07:57:06-05:00</t>
  </si>
  <si>
    <t xml:space="preserve">Signature_21a85baf-7e16-4409-b0f9-af15d8a09a6b</t>
  </si>
  <si>
    <t xml:space="preserve">2024-04-30 07:57:01-05:00</t>
  </si>
  <si>
    <t xml:space="preserve">2024:04:30 07:57:01-05:00</t>
  </si>
  <si>
    <t xml:space="preserve">Signature_602601d6-0d20-4ba3-a2a6-fc21c780f4ad</t>
  </si>
  <si>
    <t xml:space="preserve">2024-04-30 07:57:00-05:00</t>
  </si>
  <si>
    <t xml:space="preserve">2024:04:30 07:57:00-05:00</t>
  </si>
  <si>
    <t xml:space="preserve">[0 - 76372], [92758 - 101253]</t>
  </si>
  <si>
    <t xml:space="preserve">Signature_ec3b2758-440e-465e-b2e5-5086a5564f01</t>
  </si>
  <si>
    <t xml:space="preserve">2024-04-30 07:57:39-05:00</t>
  </si>
  <si>
    <t xml:space="preserve">2024:04:30 07:57:39-05:00</t>
  </si>
  <si>
    <t xml:space="preserve">[0 - 182631], [199017 - 203543]</t>
  </si>
  <si>
    <t xml:space="preserve">Signature_322a6750-afb5-4764-8741-65ad179e06d5</t>
  </si>
  <si>
    <t xml:space="preserve">2024-04-30 08:00:23-05:00</t>
  </si>
  <si>
    <t xml:space="preserve">2024:04:30 08:00:23-05:00</t>
  </si>
  <si>
    <t xml:space="preserve">[0 - 323882], [340268 - 346090]</t>
  </si>
  <si>
    <t xml:space="preserve">Signature_b49d2436-11a4-411c-b7c6-b2e177d0e9d4</t>
  </si>
  <si>
    <t xml:space="preserve">2024-04-30 08:00:26-05:00</t>
  </si>
  <si>
    <t xml:space="preserve">2024:04:30 08:00:27-05:00</t>
  </si>
  <si>
    <t xml:space="preserve">[0 - 480747], [497133 - 499925]</t>
  </si>
  <si>
    <t xml:space="preserve">Signature_c785629d-3b34-47e5-8c90-2026a265fc30</t>
  </si>
  <si>
    <t xml:space="preserve">2024-04-30 07:59:58-05:00</t>
  </si>
  <si>
    <t xml:space="preserve">2024:04:30 07:59:58-05:00</t>
  </si>
  <si>
    <t xml:space="preserve">[0 - 935855], [952241 - 957990]</t>
  </si>
  <si>
    <t xml:space="preserve">252 0 obj</t>
  </si>
  <si>
    <t xml:space="preserve">Signature_ba0df29a-9262-49d6-b7d7-0b06d4d3a9e8</t>
  </si>
  <si>
    <t xml:space="preserve">2024-04-30 08:00:03-05:00</t>
  </si>
  <si>
    <t xml:space="preserve">2024:04:30 08:00:03-05:00</t>
  </si>
  <si>
    <t xml:space="preserve">[0 - 272123], [288509 - 293936]</t>
  </si>
  <si>
    <t xml:space="preserve">237 0 obj</t>
  </si>
  <si>
    <t xml:space="preserve">Signature_c762ad18-68c6-4b2f-83e1-9ae773705bb4</t>
  </si>
  <si>
    <t xml:space="preserve">2024-04-30 08:00:13-05:00</t>
  </si>
  <si>
    <t xml:space="preserve">2024:04:30 08:00:13-05:00</t>
  </si>
  <si>
    <t xml:space="preserve">[0 - 727522], [743908 - 749114]</t>
  </si>
  <si>
    <t xml:space="preserve">Signature_237cef2b-a3c6-4d0f-9bc9-7eab67e4e100</t>
  </si>
  <si>
    <t xml:space="preserve">2024-04-30 08:00:17-05:00</t>
  </si>
  <si>
    <t xml:space="preserve">2024:04:30 08:00:17-05:00</t>
  </si>
  <si>
    <t xml:space="preserve">[0 - 305497], [321883 - 330372]</t>
  </si>
  <si>
    <t xml:space="preserve">Signature_71652f8d-d2d2-4c33-b93d-a25ae21a174b</t>
  </si>
  <si>
    <t xml:space="preserve">2024-04-30 07:59:57-05:00</t>
  </si>
  <si>
    <t xml:space="preserve">2024:04:30 07:59:57-05:00</t>
  </si>
  <si>
    <t xml:space="preserve">[0 - 92682], [109068 - 113621]</t>
  </si>
  <si>
    <t xml:space="preserve">Signature_d96da516-acdc-4094-92a9-c8034ef726d3</t>
  </si>
  <si>
    <t xml:space="preserve">2024-04-30 07:59:50-05:00</t>
  </si>
  <si>
    <t xml:space="preserve">2024:04:30 07:59:50-05:00</t>
  </si>
  <si>
    <t xml:space="preserve">[0 - 692709], [709095 - 714353]</t>
  </si>
  <si>
    <t xml:space="preserve">Signature_7ab04cf0-f67c-4084-ab24-bf7e118b106b</t>
  </si>
  <si>
    <t xml:space="preserve">2024-04-30 07:59:49-05:00</t>
  </si>
  <si>
    <t xml:space="preserve">2024:04:30 07:59:49-05:00</t>
  </si>
  <si>
    <t xml:space="preserve">[0 - 708109], [724495 - 729079]</t>
  </si>
  <si>
    <t xml:space="preserve">Signature_0b8c0965-b11e-4fc8-b30b-fe0f8613276c</t>
  </si>
  <si>
    <t xml:space="preserve">2024-04-30 08:00:24-05:00</t>
  </si>
  <si>
    <t xml:space="preserve">2024:04:30 08:00:24-05:00</t>
  </si>
  <si>
    <t xml:space="preserve">[0 - 748719], [765105 - 773638]</t>
  </si>
  <si>
    <t xml:space="preserve">Signature_33af6bf5-79d5-4a6b-a8a9-bc61468bb2c9</t>
  </si>
  <si>
    <t xml:space="preserve">2024-04-30 08:00:20-05:00</t>
  </si>
  <si>
    <t xml:space="preserve">2024:04:30 08:00:20-05:00</t>
  </si>
  <si>
    <t xml:space="preserve">[0 - 714135], [730521 - 735417]</t>
  </si>
  <si>
    <t xml:space="preserve">Signature_d57b9e6c-0778-4cbf-92a5-087d227bd7d7</t>
  </si>
  <si>
    <t xml:space="preserve">2024-04-30 08:00:19-05:00</t>
  </si>
  <si>
    <t xml:space="preserve">2024:04:30 08:00:19-05:00</t>
  </si>
  <si>
    <t xml:space="preserve">[0 - 173276], [189662 - 194415]</t>
  </si>
  <si>
    <t xml:space="preserve">Signature_ebf4d15a-51b1-492a-94a6-9da391c09d74</t>
  </si>
  <si>
    <t xml:space="preserve">2024-04-30 08:00:18-05:00</t>
  </si>
  <si>
    <t xml:space="preserve">2024:04:30 08:00:18-05:00</t>
  </si>
  <si>
    <t xml:space="preserve">[0 - 135565], [151951 - 160484]</t>
  </si>
  <si>
    <t xml:space="preserve">Signature_5ecc6a1a-396d-4da0-9303-650c72d3d7f3</t>
  </si>
  <si>
    <t xml:space="preserve">2024-04-30 08:00:15-05:00</t>
  </si>
  <si>
    <t xml:space="preserve">2024:04:30 08:00:15-05:00</t>
  </si>
  <si>
    <t xml:space="preserve">[0 - 133950], [150336 - 158869]</t>
  </si>
  <si>
    <t xml:space="preserve">Signature_a4e2b533-96ab-4a98-86d8-3594f570338a</t>
  </si>
  <si>
    <t xml:space="preserve">2024-04-30 07:59:55-05:00</t>
  </si>
  <si>
    <t xml:space="preserve">2024:04:30 07:59:55-05:00</t>
  </si>
  <si>
    <t xml:space="preserve">[0 - 248248], [264634 - 269243]</t>
  </si>
  <si>
    <t xml:space="preserve">Signature_213a1b64-a10c-435a-862f-05e5c3a2192b</t>
  </si>
  <si>
    <t xml:space="preserve">2024-04-30 07:59:54-05:00</t>
  </si>
  <si>
    <t xml:space="preserve">2024:04:30 07:59:54-05:00</t>
  </si>
  <si>
    <t xml:space="preserve">[0 - 821447], [837833 - 843399]</t>
  </si>
  <si>
    <t xml:space="preserve">Signature_707440fe-2096-484e-82b2-754c1d7c5acd</t>
  </si>
  <si>
    <t xml:space="preserve">2024-04-30 08:00:10-05:00</t>
  </si>
  <si>
    <t xml:space="preserve">2024:04:30 08:00:10-05:00</t>
  </si>
  <si>
    <t xml:space="preserve">[0 - 1481680], [1498066 - 1502626]</t>
  </si>
  <si>
    <t xml:space="preserve">Signature_19f4d51b-c131-4042-9d1a-dc3ad4f9f81c</t>
  </si>
  <si>
    <t xml:space="preserve">2024-04-30 08:00:05-05:00</t>
  </si>
  <si>
    <t xml:space="preserve">2024:04:30 08:00:05-05:00</t>
  </si>
  <si>
    <t xml:space="preserve">[0 - 903258], [919644 - 924335]</t>
  </si>
  <si>
    <t xml:space="preserve">Signature_57cdb01e-28eb-4007-99d3-0212879d4344</t>
  </si>
  <si>
    <t xml:space="preserve">2024-04-30 08:00:02-05:00</t>
  </si>
  <si>
    <t xml:space="preserve">2024:04:30 08:00:02-05:00</t>
  </si>
  <si>
    <t xml:space="preserve">[0 - 868630], [885016 - 889990]</t>
  </si>
  <si>
    <t xml:space="preserve">Signature_57fca5d6-9f19-4690-b452-a4aef373ec98</t>
  </si>
  <si>
    <t xml:space="preserve">2024-04-30 07:59:59-05:00</t>
  </si>
  <si>
    <t xml:space="preserve">2024:04:30 07:59:59-05:00</t>
  </si>
  <si>
    <t xml:space="preserve">[0 - 1077854], [1094240 - 1102773]</t>
  </si>
  <si>
    <t xml:space="preserve">Signature_87da7fd6-fd97-4ea4-9566-bb632c91bb49</t>
  </si>
  <si>
    <t xml:space="preserve">2024-04-30 07:59:56-05:00</t>
  </si>
  <si>
    <t xml:space="preserve">2024:04:30 07:59:56-05:00</t>
  </si>
  <si>
    <t xml:space="preserve">[0 - 847485], [863871 - 868845]</t>
  </si>
  <si>
    <t xml:space="preserve">Signature_93183266-2558-432f-a0d6-4562aa1fbc3d</t>
  </si>
  <si>
    <t xml:space="preserve">2024-04-30 07:59:51-05:00</t>
  </si>
  <si>
    <t xml:space="preserve">2024:04:30 07:59:51-05:00</t>
  </si>
  <si>
    <t xml:space="preserve">[0 - 847225], [863611 - 868591]</t>
  </si>
  <si>
    <t xml:space="preserve">Signature_d4565160-d630-4634-89c9-41ae440efc4f</t>
  </si>
  <si>
    <t xml:space="preserve">2024-04-30 08:00:25-05:00</t>
  </si>
  <si>
    <t xml:space="preserve">2024:04:30 08:00:25-05:00</t>
  </si>
  <si>
    <t xml:space="preserve">[0 - 726887], [743273 - 751762]</t>
  </si>
  <si>
    <t xml:space="preserve">Signature_a7c72b82-00de-4254-b4e2-8f1a7586ca74</t>
  </si>
  <si>
    <t xml:space="preserve">2024-04-30 08:00:22-05:00</t>
  </si>
  <si>
    <t xml:space="preserve">2024:04:30 08:00:22-05:00</t>
  </si>
  <si>
    <t xml:space="preserve">[0 - 681156], [697542 - 702744]</t>
  </si>
  <si>
    <t xml:space="preserve">660 0 obj</t>
  </si>
  <si>
    <t xml:space="preserve">Signature_449dd838-74d8-4de4-b31a-2f9844e795ff</t>
  </si>
  <si>
    <t xml:space="preserve">2024-04-30 08:00:16-05:00</t>
  </si>
  <si>
    <t xml:space="preserve">2024:04:30 08:00:16-05:00</t>
  </si>
  <si>
    <t xml:space="preserve">[0 - 105871], [122257 - 130746]</t>
  </si>
  <si>
    <t xml:space="preserve">Signature_36f5974c-c9fe-49c5-99a3-177b10ab363a</t>
  </si>
  <si>
    <t xml:space="preserve">2024-04-30 08:00:14-05:00</t>
  </si>
  <si>
    <t xml:space="preserve">2024:04:30 08:00:14-05:00</t>
  </si>
  <si>
    <t xml:space="preserve">[0 - 727404], [743790 - 752279]</t>
  </si>
  <si>
    <t xml:space="preserve">Signature_9d4a5bc2-7d13-4d4b-8336-fd64322acdf7</t>
  </si>
  <si>
    <t xml:space="preserve">2024-04-30 08:00:09-05:00</t>
  </si>
  <si>
    <t xml:space="preserve">2024:04:30 08:00:09-05:00</t>
  </si>
  <si>
    <t xml:space="preserve">[0 - 793587], [809973 - 815265]</t>
  </si>
  <si>
    <t xml:space="preserve">Signature_06854e57-c870-427c-8eeb-598adb0a68ee</t>
  </si>
  <si>
    <t xml:space="preserve">2024-04-30 08:00:07-05:00</t>
  </si>
  <si>
    <t xml:space="preserve">2024:04:30 08:00:07-05:00</t>
  </si>
  <si>
    <t xml:space="preserve">[0 - 788723], [805109 - 813598]</t>
  </si>
  <si>
    <t xml:space="preserve">Signature_da36613b-391f-408f-bab6-6897e49c45d8</t>
  </si>
  <si>
    <t xml:space="preserve">[0 - 770929], [787315 - 793302]</t>
  </si>
  <si>
    <t xml:space="preserve">191 0 obj</t>
  </si>
  <si>
    <t xml:space="preserve">Signature_82764563-6a02-4898-ad48-a2accaa43d4a</t>
  </si>
  <si>
    <t xml:space="preserve">2024-04-30 08:00:00-05:00</t>
  </si>
  <si>
    <t xml:space="preserve">2024:04:30 08:00:00-05:00</t>
  </si>
  <si>
    <t xml:space="preserve">[0 - 802594], [818980 - 827467]</t>
  </si>
  <si>
    <t xml:space="preserve">Signature_84042cf6-0fc3-422b-b520-8572e133de84</t>
  </si>
  <si>
    <t xml:space="preserve">2024-04-30 08:00:11-05:00</t>
  </si>
  <si>
    <t xml:space="preserve">2024:04:30 08:00:11-05:00</t>
  </si>
  <si>
    <t xml:space="preserve">[0 - 349372], [365758 - 370896]</t>
  </si>
  <si>
    <t xml:space="preserve">194 0 obj</t>
  </si>
  <si>
    <t xml:space="preserve">Signature_2f9c38e8-5bc6-4583-a7df-c98f752f0874</t>
  </si>
  <si>
    <t xml:space="preserve">2024-04-30 08:00:08-05:00</t>
  </si>
  <si>
    <t xml:space="preserve">2024:04:30 08:00:08-05:00</t>
  </si>
  <si>
    <t xml:space="preserve">[0 - 715982], [732368 - 737957]</t>
  </si>
  <si>
    <t xml:space="preserve">Signature_177b38d6-95b5-4bbe-935a-e37a1538fe19</t>
  </si>
  <si>
    <t xml:space="preserve">2024-04-30 08:00:06-05:00</t>
  </si>
  <si>
    <t xml:space="preserve">2024:04:30 08:00:06-05:00</t>
  </si>
  <si>
    <t xml:space="preserve">[0 - 252820], [269206 - 274168]</t>
  </si>
  <si>
    <t xml:space="preserve">Signature_2a3fa15b-9b68-4552-8937-f6351066e39c</t>
  </si>
  <si>
    <t xml:space="preserve">2024-04-30 08:00:12-05:00</t>
  </si>
  <si>
    <t xml:space="preserve">2024:04:30 08:00:12-05:00</t>
  </si>
  <si>
    <t xml:space="preserve">[0 - 160850], [177236 - 182664]</t>
  </si>
  <si>
    <t xml:space="preserve">164 0 obj</t>
  </si>
  <si>
    <t xml:space="preserve">Signature_d1b78ab1-a776-4174-a0a5-0734e068824e</t>
  </si>
  <si>
    <t xml:space="preserve">2024-04-30 07:59:53-05:00</t>
  </si>
  <si>
    <t xml:space="preserve">2024:04:30 07:59:53-05:00</t>
  </si>
  <si>
    <t xml:space="preserve">[0 - 283792], [300178 - 308665]</t>
  </si>
  <si>
    <t xml:space="preserve">Signature_d5ec801c-641e-43de-a402-279657b775b7</t>
  </si>
  <si>
    <t xml:space="preserve">2024-04-30 07:59:52-05:00</t>
  </si>
  <si>
    <t xml:space="preserve">2024:04:30 07:59:52-05:00</t>
  </si>
  <si>
    <t xml:space="preserve">[0 - 256653], [273039 - 281526]</t>
  </si>
  <si>
    <t xml:space="preserve">Signature_7c3d5f0c-f9fd-4523-baf0-271ef9c7a2b8</t>
  </si>
  <si>
    <t xml:space="preserve">2024-04-30 08:31:15-05:00</t>
  </si>
  <si>
    <t xml:space="preserve">2024:04:30 08:31:15-05:00</t>
  </si>
  <si>
    <t xml:space="preserve">[0 - 476233], [492619 - 498463]</t>
  </si>
  <si>
    <t xml:space="preserve">746 0 obj</t>
  </si>
  <si>
    <t xml:space="preserve">Signature_1e19adf5-6f1d-4b65-8a56-a178885641c4</t>
  </si>
  <si>
    <t xml:space="preserve">2024-04-30 08:31:18-05:00</t>
  </si>
  <si>
    <t xml:space="preserve">2024:04:30 08:31:19-05:00</t>
  </si>
  <si>
    <t xml:space="preserve">[0 - 477148], [493534 - 496326]</t>
  </si>
  <si>
    <t xml:space="preserve">Signature_daf3fab4-cf12-4eb2-a5e3-5e44c9bc9c2b</t>
  </si>
  <si>
    <t xml:space="preserve">2024-04-30 08:30:50-05:00</t>
  </si>
  <si>
    <t xml:space="preserve">2024:04:30 08:30:50-05:00</t>
  </si>
  <si>
    <t xml:space="preserve">[0 - 935853], [952239 - 957989]</t>
  </si>
  <si>
    <t xml:space="preserve">Signature_2d6336b8-7072-4a6e-831a-ec2c3b2cd84f</t>
  </si>
  <si>
    <t xml:space="preserve">2024-04-30 08:30:55-05:00</t>
  </si>
  <si>
    <t xml:space="preserve">2024:04:30 08:30:55-05:00</t>
  </si>
  <si>
    <t xml:space="preserve">[0 - 272123], [288509 - 293935]</t>
  </si>
  <si>
    <t xml:space="preserve">Signature_dbc074f1-a0d8-46b6-8ab4-b1887fdcd600</t>
  </si>
  <si>
    <t xml:space="preserve">2024-04-30 08:31:02-05:00</t>
  </si>
  <si>
    <t xml:space="preserve">2024:04:30 08:31:02-05:00</t>
  </si>
  <si>
    <t xml:space="preserve">[0 - 396326], [412712 - 418342]</t>
  </si>
  <si>
    <t xml:space="preserve">283 0 obj</t>
  </si>
  <si>
    <t xml:space="preserve">Signature_73b59451-5803-4128-afae-cf32112be818</t>
  </si>
  <si>
    <t xml:space="preserve">2024-04-30 08:31:03-05:00</t>
  </si>
  <si>
    <t xml:space="preserve">2024:04:30 08:31:03-05:00</t>
  </si>
  <si>
    <t xml:space="preserve">[0 - 178511], [194897 - 200506]</t>
  </si>
  <si>
    <t xml:space="preserve">182 0 obj</t>
  </si>
  <si>
    <t xml:space="preserve">Signature_ac16078d-6dd5-4503-b1f6-8baa8cb85d2f</t>
  </si>
  <si>
    <t xml:space="preserve">2024-04-30 08:30:57-05:00</t>
  </si>
  <si>
    <t xml:space="preserve">2024:04:30 08:30:57-05:00</t>
  </si>
  <si>
    <t xml:space="preserve">[0 - 1251761], [1268147 - 1272615]</t>
  </si>
  <si>
    <t xml:space="preserve">Signature_54984adc-b527-4ba4-9787-69dfa2464e9b</t>
  </si>
  <si>
    <t xml:space="preserve">2024-04-30 08:30:48-05:00</t>
  </si>
  <si>
    <t xml:space="preserve">2024:04:30 08:30:48-05:00</t>
  </si>
  <si>
    <t xml:space="preserve">[0 - 92685], [109071 - 113625]</t>
  </si>
  <si>
    <t xml:space="preserve">Signature_2f54031c-65fa-4f01-b812-66b45dee4ff5</t>
  </si>
  <si>
    <t xml:space="preserve">2024-04-30 08:30:42-05:00</t>
  </si>
  <si>
    <t xml:space="preserve">2024:04:30 08:30:42-05:00</t>
  </si>
  <si>
    <t xml:space="preserve">[0 - 692710], [709096 - 714354]</t>
  </si>
  <si>
    <t xml:space="preserve">Signature_a8792c93-a7b5-44ed-b225-3acde2a41111</t>
  </si>
  <si>
    <t xml:space="preserve">2024-04-30 08:30:41-05:00</t>
  </si>
  <si>
    <t xml:space="preserve">2024:04:30 08:30:41-05:00</t>
  </si>
  <si>
    <t xml:space="preserve">[0 - 708108], [724494 - 729077]</t>
  </si>
  <si>
    <t xml:space="preserve">Signature_2b9363d6-fa2d-4d7f-bd2d-913b6a463f63</t>
  </si>
  <si>
    <t xml:space="preserve">2024-04-30 08:31:00-05:00</t>
  </si>
  <si>
    <t xml:space="preserve">2024:04:30 08:31:00-05:00</t>
  </si>
  <si>
    <t xml:space="preserve">[0 - 153749], [170135 - 175003]</t>
  </si>
  <si>
    <t xml:space="preserve">Signature_a63404f5-983e-434e-9544-00894212b13f</t>
  </si>
  <si>
    <t xml:space="preserve">2024-04-30 08:31:17-05:00</t>
  </si>
  <si>
    <t xml:space="preserve">2024:04:30 08:31:17-05:00</t>
  </si>
  <si>
    <t xml:space="preserve">[0 - 135426], [151812 - 160345]</t>
  </si>
  <si>
    <t xml:space="preserve">Signature_fc5e319e-75c7-4094-ae67-d1f502cdae51</t>
  </si>
  <si>
    <t xml:space="preserve">2024-04-30 08:30:46-05:00</t>
  </si>
  <si>
    <t xml:space="preserve">2024:04:30 08:30:46-05:00</t>
  </si>
  <si>
    <t xml:space="preserve">[0 - 248246], [264632 - 269241]</t>
  </si>
  <si>
    <t xml:space="preserve">Signature_0ed0dc58-c4a9-4b42-806c-79b3960ce413</t>
  </si>
  <si>
    <t xml:space="preserve">2024-04-30 08:30:45-05:00</t>
  </si>
  <si>
    <t xml:space="preserve">2024:04:30 08:30:45-05:00</t>
  </si>
  <si>
    <t xml:space="preserve">[0 - 821447], [837833 - 843402]</t>
  </si>
  <si>
    <t xml:space="preserve">Signature_8b662c03-515f-49bd-b93b-cdbe86e93920</t>
  </si>
  <si>
    <t xml:space="preserve">2024-04-30 08:31:07-05:00</t>
  </si>
  <si>
    <t xml:space="preserve">2024:04:30 08:31:07-05:00</t>
  </si>
  <si>
    <t xml:space="preserve">[0 - 1481678], [1498064 - 1502624]</t>
  </si>
  <si>
    <t xml:space="preserve">Signature_22bf63cc-258f-4165-a54b-824bafc0fbd1</t>
  </si>
  <si>
    <t xml:space="preserve">2024-04-30 08:30:56-05:00</t>
  </si>
  <si>
    <t xml:space="preserve">2024:04:30 08:30:56-05:00</t>
  </si>
  <si>
    <t xml:space="preserve">[0 - 903259], [919645 - 924334]</t>
  </si>
  <si>
    <t xml:space="preserve">Signature_85d02b21-b676-4de7-b9a2-9ab2e25ecdf1</t>
  </si>
  <si>
    <t xml:space="preserve">2024-04-30 08:30:53-05:00</t>
  </si>
  <si>
    <t xml:space="preserve">2024:04:30 08:30:53-05:00</t>
  </si>
  <si>
    <t xml:space="preserve">[0 - 868631], [885017 - 889992]</t>
  </si>
  <si>
    <t xml:space="preserve">Signature_b03634ec-d653-49bf-8a44-5d96f6a295ae</t>
  </si>
  <si>
    <t xml:space="preserve">2024-04-30 08:30:51-05:00</t>
  </si>
  <si>
    <t xml:space="preserve">2024:04:30 08:30:51-05:00</t>
  </si>
  <si>
    <t xml:space="preserve">[0 - 1068845], [1085231 - 1093764]</t>
  </si>
  <si>
    <t xml:space="preserve">Signature_d7273d01-681e-48ce-9dc7-c4566f843d12</t>
  </si>
  <si>
    <t xml:space="preserve">2024-04-30 08:30:47-05:00</t>
  </si>
  <si>
    <t xml:space="preserve">2024:04:30 08:30:47-05:00</t>
  </si>
  <si>
    <t xml:space="preserve">[0 - 847481], [863867 - 868841]</t>
  </si>
  <si>
    <t xml:space="preserve">Signature_91448e07-ba22-4858-bd72-94dec5c8bc6f</t>
  </si>
  <si>
    <t xml:space="preserve">2024-04-30 08:30:43-05:00</t>
  </si>
  <si>
    <t xml:space="preserve">2024:04:30 08:30:43-05:00</t>
  </si>
  <si>
    <t xml:space="preserve">[0 - 847226], [863612 - 868593]</t>
  </si>
  <si>
    <t xml:space="preserve">Signature_3c993738-0a15-4f45-91af-220fb2c3f742</t>
  </si>
  <si>
    <t xml:space="preserve">2024-04-30 08:31:16-05:00</t>
  </si>
  <si>
    <t xml:space="preserve">2024:04:30 08:31:16-05:00</t>
  </si>
  <si>
    <t xml:space="preserve">[0 - 105219], [121605 - 130094]</t>
  </si>
  <si>
    <t xml:space="preserve">Signature_dbcafa60-7871-4bf5-8686-95752c142dea</t>
  </si>
  <si>
    <t xml:space="preserve">2024-04-30 08:31:11-05:00</t>
  </si>
  <si>
    <t xml:space="preserve">2024:04:30 08:31:11-05:00</t>
  </si>
  <si>
    <t xml:space="preserve">[0 - 803660], [820046 - 828535]</t>
  </si>
  <si>
    <t xml:space="preserve">Signature_abaea827-0e4d-489a-a908-7d2693d99555</t>
  </si>
  <si>
    <t xml:space="preserve">2024-04-30 08:31:10-05:00</t>
  </si>
  <si>
    <t xml:space="preserve">2024:04:30 08:31:10-05:00</t>
  </si>
  <si>
    <t xml:space="preserve">[0 - 226482], [242868 - 248372]</t>
  </si>
  <si>
    <t xml:space="preserve">Signature_43538d67-9290-41a4-bb27-4800fbe851d9</t>
  </si>
  <si>
    <t xml:space="preserve">2024-04-30 08:31:05-05:00</t>
  </si>
  <si>
    <t xml:space="preserve">2024:04:30 08:31:05-05:00</t>
  </si>
  <si>
    <t xml:space="preserve">[0 - 793585], [809971 - 815260]</t>
  </si>
  <si>
    <t xml:space="preserve">Signature_9fb0af9a-3c5a-4f4c-b58e-4c7e73d0cbeb</t>
  </si>
  <si>
    <t xml:space="preserve">2024-04-30 08:30:59-05:00</t>
  </si>
  <si>
    <t xml:space="preserve">2024:04:30 08:30:59-05:00</t>
  </si>
  <si>
    <t xml:space="preserve">[0 - 784498], [800884 - 809373]</t>
  </si>
  <si>
    <t xml:space="preserve">Signature_cc2bfdb2-9547-45c0-b4d3-5d3925a76972</t>
  </si>
  <si>
    <t xml:space="preserve">2024-04-30 08:30:54-05:00</t>
  </si>
  <si>
    <t xml:space="preserve">2024:04:30 08:30:54-05:00</t>
  </si>
  <si>
    <t xml:space="preserve">[0 - 770928], [787314 - 793301]</t>
  </si>
  <si>
    <t xml:space="preserve">Signature_cf9595a8-d4d7-448c-b961-2d59ef67c20c</t>
  </si>
  <si>
    <t xml:space="preserve">2024-04-30 08:30:52-05:00</t>
  </si>
  <si>
    <t xml:space="preserve">2024:04:30 08:30:52-05:00</t>
  </si>
  <si>
    <t xml:space="preserve">[0 - 800750], [817136 - 825623]</t>
  </si>
  <si>
    <t xml:space="preserve">Signature_2781f674-3fce-4aed-aa94-0dce45db0762</t>
  </si>
  <si>
    <t xml:space="preserve">2024-04-30 08:31:13-05:00</t>
  </si>
  <si>
    <t xml:space="preserve">2024:04:30 08:31:13-05:00</t>
  </si>
  <si>
    <t xml:space="preserve">[0 - 361285], [377671 - 382850]</t>
  </si>
  <si>
    <t xml:space="preserve">Signature_829b77a9-4e61-4439-ad25-ed36a3d88898</t>
  </si>
  <si>
    <t xml:space="preserve">2024-04-30 08:31:08-05:00</t>
  </si>
  <si>
    <t xml:space="preserve">2024:04:30 08:31:08-05:00</t>
  </si>
  <si>
    <t xml:space="preserve">[0 - 344294], [360680 - 365816]</t>
  </si>
  <si>
    <t xml:space="preserve">193 0 obj</t>
  </si>
  <si>
    <t xml:space="preserve">Signature_cafff565-1c5d-4df1-b46e-550a45cbafff</t>
  </si>
  <si>
    <t xml:space="preserve">2024-04-30 08:31:12-05:00</t>
  </si>
  <si>
    <t xml:space="preserve">2024:04:30 08:31:12-05:00</t>
  </si>
  <si>
    <t xml:space="preserve">[0 - 507111], [523497 - 532030]</t>
  </si>
  <si>
    <t xml:space="preserve">Signature_76068bf2-b7e6-4879-8743-0bfaeb01fee1</t>
  </si>
  <si>
    <t xml:space="preserve">[0 - 715983], [732369 - 737958]</t>
  </si>
  <si>
    <t xml:space="preserve">Signature_6b103517-6b2a-463a-9917-749054f40b5a</t>
  </si>
  <si>
    <t xml:space="preserve">2024-04-30 08:30:58-05:00</t>
  </si>
  <si>
    <t xml:space="preserve">2024:04:30 08:30:58-05:00</t>
  </si>
  <si>
    <t xml:space="preserve">Signature_501fcfc2-4f54-41e9-ad5f-8f65f8849d98</t>
  </si>
  <si>
    <t xml:space="preserve">2021:11:12 15:57:01-06:00</t>
  </si>
  <si>
    <t xml:space="preserve">[0 - 184625], [201011 - 205262]</t>
  </si>
  <si>
    <t xml:space="preserve">Signature_967bc5d0-1d7a-4868-92a5-31d055eff93d</t>
  </si>
  <si>
    <t xml:space="preserve">2024-04-30 08:31:09-05:00</t>
  </si>
  <si>
    <t xml:space="preserve">2024:04:30 08:31:09-05:00</t>
  </si>
  <si>
    <t xml:space="preserve">[0 - 156902], [173288 - 178710]</t>
  </si>
  <si>
    <t xml:space="preserve">Signature_299001cf-b1ab-4e72-a781-dde8f1ab70c1</t>
  </si>
  <si>
    <t xml:space="preserve">2024-04-30 08:30:44-05:00</t>
  </si>
  <si>
    <t xml:space="preserve">2024:04:30 08:30:44-05:00</t>
  </si>
  <si>
    <t xml:space="preserve">[0 - 272272], [288658 - 297145]</t>
  </si>
  <si>
    <t xml:space="preserve">Signature_71342374-3c97-474b-abbf-22331e1f8064</t>
  </si>
  <si>
    <t xml:space="preserve">2024-04-30 08:31:01-05:00</t>
  </si>
  <si>
    <t xml:space="preserve">2024:04:30 08:31:01-05:00</t>
  </si>
  <si>
    <t xml:space="preserve">[0 - 92581], [108967 - 113811]</t>
  </si>
  <si>
    <t xml:space="preserve">Signature_ba136141-7f04-47c7-9d72-d3e9f3c79a12</t>
  </si>
  <si>
    <t xml:space="preserve">2024-04-30 08:32:09-05:00</t>
  </si>
  <si>
    <t xml:space="preserve">2024:04:30 08:32:09-05:00</t>
  </si>
  <si>
    <t xml:space="preserve">[0 - 518777], [535163 - 539841]</t>
  </si>
  <si>
    <t xml:space="preserve">Signature_bb5ca0aa-aa34-4029-8673-cf2764b1a61e</t>
  </si>
  <si>
    <t xml:space="preserve">2024-04-30 08:32:12-05:00</t>
  </si>
  <si>
    <t xml:space="preserve">2024:04:30 08:32:13-05:00</t>
  </si>
  <si>
    <t xml:space="preserve">[0 - 489787], [506173 - 509341]</t>
  </si>
  <si>
    <t xml:space="preserve">405 0 obj</t>
  </si>
  <si>
    <t xml:space="preserve">Signature_2a168d79-f374-4027-a6b1-8505558d6399</t>
  </si>
  <si>
    <t xml:space="preserve">2024-04-30 08:32:00-05:00</t>
  </si>
  <si>
    <t xml:space="preserve">2024:04:30 08:32:00-05:00</t>
  </si>
  <si>
    <t xml:space="preserve">[0 - 332645], [349031 - 356457]</t>
  </si>
  <si>
    <t xml:space="preserve">Signature_989d5f8e-8f19-4ee5-9b97-647e278aae31</t>
  </si>
  <si>
    <t xml:space="preserve">2024-04-30 08:32:01-05:00</t>
  </si>
  <si>
    <t xml:space="preserve">2024:04:30 08:32:01-05:00</t>
  </si>
  <si>
    <t xml:space="preserve">[0 - 68109], [84495 - 92982]</t>
  </si>
  <si>
    <t xml:space="preserve">Signature_ffe0cf50-820c-4b84-a8a7-062dc55affcd</t>
  </si>
  <si>
    <t xml:space="preserve">2024-04-30 08:31:52-05:00</t>
  </si>
  <si>
    <t xml:space="preserve">2024:04:30 08:31:52-05:00</t>
  </si>
  <si>
    <t xml:space="preserve">[0 - 64613], [80999 - 89484]</t>
  </si>
  <si>
    <t xml:space="preserve">Signature_8a06d193-032f-41c8-a8e2-f5319881b40a</t>
  </si>
  <si>
    <t xml:space="preserve">2024-04-30 08:31:49-05:00</t>
  </si>
  <si>
    <t xml:space="preserve">2024:04:30 08:31:49-05:00</t>
  </si>
  <si>
    <t xml:space="preserve">[0 - 93106], [109492 - 114051]</t>
  </si>
  <si>
    <t xml:space="preserve">Signature_5f594153-edb9-4a10-b447-93bfe03612c8</t>
  </si>
  <si>
    <t xml:space="preserve">2024-04-30 08:31:50-05:00</t>
  </si>
  <si>
    <t xml:space="preserve">2024:04:30 08:31:50-05:00</t>
  </si>
  <si>
    <t xml:space="preserve">[0 - 718173], [734559 - 740074]</t>
  </si>
  <si>
    <t xml:space="preserve">Signature_c69987a5-0766-42dc-9b29-9f4ad8d4c1d0</t>
  </si>
  <si>
    <t xml:space="preserve">2024-04-30 08:31:57-05:00</t>
  </si>
  <si>
    <t xml:space="preserve">2024:04:30 08:31:57-05:00</t>
  </si>
  <si>
    <t xml:space="preserve">[0 - 101286], [117672 - 122290]</t>
  </si>
  <si>
    <t xml:space="preserve">Signature_72db628c-9827-4278-8c08-4298538ca62c</t>
  </si>
  <si>
    <t xml:space="preserve">2024-04-30 08:32:07-05:00</t>
  </si>
  <si>
    <t xml:space="preserve">2024:04:30 08:32:07-05:00</t>
  </si>
  <si>
    <t xml:space="preserve">[0 - 801842], [818228 - 822822]</t>
  </si>
  <si>
    <t xml:space="preserve">Signature_2a944ae7-52d5-44b7-b5dd-f9e597fc4c93</t>
  </si>
  <si>
    <t xml:space="preserve">2024-04-30 08:31:54-05:00</t>
  </si>
  <si>
    <t xml:space="preserve">2024:04:30 08:31:54-05:00</t>
  </si>
  <si>
    <t xml:space="preserve">[0 - 340170], [356556 - 362080]</t>
  </si>
  <si>
    <t xml:space="preserve">320 0 obj</t>
  </si>
  <si>
    <t xml:space="preserve">Signature_4cd26258-65f5-499f-8cad-9f0176223b2d</t>
  </si>
  <si>
    <t xml:space="preserve">2024-04-30 08:32:06-05:00</t>
  </si>
  <si>
    <t xml:space="preserve">2024:04:30 08:32:06-05:00</t>
  </si>
  <si>
    <t xml:space="preserve">[0 - 878356], [894742 - 899339]</t>
  </si>
  <si>
    <t xml:space="preserve">Signature_a3b7a2bd-dec0-4632-b135-641496506142</t>
  </si>
  <si>
    <t xml:space="preserve">2024-04-30 08:32:02-05:00</t>
  </si>
  <si>
    <t xml:space="preserve">2024:04:30 08:32:02-05:00</t>
  </si>
  <si>
    <t xml:space="preserve">[0 - 234143], [250529 - 255502]</t>
  </si>
  <si>
    <t xml:space="preserve">Signature_1bb7a908-69e9-454a-a90d-777b401e74fa</t>
  </si>
  <si>
    <t xml:space="preserve">2024-04-30 08:31:56-05:00</t>
  </si>
  <si>
    <t xml:space="preserve">2024:04:30 08:31:56-05:00</t>
  </si>
  <si>
    <t xml:space="preserve">[0 - 800022], [816408 - 820942]</t>
  </si>
  <si>
    <t xml:space="preserve">95 0 obj</t>
  </si>
  <si>
    <t xml:space="preserve">Signature_7bdbd326-8d1c-4a8b-8221-6fcb551b2aca</t>
  </si>
  <si>
    <t xml:space="preserve">2024-04-30 08:31:51-05:00</t>
  </si>
  <si>
    <t xml:space="preserve">2024:04:30 08:31:51-05:00</t>
  </si>
  <si>
    <t xml:space="preserve">[0 - 859220], [875606 - 880582]</t>
  </si>
  <si>
    <t xml:space="preserve">362 0 obj</t>
  </si>
  <si>
    <t xml:space="preserve">Signature_36e93960-7ba4-43a4-9da3-2be2c1d5fedf</t>
  </si>
  <si>
    <t xml:space="preserve">2024-04-30 08:32:11-05:00</t>
  </si>
  <si>
    <t xml:space="preserve">2024:04:30 08:32:11-05:00</t>
  </si>
  <si>
    <t xml:space="preserve">[0 - 105735], [122121 - 130610]</t>
  </si>
  <si>
    <t xml:space="preserve">Signature_f7aeab46-61b2-4325-aacf-7a75cde5e136</t>
  </si>
  <si>
    <t xml:space="preserve">2024-04-30 08:32:08-05:00</t>
  </si>
  <si>
    <t xml:space="preserve">2024:04:30 08:32:08-05:00</t>
  </si>
  <si>
    <t xml:space="preserve">[0 - 169802], [186188 - 191280]</t>
  </si>
  <si>
    <t xml:space="preserve">Signature_edea16a8-7dd3-4469-88a4-d0ae266afa82</t>
  </si>
  <si>
    <t xml:space="preserve">2024-04-30 08:32:03-05:00</t>
  </si>
  <si>
    <t xml:space="preserve">2024:04:30 08:32:03-05:00</t>
  </si>
  <si>
    <t xml:space="preserve">[0 - 304438], [320824 - 326646]</t>
  </si>
  <si>
    <t xml:space="preserve">Signature_35964584-bcf7-4e60-8887-1d01da7ad7aa</t>
  </si>
  <si>
    <t xml:space="preserve">[0 - 723780], [740166 - 745342]</t>
  </si>
  <si>
    <t xml:space="preserve">Signature_32091ddf-4e45-4378-af0c-64aba7ed4c49</t>
  </si>
  <si>
    <t xml:space="preserve">2024-04-30 08:32:04-05:00</t>
  </si>
  <si>
    <t xml:space="preserve">2024:04:30 08:32:04-05:00</t>
  </si>
  <si>
    <t xml:space="preserve">[0 - 361513], [377899 - 383051]</t>
  </si>
  <si>
    <t xml:space="preserve">Signature_d5731e15-10e8-42aa-92ff-acfe80365bb8</t>
  </si>
  <si>
    <t xml:space="preserve">2024-04-30 08:32:10-05:00</t>
  </si>
  <si>
    <t xml:space="preserve">2024:04:30 08:32:10-05:00</t>
  </si>
  <si>
    <t xml:space="preserve">[0 - 83043], [99429 - 107917]</t>
  </si>
  <si>
    <t xml:space="preserve">Signature_84bb164a-6730-4e70-b842-b6f7a36139c9</t>
  </si>
  <si>
    <t xml:space="preserve">2024-04-30 08:32:05-05:00</t>
  </si>
  <si>
    <t xml:space="preserve">2024:04:30 08:32:05-05:00</t>
  </si>
  <si>
    <t xml:space="preserve">[0 - 197139], [213525 - 218724]</t>
  </si>
  <si>
    <t xml:space="preserve">Signature_ac6ec957-3fbf-40e0-9162-bf0dab525524</t>
  </si>
  <si>
    <t xml:space="preserve">2024-04-30 08:31:58-05:00</t>
  </si>
  <si>
    <t xml:space="preserve">2024:04:30 08:31:58-05:00</t>
  </si>
  <si>
    <t xml:space="preserve">[0 - 50721], [67107 - 71624]</t>
  </si>
  <si>
    <t xml:space="preserve">Signature_e52176ee-9cb2-4d32-b2e5-ef591cb4c323</t>
  </si>
  <si>
    <t xml:space="preserve">2024-04-30 08:31:53-05:00</t>
  </si>
  <si>
    <t xml:space="preserve">2024:04:30 08:31:53-05:00</t>
  </si>
  <si>
    <t xml:space="preserve">[0 - 1063587], [1079973 - 1088556]</t>
  </si>
  <si>
    <t xml:space="preserve">Signature_0ba1c2c3-0123-46fa-b1c2-b5631ddad1fe</t>
  </si>
  <si>
    <t xml:space="preserve">2024-04-30 08:32:58-05:00</t>
  </si>
  <si>
    <t xml:space="preserve">2022:01:27 16:03:06-06:00</t>
  </si>
  <si>
    <t xml:space="preserve">[0 - 185780], [202166 - 206215]</t>
  </si>
  <si>
    <t xml:space="preserve">Signature_f632be82-e946-4cae-9290-e112bc6ac4e4</t>
  </si>
  <si>
    <t xml:space="preserve">2024-04-30 08:33:01-05:00</t>
  </si>
  <si>
    <t xml:space="preserve">2024:04:30 08:33:01-05:00</t>
  </si>
  <si>
    <t xml:space="preserve">[0 - 294401], [310787 - 316738]</t>
  </si>
  <si>
    <t xml:space="preserve">Signature_a62ad9f6-6df6-4a67-bea5-71fe519d028c</t>
  </si>
  <si>
    <t xml:space="preserve">2024-04-30 08:33:03-05:00</t>
  </si>
  <si>
    <t xml:space="preserve">2024:04:30 08:33:04-05:00</t>
  </si>
  <si>
    <t xml:space="preserve">[0 - 482047], [498433 - 501225]</t>
  </si>
  <si>
    <t xml:space="preserve">Signature_60e0a45a-d8d4-416d-99bd-ab75767b232f</t>
  </si>
  <si>
    <t xml:space="preserve">2024-04-30 08:33:00-05:00</t>
  </si>
  <si>
    <t xml:space="preserve">2024:04:30 08:33:00-05:00</t>
  </si>
  <si>
    <t xml:space="preserve">[0 - 280945], [297331 - 302346]</t>
  </si>
  <si>
    <t xml:space="preserve">240 0 obj</t>
  </si>
  <si>
    <t xml:space="preserve">Signature_91026b80-1e84-4864-a52b-1e175bac7a84</t>
  </si>
  <si>
    <t xml:space="preserve">2024-04-30 08:32:52-05:00</t>
  </si>
  <si>
    <t xml:space="preserve">2024:04:30 08:32:52-05:00</t>
  </si>
  <si>
    <t xml:space="preserve">[0 - 822928], [839314 - 844883]</t>
  </si>
  <si>
    <t xml:space="preserve">Signature_997e1a4a-3973-43a9-ad82-12164892130c</t>
  </si>
  <si>
    <t xml:space="preserve">2024-04-30 08:32:50-05:00</t>
  </si>
  <si>
    <t xml:space="preserve">2024:04:30 08:32:50-05:00</t>
  </si>
  <si>
    <t xml:space="preserve">[0 - 720570], [736956 - 741958]</t>
  </si>
  <si>
    <t xml:space="preserve">230 0 obj</t>
  </si>
  <si>
    <t xml:space="preserve">Signature_7b8e9dc0-56c2-42df-88f5-7f2c9769e535</t>
  </si>
  <si>
    <t xml:space="preserve">2024-04-30 08:32:47-05:00</t>
  </si>
  <si>
    <t xml:space="preserve">2024:04:30 08:32:47-05:00</t>
  </si>
  <si>
    <t xml:space="preserve">[0 - 265771], [282157 - 286917]</t>
  </si>
  <si>
    <t xml:space="preserve">Signature_f797a771-6804-4dc1-83a2-04b304796d6e</t>
  </si>
  <si>
    <t xml:space="preserve">2024-04-30 08:32:49-05:00</t>
  </si>
  <si>
    <t xml:space="preserve">2024:04:30 08:32:49-05:00</t>
  </si>
  <si>
    <t xml:space="preserve">[0 - 248234], [264620 - 269228]</t>
  </si>
  <si>
    <t xml:space="preserve">Signature_f420356e-8f84-42d5-9c64-30090d4c2c97</t>
  </si>
  <si>
    <t xml:space="preserve">2024-04-30 08:32:46-05:00</t>
  </si>
  <si>
    <t xml:space="preserve">2024:04:30 08:32:46-05:00</t>
  </si>
  <si>
    <t xml:space="preserve">[0 - 234433], [250819 - 255427]</t>
  </si>
  <si>
    <t xml:space="preserve">Signature_f8c899cb-511f-49d1-bc10-16e1bd52d628</t>
  </si>
  <si>
    <t xml:space="preserve">2024-04-30 08:33:02-05:00</t>
  </si>
  <si>
    <t xml:space="preserve">2024:04:30 08:33:02-05:00</t>
  </si>
  <si>
    <t xml:space="preserve">[0 - 161220], [177606 - 186139]</t>
  </si>
  <si>
    <t xml:space="preserve">Signature_ccf2ffb4-6bb5-4db7-800a-656ab0a053b1</t>
  </si>
  <si>
    <t xml:space="preserve">2024-04-30 08:32:53-05:00</t>
  </si>
  <si>
    <t xml:space="preserve">2024:04:30 08:32:53-05:00</t>
  </si>
  <si>
    <t xml:space="preserve">[0 - 871177], [887563 - 892539]</t>
  </si>
  <si>
    <t xml:space="preserve">Signature_bd72c240-3076-4e35-a5bb-db7125607d9c</t>
  </si>
  <si>
    <t xml:space="preserve">2024-04-30 08:32:51-05:00</t>
  </si>
  <si>
    <t xml:space="preserve">2024:04:30 08:32:51-05:00</t>
  </si>
  <si>
    <t xml:space="preserve">[0 - 815767], [832153 - 837227]</t>
  </si>
  <si>
    <t xml:space="preserve">Signature_a9899969-1d03-451e-97f4-61e169f81142</t>
  </si>
  <si>
    <t xml:space="preserve">2024-04-30 08:32:59-05:00</t>
  </si>
  <si>
    <t xml:space="preserve">2024:04:30 08:32:59-05:00</t>
  </si>
  <si>
    <t xml:space="preserve">[0 - 343521], [359907 - 365395]</t>
  </si>
  <si>
    <t xml:space="preserve">208 0 obj</t>
  </si>
  <si>
    <t xml:space="preserve">Signature_d2cdbbd5-98ce-4112-88af-6d91f7d2a987</t>
  </si>
  <si>
    <t xml:space="preserve">2024-04-30 08:32:57-05:00</t>
  </si>
  <si>
    <t xml:space="preserve">2024:04:30 08:32:57-05:00</t>
  </si>
  <si>
    <t xml:space="preserve">[0 - 136246], [152632 - 157696]</t>
  </si>
  <si>
    <t xml:space="preserve">Signature_04bb4e85-52e2-4f1f-92e5-3afdf1a386f2</t>
  </si>
  <si>
    <t xml:space="preserve">2024-04-30 08:32:55-05:00</t>
  </si>
  <si>
    <t xml:space="preserve">2024:04:30 08:32:55-05:00</t>
  </si>
  <si>
    <t xml:space="preserve">[0 - 221357], [237743 - 243245]</t>
  </si>
  <si>
    <t xml:space="preserve">Signature_839dcdbe-7c76-48e2-9d26-960a28b3c95c</t>
  </si>
  <si>
    <t xml:space="preserve">[0 - 122810], [139196 - 144500]</t>
  </si>
  <si>
    <t xml:space="preserve">Signature_2cef38ae-558d-48ec-a6f6-7ba50da5add1</t>
  </si>
  <si>
    <t xml:space="preserve">2024-04-30 08:32:54-05:00</t>
  </si>
  <si>
    <t xml:space="preserve">2024:04:30 08:32:54-05:00</t>
  </si>
  <si>
    <t xml:space="preserve">[0 - 156799], [173185 - 178533]</t>
  </si>
  <si>
    <t xml:space="preserve">Signature_1dc8a020-552e-4c94-8ab8-05ebc1beefe2</t>
  </si>
  <si>
    <t xml:space="preserve">2024-04-30 08:33:58-05:00</t>
  </si>
  <si>
    <t xml:space="preserve">2024:04:30 08:33:58-05:00</t>
  </si>
  <si>
    <t xml:space="preserve">[0 - 522238], [538624 - 543302]</t>
  </si>
  <si>
    <t xml:space="preserve">Signature_bd703b98-7de1-43ba-877d-1e347cf1f547</t>
  </si>
  <si>
    <t xml:space="preserve">2024-04-30 08:33:59-05:00</t>
  </si>
  <si>
    <t xml:space="preserve">2024:04:30 08:34:00-05:00</t>
  </si>
  <si>
    <t xml:space="preserve">[0 - 469116], [485502 - 488239]</t>
  </si>
  <si>
    <t xml:space="preserve">Signature_526244d4-17d4-47cb-81ab-11c4ceaeb9f9</t>
  </si>
  <si>
    <t xml:space="preserve">2024-04-30 08:33:43-05:00</t>
  </si>
  <si>
    <t xml:space="preserve">2024:04:30 08:33:43-05:00</t>
  </si>
  <si>
    <t xml:space="preserve">[0 - 935855], [952241 - 957989]</t>
  </si>
  <si>
    <t xml:space="preserve">Signature_75fa9cfa-ff76-444e-b496-e567873e432f</t>
  </si>
  <si>
    <t xml:space="preserve">2024-04-30 08:33:49-05:00</t>
  </si>
  <si>
    <t xml:space="preserve">2024:04:30 08:33:49-05:00</t>
  </si>
  <si>
    <t xml:space="preserve">[0 - 272125], [288511 - 293937]</t>
  </si>
  <si>
    <t xml:space="preserve">Signature_1658ec96-f932-4d90-b0d8-ba0434c909e8</t>
  </si>
  <si>
    <t xml:space="preserve">2024-04-30 08:33:42-05:00</t>
  </si>
  <si>
    <t xml:space="preserve">2024:04:30 08:33:42-05:00</t>
  </si>
  <si>
    <t xml:space="preserve">[0 - 92691], [109077 - 113631]</t>
  </si>
  <si>
    <t xml:space="preserve">Signature_3b7ebabc-f061-42e3-95bf-a9b3b44e33ba</t>
  </si>
  <si>
    <t xml:space="preserve">2024-04-30 08:33:36-05:00</t>
  </si>
  <si>
    <t xml:space="preserve">2024:04:30 08:33:36-05:00</t>
  </si>
  <si>
    <t xml:space="preserve">[0 - 692706], [709092 - 714351]</t>
  </si>
  <si>
    <t xml:space="preserve">Signature_360bb161-d2af-40e4-90da-0486892cafcc</t>
  </si>
  <si>
    <t xml:space="preserve">2024-04-30 08:33:35-05:00</t>
  </si>
  <si>
    <t xml:space="preserve">2024:04:30 08:33:35-05:00</t>
  </si>
  <si>
    <t xml:space="preserve">Signature_5cb0940f-8614-430c-bb58-db5c1955f2ee</t>
  </si>
  <si>
    <t xml:space="preserve">2024-04-30 08:33:40-05:00</t>
  </si>
  <si>
    <t xml:space="preserve">2024:04:30 08:33:40-05:00</t>
  </si>
  <si>
    <t xml:space="preserve">Signature_63f46091-9730-49d3-9ed6-f4338c02e4b8</t>
  </si>
  <si>
    <t xml:space="preserve">2024-04-30 08:33:39-05:00</t>
  </si>
  <si>
    <t xml:space="preserve">2024:04:30 08:33:39-05:00</t>
  </si>
  <si>
    <t xml:space="preserve">[0 - 821446], [837832 - 843399]</t>
  </si>
  <si>
    <t xml:space="preserve">Signature_0146cb0b-31a9-4f4d-84bc-64ce94604e55</t>
  </si>
  <si>
    <t xml:space="preserve">2024-04-30 08:33:55-05:00</t>
  </si>
  <si>
    <t xml:space="preserve">2024:04:30 08:33:55-05:00</t>
  </si>
  <si>
    <t xml:space="preserve">Signature_d62057c6-ab96-4bcd-9f0d-495916fb3bf8</t>
  </si>
  <si>
    <t xml:space="preserve">2024-04-30 08:33:50-05:00</t>
  </si>
  <si>
    <t xml:space="preserve">2024:04:30 08:33:50-05:00</t>
  </si>
  <si>
    <t xml:space="preserve">[0 - 903257], [919643 - 924334]</t>
  </si>
  <si>
    <t xml:space="preserve">Signature_d71470c7-f26b-4440-bce4-c65b75eb2085</t>
  </si>
  <si>
    <t xml:space="preserve">2024-04-30 08:33:47-05:00</t>
  </si>
  <si>
    <t xml:space="preserve">2024:04:30 08:33:47-05:00</t>
  </si>
  <si>
    <t xml:space="preserve">[0 - 868629], [885015 - 889990]</t>
  </si>
  <si>
    <t xml:space="preserve">Signature_afb055ff-46ff-4dca-9fa3-a0bc7c786a37</t>
  </si>
  <si>
    <t xml:space="preserve">2024-04-30 08:33:45-05:00</t>
  </si>
  <si>
    <t xml:space="preserve">2024:04:30 08:33:45-05:00</t>
  </si>
  <si>
    <t xml:space="preserve">[0 - 1070697], [1087083 - 1095616]</t>
  </si>
  <si>
    <t xml:space="preserve">Signature_5da188e4-8505-4fdb-a763-02e597a7c634</t>
  </si>
  <si>
    <t xml:space="preserve">2024-04-30 08:33:41-05:00</t>
  </si>
  <si>
    <t xml:space="preserve">2024:04:30 08:33:41-05:00</t>
  </si>
  <si>
    <t xml:space="preserve">[0 - 847484], [863870 - 868845]</t>
  </si>
  <si>
    <t xml:space="preserve">Signature_3350839c-e9be-423c-a608-302fa070a43b</t>
  </si>
  <si>
    <t xml:space="preserve">2024-04-30 08:33:37-05:00</t>
  </si>
  <si>
    <t xml:space="preserve">2024:04:30 08:33:37-05:00</t>
  </si>
  <si>
    <t xml:space="preserve">[0 - 847223], [863609 - 868589]</t>
  </si>
  <si>
    <t xml:space="preserve">Signature_599d8d16-5d63-497c-aa09-83651d28a219</t>
  </si>
  <si>
    <t xml:space="preserve">2024-04-30 08:33:54-05:00</t>
  </si>
  <si>
    <t xml:space="preserve">2024:04:30 08:33:54-05:00</t>
  </si>
  <si>
    <t xml:space="preserve">Signature_6a6ccdb6-d040-47c0-b488-9a162faab93b</t>
  </si>
  <si>
    <t xml:space="preserve">2024-04-30 08:33:52-05:00</t>
  </si>
  <si>
    <t xml:space="preserve">2024:04:30 08:33:52-05:00</t>
  </si>
  <si>
    <t xml:space="preserve">[0 - 784508], [800894 - 809383]</t>
  </si>
  <si>
    <t xml:space="preserve">Signature_64e878e7-d70f-4f22-8a95-0a4e711a296d</t>
  </si>
  <si>
    <t xml:space="preserve">2024-04-30 08:33:48-05:00</t>
  </si>
  <si>
    <t xml:space="preserve">2024:04:30 08:33:48-05:00</t>
  </si>
  <si>
    <t xml:space="preserve">[0 - 770929], [787315 - 793300]</t>
  </si>
  <si>
    <t xml:space="preserve">Signature_e8af93bd-7a4e-41b3-95b8-45e666e84eb1</t>
  </si>
  <si>
    <t xml:space="preserve">2024-04-30 08:33:46-05:00</t>
  </si>
  <si>
    <t xml:space="preserve">2024:04:30 08:33:46-05:00</t>
  </si>
  <si>
    <t xml:space="preserve">[0 - 798660], [815046 - 823533]</t>
  </si>
  <si>
    <t xml:space="preserve">Signature_db25b967-35e7-4dda-b45e-8da400c96ebc</t>
  </si>
  <si>
    <t xml:space="preserve">2024-04-30 08:33:56-05:00</t>
  </si>
  <si>
    <t xml:space="preserve">2024:04:30 08:33:56-05:00</t>
  </si>
  <si>
    <t xml:space="preserve">[0 - 348670], [365056 - 370194]</t>
  </si>
  <si>
    <t xml:space="preserve">Signature_24b95900-9d87-4dca-8271-a29824d7ee7c</t>
  </si>
  <si>
    <t xml:space="preserve">2024-04-30 08:33:53-05:00</t>
  </si>
  <si>
    <t xml:space="preserve">2024:04:30 08:33:53-05:00</t>
  </si>
  <si>
    <t xml:space="preserve">[0 - 715982], [732368 - 737956]</t>
  </si>
  <si>
    <t xml:space="preserve">Signature_9217c60d-33e0-4a35-a677-74c177ff7572</t>
  </si>
  <si>
    <t xml:space="preserve">2024-04-30 08:33:51-05:00</t>
  </si>
  <si>
    <t xml:space="preserve">2024:04:30 08:33:51-05:00</t>
  </si>
  <si>
    <t xml:space="preserve">Signature_b25f0843-0c94-43cb-a45f-8941b5b2769f</t>
  </si>
  <si>
    <t xml:space="preserve">2024-04-30 08:33:57-05:00</t>
  </si>
  <si>
    <t xml:space="preserve">2024:04:30 08:33:57-05:00</t>
  </si>
  <si>
    <t xml:space="preserve">[0 - 160803], [177189 - 182612]</t>
  </si>
  <si>
    <t xml:space="preserve">Signature_11458f10-44cd-47ab-866e-461c5eebfb5d</t>
  </si>
  <si>
    <t xml:space="preserve">2024-04-30 08:33:38-05:00</t>
  </si>
  <si>
    <t xml:space="preserve">2024:04:30 08:33:38-05:00</t>
  </si>
  <si>
    <t xml:space="preserve">[0 - 257918], [274304 - 282791]</t>
  </si>
  <si>
    <t xml:space="preserve">Signature_da92ee26-1c3d-4f9e-b3aa-71a0ae323917</t>
  </si>
  <si>
    <t xml:space="preserve">2024-04-30 08:35:06-05:00</t>
  </si>
  <si>
    <t xml:space="preserve">2024:04:30 08:35:06-05:00</t>
  </si>
  <si>
    <t xml:space="preserve">[0 - 521488], [537874 - 542552]</t>
  </si>
  <si>
    <t xml:space="preserve">Signature_df724abc-53c2-4d88-881b-5a9a742dee51</t>
  </si>
  <si>
    <t xml:space="preserve">2024-04-30 08:35:09-05:00</t>
  </si>
  <si>
    <t xml:space="preserve">2024:04:30 08:35:09-05:00</t>
  </si>
  <si>
    <t xml:space="preserve">[0 - 479556], [495942 - 498734]</t>
  </si>
  <si>
    <t xml:space="preserve">360 0 obj</t>
  </si>
  <si>
    <t xml:space="preserve">Signature_035c3213-7a13-4ce0-9594-b3403e18dc9c</t>
  </si>
  <si>
    <t xml:space="preserve">2024-04-30 08:34:52-05:00</t>
  </si>
  <si>
    <t xml:space="preserve">2024:04:30 08:34:52-05:00</t>
  </si>
  <si>
    <t xml:space="preserve">[0 - 935853], [952239 - 957986]</t>
  </si>
  <si>
    <t xml:space="preserve">Signature_446a251d-dd51-491a-ae5f-8c5b7782109d</t>
  </si>
  <si>
    <t xml:space="preserve">2024-04-30 08:34:57-05:00</t>
  </si>
  <si>
    <t xml:space="preserve">2024:04:30 08:34:57-05:00</t>
  </si>
  <si>
    <t xml:space="preserve">Signature_f4db5ae2-269b-4e72-943d-e83521b0c6de</t>
  </si>
  <si>
    <t xml:space="preserve">2024-04-30 08:34:49-05:00</t>
  </si>
  <si>
    <t xml:space="preserve">2024:04:30 08:34:49-05:00</t>
  </si>
  <si>
    <t xml:space="preserve">[0 - 92689], [109075 - 113628]</t>
  </si>
  <si>
    <t xml:space="preserve">Signature_0741b7c2-382e-45bf-90a7-c5d8701a0218</t>
  </si>
  <si>
    <t xml:space="preserve">2024-04-30 08:34:43-05:00</t>
  </si>
  <si>
    <t xml:space="preserve">2024:04:30 08:34:43-05:00</t>
  </si>
  <si>
    <t xml:space="preserve">[0 - 692707], [709093 - 714351]</t>
  </si>
  <si>
    <t xml:space="preserve">Signature_c43d0239-062b-4384-afd3-6041ad6b5d5f</t>
  </si>
  <si>
    <t xml:space="preserve">2024-04-30 08:34:42-05:00</t>
  </si>
  <si>
    <t xml:space="preserve">2024:04:30 08:34:42-05:00</t>
  </si>
  <si>
    <t xml:space="preserve">[0 - 708109], [724495 - 729080]</t>
  </si>
  <si>
    <t xml:space="preserve">Signature_394656ea-1965-4452-8baa-fe0c95b6664e</t>
  </si>
  <si>
    <t xml:space="preserve">2024-04-30 08:34:47-05:00</t>
  </si>
  <si>
    <t xml:space="preserve">2024:04:30 08:34:47-05:00</t>
  </si>
  <si>
    <t xml:space="preserve">[0 - 248247], [264633 - 269242]</t>
  </si>
  <si>
    <t xml:space="preserve">Signature_5d19232b-7685-466a-82d1-4bf3790c706b</t>
  </si>
  <si>
    <t xml:space="preserve">2024-04-30 08:34:46-05:00</t>
  </si>
  <si>
    <t xml:space="preserve">2024:04:30 08:34:46-05:00</t>
  </si>
  <si>
    <t xml:space="preserve">[0 - 821447], [837833 - 843403]</t>
  </si>
  <si>
    <t xml:space="preserve">Signature_d9eb65ce-7981-4620-b0b9-578494d4d1b2</t>
  </si>
  <si>
    <t xml:space="preserve">2024-04-30 08:35:03-05:00</t>
  </si>
  <si>
    <t xml:space="preserve">2024:04:30 08:35:03-05:00</t>
  </si>
  <si>
    <t xml:space="preserve">Signature_80d85e4d-bac2-40d7-a90a-6a65ee6376f0</t>
  </si>
  <si>
    <t xml:space="preserve">2024-04-30 08:34:58-05:00</t>
  </si>
  <si>
    <t xml:space="preserve">2024:04:30 08:34:58-05:00</t>
  </si>
  <si>
    <t xml:space="preserve">Signature_8ef480cb-4601-43da-abd9-e854f4411fb8</t>
  </si>
  <si>
    <t xml:space="preserve">2024-04-30 08:34:55-05:00</t>
  </si>
  <si>
    <t xml:space="preserve">2024:04:30 08:34:55-05:00</t>
  </si>
  <si>
    <t xml:space="preserve">Signature_81792d31-4507-4133-983d-ad640b7e14d3</t>
  </si>
  <si>
    <t xml:space="preserve">2024-04-30 08:34:53-05:00</t>
  </si>
  <si>
    <t xml:space="preserve">2024:04:30 08:34:53-05:00</t>
  </si>
  <si>
    <t xml:space="preserve">[0 - 1068045], [1084431 - 1092964]</t>
  </si>
  <si>
    <t xml:space="preserve">Signature_42046831-de79-43f2-9e09-d62d1c09192d</t>
  </si>
  <si>
    <t xml:space="preserve">2024-04-30 08:34:48-05:00</t>
  </si>
  <si>
    <t xml:space="preserve">2024:04:30 08:34:48-05:00</t>
  </si>
  <si>
    <t xml:space="preserve">Signature_967d37d7-1705-4e30-9ea7-7203c186fd64</t>
  </si>
  <si>
    <t xml:space="preserve">2024-04-30 08:34:44-05:00</t>
  </si>
  <si>
    <t xml:space="preserve">2024:04:30 08:34:44-05:00</t>
  </si>
  <si>
    <t xml:space="preserve">[0 - 847226], [863612 - 868592]</t>
  </si>
  <si>
    <t xml:space="preserve">Signature_9cffc372-bce7-48cf-b9e4-9ad7ae3bb943</t>
  </si>
  <si>
    <t xml:space="preserve">2024-04-30 08:35:07-05:00</t>
  </si>
  <si>
    <t xml:space="preserve">2024:04:30 08:35:07-05:00</t>
  </si>
  <si>
    <t xml:space="preserve">[0 - 788639], [805025 - 813514]</t>
  </si>
  <si>
    <t xml:space="preserve">Signature_82caeb35-a764-4a54-a9e9-350699370858</t>
  </si>
  <si>
    <t xml:space="preserve">2024-04-30 08:35:02-05:00</t>
  </si>
  <si>
    <t xml:space="preserve">2024:04:30 08:35:02-05:00</t>
  </si>
  <si>
    <t xml:space="preserve">[0 - 793587], [809973 - 815262]</t>
  </si>
  <si>
    <t xml:space="preserve">Signature_aaf12f51-fc3e-4dad-87b6-9b73af376250</t>
  </si>
  <si>
    <t xml:space="preserve">2024-04-30 08:35:00-05:00</t>
  </si>
  <si>
    <t xml:space="preserve">2024:04:30 08:35:00-05:00</t>
  </si>
  <si>
    <t xml:space="preserve">[0 - 778888], [795274 - 803763]</t>
  </si>
  <si>
    <t xml:space="preserve">Signature_232bdf6d-ea84-48c1-986e-69da172c3215</t>
  </si>
  <si>
    <t xml:space="preserve">2024-04-30 08:34:56-05:00</t>
  </si>
  <si>
    <t xml:space="preserve">2024:04:30 08:34:56-05:00</t>
  </si>
  <si>
    <t xml:space="preserve">[0 - 770927], [787313 - 793300]</t>
  </si>
  <si>
    <t xml:space="preserve">Signature_0f3a79a1-4a56-49fc-b9ce-2026178db69b</t>
  </si>
  <si>
    <t xml:space="preserve">2024-04-30 08:34:54-05:00</t>
  </si>
  <si>
    <t xml:space="preserve">2024:04:30 08:34:54-05:00</t>
  </si>
  <si>
    <t xml:space="preserve">[0 - 797900], [814286 - 822773]</t>
  </si>
  <si>
    <t xml:space="preserve">Signature_c4e783c9-ce89-401f-b66e-5f00ea003051</t>
  </si>
  <si>
    <t xml:space="preserve">2024-04-30 08:34:50-05:00</t>
  </si>
  <si>
    <t xml:space="preserve">2024:04:30 08:34:50-05:00</t>
  </si>
  <si>
    <t xml:space="preserve">[0 - 835359], [851745 - 860232]</t>
  </si>
  <si>
    <t xml:space="preserve">Signature_3c4eaf45-08f0-498e-83e9-8c1cde41f548</t>
  </si>
  <si>
    <t xml:space="preserve">2024-04-30 08:35:04-05:00</t>
  </si>
  <si>
    <t xml:space="preserve">2024:04:30 08:35:04-05:00</t>
  </si>
  <si>
    <t xml:space="preserve">[0 - 344255], [360641 - 365778]</t>
  </si>
  <si>
    <t xml:space="preserve">Signature_e2f9a369-cb1d-4181-a657-5fc6d17d5c93</t>
  </si>
  <si>
    <t xml:space="preserve">2024-04-30 08:35:01-05:00</t>
  </si>
  <si>
    <t xml:space="preserve">2024:04:30 08:35:01-05:00</t>
  </si>
  <si>
    <t xml:space="preserve">Signature_d1a60860-63dd-4222-a346-d975a1ab71b8</t>
  </si>
  <si>
    <t xml:space="preserve">2024-04-30 08:34:59-05:00</t>
  </si>
  <si>
    <t xml:space="preserve">2024:04:30 08:34:59-05:00</t>
  </si>
  <si>
    <t xml:space="preserve">Signature_1d104471-e57a-4c8b-929f-a81f914c7b0b</t>
  </si>
  <si>
    <t xml:space="preserve">2024-04-30 08:35:05-05:00</t>
  </si>
  <si>
    <t xml:space="preserve">2024:04:30 08:35:05-05:00</t>
  </si>
  <si>
    <t xml:space="preserve">[0 - 161267], [177653 - 183083]</t>
  </si>
  <si>
    <t xml:space="preserve">165 0 obj</t>
  </si>
  <si>
    <t xml:space="preserve">Signature_f3e3a5c1-ebdb-4b7e-93b3-743bd9825dc0</t>
  </si>
  <si>
    <t xml:space="preserve">2024-04-30 08:34:45-05:00</t>
  </si>
  <si>
    <t xml:space="preserve">2024:04:30 08:34:45-05:00</t>
  </si>
  <si>
    <t xml:space="preserve">[0 - 264091], [280477 - 288964]</t>
  </si>
  <si>
    <t xml:space="preserve">Signature_e9ee20f4-b4cc-4cc4-ac56-f5a05dccb201</t>
  </si>
  <si>
    <t xml:space="preserve">2024-04-30 08:36:06-05:00</t>
  </si>
  <si>
    <t xml:space="preserve">2024:04:30 08:36:06-05:00</t>
  </si>
  <si>
    <t xml:space="preserve">[0 - 348264], [364650 - 370708]</t>
  </si>
  <si>
    <t xml:space="preserve">Signature_d5354cc4-324a-4a47-9864-4005d22ade10</t>
  </si>
  <si>
    <t xml:space="preserve">2024-04-30 08:36:08-05:00</t>
  </si>
  <si>
    <t xml:space="preserve">2024:04:30 08:36:09-05:00</t>
  </si>
  <si>
    <t xml:space="preserve">[0 - 480289], [496675 - 499467]</t>
  </si>
  <si>
    <t xml:space="preserve">Signature_65a315c0-e263-41e4-98bc-fa4df4eada84</t>
  </si>
  <si>
    <t xml:space="preserve">2024-04-30 08:35:49-05:00</t>
  </si>
  <si>
    <t xml:space="preserve">2024:04:30 08:35:49-05:00</t>
  </si>
  <si>
    <t xml:space="preserve">[0 - 941964], [958350 - 963637]</t>
  </si>
  <si>
    <t xml:space="preserve">Signature_36821d1f-9fc9-43a2-94d4-320d9aa4cc1f</t>
  </si>
  <si>
    <t xml:space="preserve">2024-04-30 08:35:42-05:00</t>
  </si>
  <si>
    <t xml:space="preserve">2024:04:30 08:35:42-05:00</t>
  </si>
  <si>
    <t xml:space="preserve">[0 - 937742], [954128 - 959870]</t>
  </si>
  <si>
    <t xml:space="preserve">Signature_65030144-3ae8-483b-8636-e91a779d8c4b</t>
  </si>
  <si>
    <t xml:space="preserve">2024-04-30 08:36:03-05:00</t>
  </si>
  <si>
    <t xml:space="preserve">2024:04:30 08:36:03-05:00</t>
  </si>
  <si>
    <t xml:space="preserve">[0 - 86142], [102528 - 111016]</t>
  </si>
  <si>
    <t xml:space="preserve">Signature_5766905d-4a09-49b0-8863-6db4aba799c4</t>
  </si>
  <si>
    <t xml:space="preserve">2024-04-30 08:36:05-05:00</t>
  </si>
  <si>
    <t xml:space="preserve">2024:04:30 08:36:05-05:00</t>
  </si>
  <si>
    <t xml:space="preserve">[0 - 150281], [166667 - 175200]</t>
  </si>
  <si>
    <t xml:space="preserve">Signature_20ba6205-b6dc-4e3b-923a-9554409627ae</t>
  </si>
  <si>
    <t xml:space="preserve">2024-04-30 08:35:58-05:00</t>
  </si>
  <si>
    <t xml:space="preserve">2024:04:30 08:35:58-05:00</t>
  </si>
  <si>
    <t xml:space="preserve">[0 - 169585], [185971 - 191501]</t>
  </si>
  <si>
    <t xml:space="preserve">Signature_22a413e5-2c6c-4442-9c17-05cb56955b4a</t>
  </si>
  <si>
    <t xml:space="preserve">2024-04-30 08:35:57-05:00</t>
  </si>
  <si>
    <t xml:space="preserve">2024:04:30 08:35:57-05:00</t>
  </si>
  <si>
    <t xml:space="preserve">[0 - 170006], [186392 - 191922]</t>
  </si>
  <si>
    <t xml:space="preserve">Signature_3047c13a-7f56-409d-b6d2-4556824c939c</t>
  </si>
  <si>
    <t xml:space="preserve">2024-04-30 08:35:55-05:00</t>
  </si>
  <si>
    <t xml:space="preserve">2024:04:30 08:35:55-05:00</t>
  </si>
  <si>
    <t xml:space="preserve">[0 - 169731], [186117 - 191649]</t>
  </si>
  <si>
    <t xml:space="preserve">Signature_a2daf81a-dc5a-4f1f-88cd-c4ad2947b612</t>
  </si>
  <si>
    <t xml:space="preserve">2024-04-30 08:36:02-05:00</t>
  </si>
  <si>
    <t xml:space="preserve">2024:04:30 08:36:02-05:00</t>
  </si>
  <si>
    <t xml:space="preserve">[0 - 132211], [148597 - 157130]</t>
  </si>
  <si>
    <t xml:space="preserve">Signature_b9e288d7-8ab8-4f00-9ce0-696224d111be</t>
  </si>
  <si>
    <t xml:space="preserve">2024-04-30 08:36:01-05:00</t>
  </si>
  <si>
    <t xml:space="preserve">2024:04:30 08:36:01-05:00</t>
  </si>
  <si>
    <t xml:space="preserve">[0 - 289936], [306322 - 311902]</t>
  </si>
  <si>
    <t xml:space="preserve">Signature_81037027-1672-4269-a6ee-4a9f8abf0850</t>
  </si>
  <si>
    <t xml:space="preserve">2024-04-30 08:36:00-05:00</t>
  </si>
  <si>
    <t xml:space="preserve">2024:04:30 08:36:00-05:00</t>
  </si>
  <si>
    <t xml:space="preserve">[0 - 122028], [138414 - 142890]</t>
  </si>
  <si>
    <t xml:space="preserve">Signature_547c2245-cb3e-4c87-8966-692bf441e54e</t>
  </si>
  <si>
    <t xml:space="preserve">2024-04-30 08:35:53-05:00</t>
  </si>
  <si>
    <t xml:space="preserve">2024:04:30 08:35:53-05:00</t>
  </si>
  <si>
    <t xml:space="preserve">[0 - 827045], [843431 - 848940]</t>
  </si>
  <si>
    <t xml:space="preserve">Signature_afa0a449-c3d5-4ed1-a13f-bb5404f41c8e</t>
  </si>
  <si>
    <t xml:space="preserve">2024-04-30 08:35:50-05:00</t>
  </si>
  <si>
    <t xml:space="preserve">2024:04:30 08:35:50-05:00</t>
  </si>
  <si>
    <t xml:space="preserve">[0 - 827922], [844308 - 849820]</t>
  </si>
  <si>
    <t xml:space="preserve">Signature_df40bf24-1168-4eb9-9a5f-be3eeadb8671</t>
  </si>
  <si>
    <t xml:space="preserve">2024-04-30 08:35:48-05:00</t>
  </si>
  <si>
    <t xml:space="preserve">2024:04:30 08:35:48-05:00</t>
  </si>
  <si>
    <t xml:space="preserve">[0 - 821805], [838191 - 843734]</t>
  </si>
  <si>
    <t xml:space="preserve">Signature_2e2770e8-1e6b-4935-94e1-5f44e8ead73f</t>
  </si>
  <si>
    <t xml:space="preserve">2024-04-30 08:35:46-05:00</t>
  </si>
  <si>
    <t xml:space="preserve">2024:04:30 08:35:46-05:00</t>
  </si>
  <si>
    <t xml:space="preserve">[0 - 248838], [265224 - 269833]</t>
  </si>
  <si>
    <t xml:space="preserve">Signature_89c6a3df-1a9b-4a53-ae32-936c785cff05</t>
  </si>
  <si>
    <t xml:space="preserve">2024-04-30 08:36:07-05:00</t>
  </si>
  <si>
    <t xml:space="preserve">2024:04:30 08:36:07-05:00</t>
  </si>
  <si>
    <t xml:space="preserve">[0 - 1535951], [1552337 - 1560872]</t>
  </si>
  <si>
    <t xml:space="preserve">Signature_192dcb73-ec28-426d-a77b-7381ed178f28</t>
  </si>
  <si>
    <t xml:space="preserve">2024-04-30 08:35:51-05:00</t>
  </si>
  <si>
    <t xml:space="preserve">2024:04:30 08:35:51-05:00</t>
  </si>
  <si>
    <t xml:space="preserve">Signature_105aa94e-1dee-4354-bb54-0cbef6a219b3</t>
  </si>
  <si>
    <t xml:space="preserve">2024-04-30 08:35:47-05:00</t>
  </si>
  <si>
    <t xml:space="preserve">2024:04:30 08:35:47-05:00</t>
  </si>
  <si>
    <t xml:space="preserve">[0 - 846018], [862404 - 867379]</t>
  </si>
  <si>
    <t xml:space="preserve">Signature_23e6d21d-c9f6-4d5b-8b19-bfa6bf4136b4</t>
  </si>
  <si>
    <t xml:space="preserve">2024-04-30 08:35:54-05:00</t>
  </si>
  <si>
    <t xml:space="preserve">2024:04:30 08:35:54-05:00</t>
  </si>
  <si>
    <t xml:space="preserve">Signature_4ff41f9f-3098-4123-a0e5-290708efeab5</t>
  </si>
  <si>
    <t xml:space="preserve">2024-04-30 08:35:44-05:00</t>
  </si>
  <si>
    <t xml:space="preserve">2024:04:30 08:35:44-05:00</t>
  </si>
  <si>
    <t xml:space="preserve">[0 - 194596], [210982 - 216516]</t>
  </si>
  <si>
    <t xml:space="preserve">Signature_815eeb9a-58ab-4a5f-b2b6-9af34b4ea663</t>
  </si>
  <si>
    <t xml:space="preserve">2024-04-30 08:35:59-05:00</t>
  </si>
  <si>
    <t xml:space="preserve">2024:04:30 08:35:59-05:00</t>
  </si>
  <si>
    <t xml:space="preserve">[0 - 68751], [85137 - 93624]</t>
  </si>
  <si>
    <t xml:space="preserve">Signature_df352519-d838-45a3-b9d0-52be1dacb95a</t>
  </si>
  <si>
    <t xml:space="preserve">2024-04-30 08:35:56-05:00</t>
  </si>
  <si>
    <t xml:space="preserve">2024:04:30 08:35:56-05:00</t>
  </si>
  <si>
    <t xml:space="preserve">[0 - 287944], [304330 - 308850]</t>
  </si>
  <si>
    <t xml:space="preserve">Signature_c7e93160-188a-4578-a22a-b20fcab16873</t>
  </si>
  <si>
    <t xml:space="preserve">2024-04-30 08:35:52-05:00</t>
  </si>
  <si>
    <t xml:space="preserve">2024:04:30 08:35:52-05:00</t>
  </si>
  <si>
    <t xml:space="preserve">[0 - 607764], [624150 - 632681]</t>
  </si>
  <si>
    <t xml:space="preserve">Signature_4121b626-64f7-480b-acca-dc0551ed15b0</t>
  </si>
  <si>
    <t xml:space="preserve">2024-04-30 08:35:43-05:00</t>
  </si>
  <si>
    <t xml:space="preserve">2024:04:30 08:35:43-05:00</t>
  </si>
  <si>
    <t xml:space="preserve">[0 - 87062], [103448 - 111978]</t>
  </si>
  <si>
    <t xml:space="preserve">Signature_4d166be1-db6a-464f-8700-1255e1b67740</t>
  </si>
  <si>
    <t xml:space="preserve">2024-04-30 08:36:38-05:00</t>
  </si>
  <si>
    <t xml:space="preserve">2024:04:30 08:36:38-05:00</t>
  </si>
  <si>
    <t xml:space="preserve">[0 - 277322], [293708 - 299353]</t>
  </si>
  <si>
    <t xml:space="preserve">264 0 obj</t>
  </si>
  <si>
    <t xml:space="preserve">Signature_45c5ba21-c123-4bd5-a5bb-457ebf17c712</t>
  </si>
  <si>
    <t xml:space="preserve">2024-04-30 08:37:00-05:00</t>
  </si>
  <si>
    <t xml:space="preserve">2024:04:30 08:37:01-05:00</t>
  </si>
  <si>
    <t xml:space="preserve">[0 - 481377], [497763 - 500555]</t>
  </si>
  <si>
    <t xml:space="preserve">Signature_277bcc96-6b33-40eb-9585-dbaa82bbc202</t>
  </si>
  <si>
    <t xml:space="preserve">2024-04-30 08:36:50-05:00</t>
  </si>
  <si>
    <t xml:space="preserve">2024:04:30 08:36:50-05:00</t>
  </si>
  <si>
    <t xml:space="preserve">Signature_3a6373de-b90c-4b25-a1c5-8bce0bfeebe3</t>
  </si>
  <si>
    <t xml:space="preserve">2024-04-30 08:36:52-05:00</t>
  </si>
  <si>
    <t xml:space="preserve">2024:04:30 08:36:52-05:00</t>
  </si>
  <si>
    <t xml:space="preserve">[0 - 279334], [295720 - 300747]</t>
  </si>
  <si>
    <t xml:space="preserve">Signature_ccb5f6ce-a142-44d2-9e9d-61c3f920dffd</t>
  </si>
  <si>
    <t xml:space="preserve">2024-04-30 08:36:44-05:00</t>
  </si>
  <si>
    <t xml:space="preserve">2024:04:30 08:36:44-05:00</t>
  </si>
  <si>
    <t xml:space="preserve">[0 - 718279], [734665 - 740181]</t>
  </si>
  <si>
    <t xml:space="preserve">Signature_1d50749d-be26-43ca-9909-268ea564ac8a</t>
  </si>
  <si>
    <t xml:space="preserve">2024-04-30 08:36:41-05:00</t>
  </si>
  <si>
    <t xml:space="preserve">2024:04:30 08:36:41-05:00</t>
  </si>
  <si>
    <t xml:space="preserve">[0 - 717894], [734280 - 739794]</t>
  </si>
  <si>
    <t xml:space="preserve">Signature_31c8e0b9-1577-49c7-80a9-eec9a6775171</t>
  </si>
  <si>
    <t xml:space="preserve">2024-04-30 08:36:39-05:00</t>
  </si>
  <si>
    <t xml:space="preserve">2024:04:30 08:36:39-05:00</t>
  </si>
  <si>
    <t xml:space="preserve">[0 - 701967], [718353 - 723587]</t>
  </si>
  <si>
    <t xml:space="preserve">Signature_f2985aa8-7311-4ed5-97a2-592646d4945c</t>
  </si>
  <si>
    <t xml:space="preserve">2024-04-30 08:36:35-05:00</t>
  </si>
  <si>
    <t xml:space="preserve">2024:04:30 08:36:35-05:00</t>
  </si>
  <si>
    <t xml:space="preserve">[0 - 660365], [676751 - 681211]</t>
  </si>
  <si>
    <t xml:space="preserve">Signature_36e78ca5-1f31-42ec-b799-c59286547f88</t>
  </si>
  <si>
    <t xml:space="preserve">2024-04-30 08:36:58-05:00</t>
  </si>
  <si>
    <t xml:space="preserve">2024:04:30 08:36:58-05:00</t>
  </si>
  <si>
    <t xml:space="preserve">[0 - 138320], [154706 - 163239]</t>
  </si>
  <si>
    <t xml:space="preserve">Signature_998929aa-00cc-4096-9e7c-708c2fbcdf13</t>
  </si>
  <si>
    <t xml:space="preserve">2024-04-30 08:36:56-05:00</t>
  </si>
  <si>
    <t xml:space="preserve">Signature_45228b77-d14a-46de-b283-a61cae5f6c8b</t>
  </si>
  <si>
    <t xml:space="preserve">2024-04-30 08:36:55-05:00</t>
  </si>
  <si>
    <t xml:space="preserve">2024:04:30 08:36:55-05:00</t>
  </si>
  <si>
    <t xml:space="preserve">[0 - 800795], [817181 - 821781]</t>
  </si>
  <si>
    <t xml:space="preserve">Signature_296576e3-58b8-497b-b148-16df2b069c12</t>
  </si>
  <si>
    <t xml:space="preserve">2024-04-30 08:36:54-05:00</t>
  </si>
  <si>
    <t xml:space="preserve">2024:04:30 08:36:54-05:00</t>
  </si>
  <si>
    <t xml:space="preserve">[0 - 800990], [817376 - 821973]</t>
  </si>
  <si>
    <t xml:space="preserve">Signature_f8191cdf-972e-4db2-960f-a44e66918c0a</t>
  </si>
  <si>
    <t xml:space="preserve">2024-04-30 08:36:48-05:00</t>
  </si>
  <si>
    <t xml:space="preserve">2024:04:30 08:36:48-05:00</t>
  </si>
  <si>
    <t xml:space="preserve">[0 - 825160], [841546 - 847086]</t>
  </si>
  <si>
    <t xml:space="preserve">Signature_907bca38-ee62-4e7a-992e-83e6bbea7251</t>
  </si>
  <si>
    <t xml:space="preserve">2024-04-30 08:36:45-05:00</t>
  </si>
  <si>
    <t xml:space="preserve">2024:04:30 08:36:45-05:00</t>
  </si>
  <si>
    <t xml:space="preserve">[0 - 936540], [952926 - 957519]</t>
  </si>
  <si>
    <t xml:space="preserve">Signature_b055bd4c-3369-42f9-a83e-d16c122b09eb</t>
  </si>
  <si>
    <t xml:space="preserve">2024-04-30 08:36:34-05:00</t>
  </si>
  <si>
    <t xml:space="preserve">2024:04:30 08:36:34-05:00</t>
  </si>
  <si>
    <t xml:space="preserve">[0 - 716063], [732449 - 736909]</t>
  </si>
  <si>
    <t xml:space="preserve">Signature_27389aea-621c-4946-9772-0e67c95e1257</t>
  </si>
  <si>
    <t xml:space="preserve">2024-04-30 08:36:36-05:00</t>
  </si>
  <si>
    <t xml:space="preserve">2024:04:30 08:36:36-05:00</t>
  </si>
  <si>
    <t xml:space="preserve">[0 - 788099], [804485 - 809494]</t>
  </si>
  <si>
    <t xml:space="preserve">Signature_53d9c1aa-64b6-41a6-a5b9-f098a9807c68</t>
  </si>
  <si>
    <t xml:space="preserve">2024-04-30 08:36:57-05:00</t>
  </si>
  <si>
    <t xml:space="preserve">2024:04:30 08:36:57-05:00</t>
  </si>
  <si>
    <t xml:space="preserve">[0 - 433997], [450383 - 455047]</t>
  </si>
  <si>
    <t xml:space="preserve">Signature_8f1e7cf2-9e20-4043-8a47-b0ac01c9b469</t>
  </si>
  <si>
    <t xml:space="preserve">2024-04-30 08:36:53-05:00</t>
  </si>
  <si>
    <t xml:space="preserve">2024:04:30 08:36:53-05:00</t>
  </si>
  <si>
    <t xml:space="preserve">Signature_d65f2a71-ecba-4664-ad01-05e93a28791d</t>
  </si>
  <si>
    <t xml:space="preserve">2024-04-30 08:36:51-05:00</t>
  </si>
  <si>
    <t xml:space="preserve">2024:04:30 08:36:51-05:00</t>
  </si>
  <si>
    <t xml:space="preserve">[0 - 950419], [966805 - 971780]</t>
  </si>
  <si>
    <t xml:space="preserve">Signature_18c81162-7634-4e2d-a3e6-b87c4095fb92</t>
  </si>
  <si>
    <t xml:space="preserve">2024-04-30 08:36:46-05:00</t>
  </si>
  <si>
    <t xml:space="preserve">2024:04:30 08:36:46-05:00</t>
  </si>
  <si>
    <t xml:space="preserve">[0 - 867448], [883834 - 888809]</t>
  </si>
  <si>
    <t xml:space="preserve">Signature_c74de998-d256-4eec-ab0c-a8b74cc00eab</t>
  </si>
  <si>
    <t xml:space="preserve">2024-04-30 08:36:59-05:00</t>
  </si>
  <si>
    <t xml:space="preserve">2024:04:30 08:36:59-05:00</t>
  </si>
  <si>
    <t xml:space="preserve">[0 - 85816], [102202 - 110690]</t>
  </si>
  <si>
    <t xml:space="preserve">Signature_2c75969b-5e14-43b6-aef8-7bd399ec4d40</t>
  </si>
  <si>
    <t xml:space="preserve">2024-04-30 08:36:47-05:00</t>
  </si>
  <si>
    <t xml:space="preserve">2024:04:30 08:36:47-05:00</t>
  </si>
  <si>
    <t xml:space="preserve">[0 - 81643], [98029 - 106524]</t>
  </si>
  <si>
    <t xml:space="preserve">Signature_528a23c4-90c8-42e6-b8d7-75f451395225</t>
  </si>
  <si>
    <t xml:space="preserve">2024-04-30 08:36:43-05:00</t>
  </si>
  <si>
    <t xml:space="preserve">2024:04:30 08:36:43-05:00</t>
  </si>
  <si>
    <t xml:space="preserve">[0 - 647862], [664248 - 672779]</t>
  </si>
  <si>
    <t xml:space="preserve">Signature_e5a98f27-88d8-490c-9911-d75851caf2ae</t>
  </si>
  <si>
    <t xml:space="preserve">2024-04-30 08:36:42-05:00</t>
  </si>
  <si>
    <t xml:space="preserve">2024:04:30 08:36:42-05:00</t>
  </si>
  <si>
    <t xml:space="preserve">[0 - 222949], [239335 - 247822]</t>
  </si>
  <si>
    <t xml:space="preserve">Signature_0595fc33-37e8-48e8-8035-e6ff60194bd2</t>
  </si>
  <si>
    <t xml:space="preserve">2024-04-30 08:36:40-05:00</t>
  </si>
  <si>
    <t xml:space="preserve">2024:04:30 08:36:40-05:00</t>
  </si>
  <si>
    <t xml:space="preserve">[0 - 793042], [809428 - 817959]</t>
  </si>
  <si>
    <t xml:space="preserve">Signature_85c74df7-6a4c-4663-91c9-23f85da0a5e5</t>
  </si>
  <si>
    <t xml:space="preserve">2024-04-30 08:36:37-05:00</t>
  </si>
  <si>
    <t xml:space="preserve">2024:04:30 08:36:37-05:00</t>
  </si>
  <si>
    <t xml:space="preserve">[0 - 228608], [244994 - 253481]</t>
  </si>
  <si>
    <t xml:space="preserve">Signature_023e4613-b4a6-4612-8008-70bf90bcfdde</t>
  </si>
  <si>
    <t xml:space="preserve">2024-04-30 08:37:52-05:00</t>
  </si>
  <si>
    <t xml:space="preserve">2024:04:30 08:37:52-05:00</t>
  </si>
  <si>
    <t xml:space="preserve">[0 - 597671], [614057 - 618735]</t>
  </si>
  <si>
    <t xml:space="preserve">Signature_8493968a-8179-45c7-8eda-da02d02e0c55</t>
  </si>
  <si>
    <t xml:space="preserve">2024-04-30 08:37:56-05:00</t>
  </si>
  <si>
    <t xml:space="preserve">2024:04:30 08:37:56-05:00</t>
  </si>
  <si>
    <t xml:space="preserve">[0 - 477676], [494062 - 496854]</t>
  </si>
  <si>
    <t xml:space="preserve">Signature_d2db87c3-1d54-4dc2-826c-aae13cf87aed</t>
  </si>
  <si>
    <t xml:space="preserve">2024-04-30 08:37:41-05:00</t>
  </si>
  <si>
    <t xml:space="preserve">2024:04:30 08:37:41-05:00</t>
  </si>
  <si>
    <t xml:space="preserve">Signature_c0b8e04e-e807-43e8-8909-0074cbe47741</t>
  </si>
  <si>
    <t xml:space="preserve">2024-04-30 08:37:46-05:00</t>
  </si>
  <si>
    <t xml:space="preserve">2024:04:30 08:37:46-05:00</t>
  </si>
  <si>
    <t xml:space="preserve">[0 - 272123], [288509 - 293933]</t>
  </si>
  <si>
    <t xml:space="preserve">Signature_4d2da5f2-5ddb-45bf-8306-f6e77889c19d</t>
  </si>
  <si>
    <t xml:space="preserve">2024-04-30 08:37:39-05:00</t>
  </si>
  <si>
    <t xml:space="preserve">2024:04:30 08:37:39-05:00</t>
  </si>
  <si>
    <t xml:space="preserve">Signature_60a2eb6d-917e-40f2-ae67-14511e55d9d1</t>
  </si>
  <si>
    <t xml:space="preserve">2024-04-30 08:37:34-05:00</t>
  </si>
  <si>
    <t xml:space="preserve">2024:04:30 08:37:34-05:00</t>
  </si>
  <si>
    <t xml:space="preserve">Signature_43ef0a5c-ef4f-40f3-9ffe-4a223b9a050a</t>
  </si>
  <si>
    <t xml:space="preserve">2024-04-30 08:37:33-05:00</t>
  </si>
  <si>
    <t xml:space="preserve">2024:04:30 08:37:33-05:00</t>
  </si>
  <si>
    <t xml:space="preserve">Signature_6102e005-57de-4ecc-b6c4-20a43b816765</t>
  </si>
  <si>
    <t xml:space="preserve">2024-04-30 08:37:37-05:00</t>
  </si>
  <si>
    <t xml:space="preserve">2024:04:30 08:37:37-05:00</t>
  </si>
  <si>
    <t xml:space="preserve">[0 - 248243], [264629 - 269237]</t>
  </si>
  <si>
    <t xml:space="preserve">Signature_8c88a2e3-d70c-4703-b448-e71f242d32dc</t>
  </si>
  <si>
    <t xml:space="preserve">2024-04-30 08:37:36-05:00</t>
  </si>
  <si>
    <t xml:space="preserve">2024:04:30 08:37:36-05:00</t>
  </si>
  <si>
    <t xml:space="preserve">[0 - 821447], [837833 - 843400]</t>
  </si>
  <si>
    <t xml:space="preserve">Signature_eb1eae65-f0d3-412f-8d04-67f05728fc15</t>
  </si>
  <si>
    <t xml:space="preserve">2024-04-30 08:37:54-05:00</t>
  </si>
  <si>
    <t xml:space="preserve">2024:04:30 08:37:54-05:00</t>
  </si>
  <si>
    <t xml:space="preserve">[0 - 1481679], [1498065 - 1502625]</t>
  </si>
  <si>
    <t xml:space="preserve">Signature_f18b3f27-31b1-491c-bd6f-f4096f4373b2</t>
  </si>
  <si>
    <t xml:space="preserve">2024-04-30 08:37:47-05:00</t>
  </si>
  <si>
    <t xml:space="preserve">2024:04:30 08:37:47-05:00</t>
  </si>
  <si>
    <t xml:space="preserve">[0 - 903260], [919646 - 924337]</t>
  </si>
  <si>
    <t xml:space="preserve">Signature_be931a2d-9a13-4c9c-9a4d-e389c20a132c</t>
  </si>
  <si>
    <t xml:space="preserve">2024-04-30 08:37:44-05:00</t>
  </si>
  <si>
    <t xml:space="preserve">2024:04:30 08:37:44-05:00</t>
  </si>
  <si>
    <t xml:space="preserve">[0 - 868631], [885017 - 889990]</t>
  </si>
  <si>
    <t xml:space="preserve">Signature_f6b9e4cc-5e40-481b-b9dc-6553df8f1afb</t>
  </si>
  <si>
    <t xml:space="preserve">2024-04-30 08:37:42-05:00</t>
  </si>
  <si>
    <t xml:space="preserve">2024:04:30 08:37:42-05:00</t>
  </si>
  <si>
    <t xml:space="preserve">[0 - 1066981], [1083367 - 1091900]</t>
  </si>
  <si>
    <t xml:space="preserve">Signature_9d7143c1-418f-4758-8eca-a72da47737d1</t>
  </si>
  <si>
    <t xml:space="preserve">2024-04-30 08:37:38-05:00</t>
  </si>
  <si>
    <t xml:space="preserve">2024:04:30 08:37:38-05:00</t>
  </si>
  <si>
    <t xml:space="preserve">[0 - 847481], [863867 - 868842]</t>
  </si>
  <si>
    <t xml:space="preserve">Signature_682c22e0-1d3d-4790-a2fc-127199d28c64</t>
  </si>
  <si>
    <t xml:space="preserve">2024-04-30 08:37:35-05:00</t>
  </si>
  <si>
    <t xml:space="preserve">2024:04:30 08:37:35-05:00</t>
  </si>
  <si>
    <t xml:space="preserve">[0 - 847224], [863610 - 868591]</t>
  </si>
  <si>
    <t xml:space="preserve">Signature_91715268-7b2b-4803-a16b-e2994f724a0a</t>
  </si>
  <si>
    <t xml:space="preserve">2024-04-30 08:37:53-05:00</t>
  </si>
  <si>
    <t xml:space="preserve">2024:04:30 08:37:53-05:00</t>
  </si>
  <si>
    <t xml:space="preserve">[0 - 793585], [809971 - 815261]</t>
  </si>
  <si>
    <t xml:space="preserve">Signature_c6e603cc-4045-4843-b676-2620ec1d05b2</t>
  </si>
  <si>
    <t xml:space="preserve">2024-04-30 08:37:50-05:00</t>
  </si>
  <si>
    <t xml:space="preserve">2024:04:30 08:37:50-05:00</t>
  </si>
  <si>
    <t xml:space="preserve">[0 - 286166], [302552 - 308370]</t>
  </si>
  <si>
    <t xml:space="preserve">409 0 obj</t>
  </si>
  <si>
    <t xml:space="preserve">Signature_1ef98353-8646-4b60-9335-87be45272946</t>
  </si>
  <si>
    <t xml:space="preserve">2024-04-30 08:37:49-05:00</t>
  </si>
  <si>
    <t xml:space="preserve">2024:04:30 08:37:49-05:00</t>
  </si>
  <si>
    <t xml:space="preserve">[0 - 783176], [799562 - 808051]</t>
  </si>
  <si>
    <t xml:space="preserve">Signature_339f7ec0-1c6e-4747-8193-d4755f70307f</t>
  </si>
  <si>
    <t xml:space="preserve">2024-04-30 08:37:45-05:00</t>
  </si>
  <si>
    <t xml:space="preserve">2024:04:30 08:37:45-05:00</t>
  </si>
  <si>
    <t xml:space="preserve">Signature_f40496a4-bc82-4e33-ac28-33324852382e</t>
  </si>
  <si>
    <t xml:space="preserve">2024-04-30 08:37:43-05:00</t>
  </si>
  <si>
    <t xml:space="preserve">2024:04:30 08:37:43-05:00</t>
  </si>
  <si>
    <t xml:space="preserve">[0 - 801901], [818287 - 826774]</t>
  </si>
  <si>
    <t xml:space="preserve">Signature_0b8054a2-dce4-438a-b7f5-773784b7ac06</t>
  </si>
  <si>
    <t xml:space="preserve">2024-04-30 08:37:51-05:00</t>
  </si>
  <si>
    <t xml:space="preserve">2024:04:30 08:37:51-05:00</t>
  </si>
  <si>
    <t xml:space="preserve">[0 - 715984], [732370 - 737959]</t>
  </si>
  <si>
    <t xml:space="preserve">Signature_a4a9253e-a5f6-4864-add3-72aca5ca2246</t>
  </si>
  <si>
    <t xml:space="preserve">2024-04-30 08:37:48-05:00</t>
  </si>
  <si>
    <t xml:space="preserve">2024:04:30 08:37:48-05:00</t>
  </si>
  <si>
    <t xml:space="preserve">Signature_415c5a0d-bcc5-4051-9415-a690d784ac68</t>
  </si>
  <si>
    <t xml:space="preserve">2024-04-30 08:41:36-05:00</t>
  </si>
  <si>
    <t xml:space="preserve">2024:04:30 08:41:36-05:00</t>
  </si>
  <si>
    <t xml:space="preserve">[0 - 597538], [613924 - 618602]</t>
  </si>
  <si>
    <t xml:space="preserve">Signature_8a1e4fd3-9821-4a70-a8c6-0db7c11aa804</t>
  </si>
  <si>
    <t xml:space="preserve">2024-04-30 08:41:39-05:00</t>
  </si>
  <si>
    <t xml:space="preserve">2024:04:30 08:41:40-05:00</t>
  </si>
  <si>
    <t xml:space="preserve">[0 - 478231], [494617 - 497409]</t>
  </si>
  <si>
    <t xml:space="preserve">Signature_043f44b9-023c-4b07-8e7c-4d1b508bc815</t>
  </si>
  <si>
    <t xml:space="preserve">2024-04-30 08:41:29-05:00</t>
  </si>
  <si>
    <t xml:space="preserve">2024:04:30 08:41:29-05:00</t>
  </si>
  <si>
    <t xml:space="preserve">[0 - 272122], [288508 - 293933]</t>
  </si>
  <si>
    <t xml:space="preserve">Signature_d953c426-7959-4c43-ae84-451a8dd9f11f</t>
  </si>
  <si>
    <t xml:space="preserve">2024-04-30 08:41:24-05:00</t>
  </si>
  <si>
    <t xml:space="preserve">2024:04:30 08:41:24-05:00</t>
  </si>
  <si>
    <t xml:space="preserve">[0 - 92690], [109076 - 113630]</t>
  </si>
  <si>
    <t xml:space="preserve">Signature_80c2a0de-22f4-45fc-98b6-eb1c4d3fc4f2</t>
  </si>
  <si>
    <t xml:space="preserve">2024-04-30 08:41:17-05:00</t>
  </si>
  <si>
    <t xml:space="preserve">2024:04:30 08:41:17-05:00</t>
  </si>
  <si>
    <t xml:space="preserve">[0 - 692707], [709093 - 714352]</t>
  </si>
  <si>
    <t xml:space="preserve">Signature_8d963296-5dd6-4e33-8c58-cfccee198f96</t>
  </si>
  <si>
    <t xml:space="preserve">2024-04-30 08:41:16-05:00</t>
  </si>
  <si>
    <t xml:space="preserve">2024:04:30 08:41:16-05:00</t>
  </si>
  <si>
    <t xml:space="preserve">Signature_9558971d-f7ac-46f5-b3f2-9bc823215f50</t>
  </si>
  <si>
    <t xml:space="preserve">2024-04-30 08:41:21-05:00</t>
  </si>
  <si>
    <t xml:space="preserve">2024:04:30 08:41:21-05:00</t>
  </si>
  <si>
    <t xml:space="preserve">[0 - 248243], [264629 - 269238]</t>
  </si>
  <si>
    <t xml:space="preserve">Signature_5396cd16-9fd0-45f2-a775-0c949a2d435c</t>
  </si>
  <si>
    <t xml:space="preserve">2024-04-30 08:41:20-05:00</t>
  </si>
  <si>
    <t xml:space="preserve">2024:04:30 08:41:20-05:00</t>
  </si>
  <si>
    <t xml:space="preserve">[0 - 821444], [837830 - 843398]</t>
  </si>
  <si>
    <t xml:space="preserve">Signature_7f1464ef-6e65-4189-8597-578857322876</t>
  </si>
  <si>
    <t xml:space="preserve">2024-04-30 08:41:38-05:00</t>
  </si>
  <si>
    <t xml:space="preserve">2024:04:30 08:41:38-05:00</t>
  </si>
  <si>
    <t xml:space="preserve">[0 - 1481678], [1498064 - 1502622]</t>
  </si>
  <si>
    <t xml:space="preserve">Signature_77c1db45-02e7-40fe-943a-1451408af722</t>
  </si>
  <si>
    <t xml:space="preserve">2024-04-30 08:41:30-05:00</t>
  </si>
  <si>
    <t xml:space="preserve">2024:04:30 08:41:30-05:00</t>
  </si>
  <si>
    <t xml:space="preserve">[0 - 903257], [919643 - 924333]</t>
  </si>
  <si>
    <t xml:space="preserve">Signature_8d8cd379-63f8-475a-8bef-c480c9dbbbf9</t>
  </si>
  <si>
    <t xml:space="preserve">2024-04-30 08:41:27-05:00</t>
  </si>
  <si>
    <t xml:space="preserve">2024:04:30 08:41:27-05:00</t>
  </si>
  <si>
    <t xml:space="preserve">[0 - 868633], [885019 - 889995]</t>
  </si>
  <si>
    <t xml:space="preserve">Signature_bdbd1d25-8758-4b6c-9c08-ddb2361d2786</t>
  </si>
  <si>
    <t xml:space="preserve">2024-04-30 08:41:25-05:00</t>
  </si>
  <si>
    <t xml:space="preserve">2024:04:30 08:41:25-05:00</t>
  </si>
  <si>
    <t xml:space="preserve">[0 - 1067147], [1083533 - 1092066]</t>
  </si>
  <si>
    <t xml:space="preserve">Signature_1f1b2626-08b2-44c9-bc38-5caf65339c2f</t>
  </si>
  <si>
    <t xml:space="preserve">2024-04-30 08:41:23-05:00</t>
  </si>
  <si>
    <t xml:space="preserve">2024:04:30 08:41:23-05:00</t>
  </si>
  <si>
    <t xml:space="preserve">Signature_71583a53-ca56-4959-b72e-b8a4f90826b7</t>
  </si>
  <si>
    <t xml:space="preserve">2024-04-30 08:41:18-05:00</t>
  </si>
  <si>
    <t xml:space="preserve">2024:04:30 08:41:18-05:00</t>
  </si>
  <si>
    <t xml:space="preserve">Signature_514fcf71-1fe4-47a4-b092-4269387ad664</t>
  </si>
  <si>
    <t xml:space="preserve">2024-04-30 08:41:37-05:00</t>
  </si>
  <si>
    <t xml:space="preserve">2024:04:30 08:41:37-05:00</t>
  </si>
  <si>
    <t xml:space="preserve">[0 - 793588], [809974 - 815265]</t>
  </si>
  <si>
    <t xml:space="preserve">Signature_7aeddb45-a5ff-486d-afec-c7c2ed44c0dd</t>
  </si>
  <si>
    <t xml:space="preserve">2024-04-30 08:41:33-05:00</t>
  </si>
  <si>
    <t xml:space="preserve">2024:04:30 08:41:33-05:00</t>
  </si>
  <si>
    <t xml:space="preserve">[0 - 286166], [302552 - 308373]</t>
  </si>
  <si>
    <t xml:space="preserve">Signature_bcef0986-4f75-42ee-a90c-380d079a0b1f</t>
  </si>
  <si>
    <t xml:space="preserve">2024-04-30 08:41:32-05:00</t>
  </si>
  <si>
    <t xml:space="preserve">2024:04:30 08:41:32-05:00</t>
  </si>
  <si>
    <t xml:space="preserve">[0 - 787820], [804206 - 812695]</t>
  </si>
  <si>
    <t xml:space="preserve">Signature_c7d6b745-f604-4def-8e3e-a0b4f8d84c17</t>
  </si>
  <si>
    <t xml:space="preserve">2024-04-30 08:41:28-05:00</t>
  </si>
  <si>
    <t xml:space="preserve">2024:04:30 08:41:28-05:00</t>
  </si>
  <si>
    <t xml:space="preserve">Signature_74aabb08-e0a9-42ce-8a5a-375734c2bc7a</t>
  </si>
  <si>
    <t xml:space="preserve">2024-04-30 08:41:26-05:00</t>
  </si>
  <si>
    <t xml:space="preserve">2024:04:30 08:41:26-05:00</t>
  </si>
  <si>
    <t xml:space="preserve">[0 - 804106], [820492 - 828979]</t>
  </si>
  <si>
    <t xml:space="preserve">Signature_bdd5537a-fbf3-4808-9ce2-0bbb31298900</t>
  </si>
  <si>
    <t xml:space="preserve">2024-04-30 08:41:35-05:00</t>
  </si>
  <si>
    <t xml:space="preserve">2024:04:30 08:41:35-05:00</t>
  </si>
  <si>
    <t xml:space="preserve">[0 - 715983], [732369 - 737959]</t>
  </si>
  <si>
    <t xml:space="preserve">Signature_ed9b1446-5357-4005-8466-e0304b5cfd54</t>
  </si>
  <si>
    <t xml:space="preserve">2024-04-30 08:41:31-05:00</t>
  </si>
  <si>
    <t xml:space="preserve">2024:04:30 08:41:31-05:00</t>
  </si>
  <si>
    <t xml:space="preserve">Signature_2c7a84ee-b925-4b1a-b651-47208620e764</t>
  </si>
  <si>
    <t xml:space="preserve">2024-04-30 08:41:19-05:00</t>
  </si>
  <si>
    <t xml:space="preserve">2024:04:30 08:41:19-05:00</t>
  </si>
  <si>
    <t xml:space="preserve">[0 - 289067], [305453 - 313940]</t>
  </si>
  <si>
    <t xml:space="preserve">Signature_c8f2d2ec-532c-4280-a879-ec3ab0d4fc39</t>
  </si>
  <si>
    <t xml:space="preserve">2024-04-30 08:42:20-05:00</t>
  </si>
  <si>
    <t xml:space="preserve">2024:04:30 08:42:20-05:00</t>
  </si>
  <si>
    <t xml:space="preserve">[0 - 189492], [205878 - 211259]</t>
  </si>
  <si>
    <t xml:space="preserve">Signature_9eb1ca53-4894-4e66-bb3f-8fc30ef205c9</t>
  </si>
  <si>
    <t xml:space="preserve">2024-04-30 08:42:29-05:00</t>
  </si>
  <si>
    <t xml:space="preserve">2024:04:30 08:42:29-05:00</t>
  </si>
  <si>
    <t xml:space="preserve">[0 - 596936], [613322 - 618000]</t>
  </si>
  <si>
    <t xml:space="preserve">Signature_a6ebdcf5-9ec8-4d64-a9f4-e56b06e63429</t>
  </si>
  <si>
    <t xml:space="preserve">2024-04-30 08:42:31-05:00</t>
  </si>
  <si>
    <t xml:space="preserve">2024:04:30 08:42:31-05:00</t>
  </si>
  <si>
    <t xml:space="preserve">[0 - 479110], [495496 - 498288]</t>
  </si>
  <si>
    <t xml:space="preserve">Signature_a407bb03-28c4-4675-a70b-ba771dadd588</t>
  </si>
  <si>
    <t xml:space="preserve">2024-04-30 08:42:10-05:00</t>
  </si>
  <si>
    <t xml:space="preserve">2024:04:30 08:42:10-05:00</t>
  </si>
  <si>
    <t xml:space="preserve">Signature_0123199f-2a36-4a64-879b-8cc15f57123e</t>
  </si>
  <si>
    <t xml:space="preserve">2024-04-30 08:42:25-05:00</t>
  </si>
  <si>
    <t xml:space="preserve">2024:04:30 08:42:25-05:00</t>
  </si>
  <si>
    <t xml:space="preserve">Signature_848ab634-87e1-4785-ada7-a997ebc3f52e</t>
  </si>
  <si>
    <t xml:space="preserve">2024-04-30 08:42:24-05:00</t>
  </si>
  <si>
    <t xml:space="preserve">2024:04:30 08:42:24-05:00</t>
  </si>
  <si>
    <t xml:space="preserve">Signature_8f3f9e28-14ee-41d0-a77b-16c24610ebc7</t>
  </si>
  <si>
    <t xml:space="preserve">2024-04-30 08:42:22-05:00</t>
  </si>
  <si>
    <t xml:space="preserve">2024:04:30 08:42:22-05:00</t>
  </si>
  <si>
    <t xml:space="preserve">[0 - 72140], [88526 - 97013]</t>
  </si>
  <si>
    <t xml:space="preserve">Signature_a6ef286f-43b1-4379-8d90-72cb1abe2704</t>
  </si>
  <si>
    <t xml:space="preserve">2024-04-30 08:42:16-05:00</t>
  </si>
  <si>
    <t xml:space="preserve">2024:04:30 08:42:16-05:00</t>
  </si>
  <si>
    <t xml:space="preserve">[0 - 296642], [313028 - 321515]</t>
  </si>
  <si>
    <t xml:space="preserve">Signature_d4a2183b-e7c9-47ae-b10c-0a0639874a87</t>
  </si>
  <si>
    <t xml:space="preserve">2024-04-30 08:42:13-05:00</t>
  </si>
  <si>
    <t xml:space="preserve">2024:04:30 08:42:13-05:00</t>
  </si>
  <si>
    <t xml:space="preserve">[0 - 271843], [288229 - 296716]</t>
  </si>
  <si>
    <t xml:space="preserve">Signature_624454ae-df1f-4cb1-8b4d-06bafc7f782f</t>
  </si>
  <si>
    <t xml:space="preserve">2024-04-30 08:42:08-05:00</t>
  </si>
  <si>
    <t xml:space="preserve">2024:04:30 08:42:08-05:00</t>
  </si>
  <si>
    <t xml:space="preserve">[0 - 234849], [251235 - 255847]</t>
  </si>
  <si>
    <t xml:space="preserve">Signature_d37c0dcb-efdb-46b5-9c27-bf253e2364ca</t>
  </si>
  <si>
    <t xml:space="preserve">2024-04-30 08:42:15-05:00</t>
  </si>
  <si>
    <t xml:space="preserve">2024:04:30 08:42:15-05:00</t>
  </si>
  <si>
    <t xml:space="preserve">[0 - 822700], [839086 - 844620]</t>
  </si>
  <si>
    <t xml:space="preserve">Signature_97149640-124c-4519-b9a8-1b3571acf918</t>
  </si>
  <si>
    <t xml:space="preserve">2024-04-30 08:42:11-05:00</t>
  </si>
  <si>
    <t xml:space="preserve">2024:04:30 08:42:11-05:00</t>
  </si>
  <si>
    <t xml:space="preserve">[0 - 234669], [251055 - 255667]</t>
  </si>
  <si>
    <t xml:space="preserve">Signature_80a64e0b-6889-4abf-bd6e-30253c2754d5</t>
  </si>
  <si>
    <t xml:space="preserve">2024-04-30 08:42:09-05:00</t>
  </si>
  <si>
    <t xml:space="preserve">2024:04:30 08:42:09-05:00</t>
  </si>
  <si>
    <t xml:space="preserve">Signature_653eec67-2036-47ce-b83b-c34bd0d8fa31</t>
  </si>
  <si>
    <t xml:space="preserve">2024-04-30 08:42:28-05:00</t>
  </si>
  <si>
    <t xml:space="preserve">2024:04:30 08:42:28-05:00</t>
  </si>
  <si>
    <t xml:space="preserve">[0 - 487956], [504342 - 509748]</t>
  </si>
  <si>
    <t xml:space="preserve">Signature_cf2e6966-1612-4a2b-a090-aa3b3ad1eb62</t>
  </si>
  <si>
    <t xml:space="preserve">2024-04-30 08:42:21-05:00</t>
  </si>
  <si>
    <t xml:space="preserve">2024:04:30 08:42:21-05:00</t>
  </si>
  <si>
    <t xml:space="preserve">[0 - 808245], [824631 - 829222]</t>
  </si>
  <si>
    <t xml:space="preserve">Signature_19377b0c-7e98-4512-aeb4-ea4cfeb071d5</t>
  </si>
  <si>
    <t xml:space="preserve">2024-04-30 08:42:18-05:00</t>
  </si>
  <si>
    <t xml:space="preserve">2024:04:30 08:42:18-05:00</t>
  </si>
  <si>
    <t xml:space="preserve">[0 - 802149], [818535 - 823505]</t>
  </si>
  <si>
    <t xml:space="preserve">Signature_0a0047b0-17b6-45bf-b879-4ff01102ee9a</t>
  </si>
  <si>
    <t xml:space="preserve">2024-04-30 08:42:17-05:00</t>
  </si>
  <si>
    <t xml:space="preserve">2024:04:30 08:42:17-05:00</t>
  </si>
  <si>
    <t xml:space="preserve">Signature_ba240507-afe5-4173-b0b1-02a29a797f0a</t>
  </si>
  <si>
    <t xml:space="preserve">2024-04-30 08:42:14-05:00</t>
  </si>
  <si>
    <t xml:space="preserve">2024:04:30 08:42:14-05:00</t>
  </si>
  <si>
    <t xml:space="preserve">Signature_93753dc8-1fdb-48af-b3da-f7400fee3798</t>
  </si>
  <si>
    <t xml:space="preserve">2024-04-30 08:42:30-05:00</t>
  </si>
  <si>
    <t xml:space="preserve">2024:04:30 08:42:30-05:00</t>
  </si>
  <si>
    <t xml:space="preserve">[0 - 132013], [148399 - 156932]</t>
  </si>
  <si>
    <t xml:space="preserve">Signature_4bdea540-518d-4e98-8d5a-d201e77843bd</t>
  </si>
  <si>
    <t xml:space="preserve">2024-04-30 08:42:26-05:00</t>
  </si>
  <si>
    <t xml:space="preserve">2024:04:30 08:42:26-05:00</t>
  </si>
  <si>
    <t xml:space="preserve">[0 - 1145959], [1162345 - 1167054]</t>
  </si>
  <si>
    <t xml:space="preserve">Signature_066b51c7-57ec-4c6c-8ade-46d0f8a1db62</t>
  </si>
  <si>
    <t xml:space="preserve">2024-04-30 08:42:23-05:00</t>
  </si>
  <si>
    <t xml:space="preserve">2024:04:30 08:42:23-05:00</t>
  </si>
  <si>
    <t xml:space="preserve">[0 - 172509], [188895 - 194382]</t>
  </si>
  <si>
    <t xml:space="preserve">Signature_ead5e945-fdcb-497d-93a7-0f74638fa786</t>
  </si>
  <si>
    <t xml:space="preserve">2024-04-30 08:42:19-05:00</t>
  </si>
  <si>
    <t xml:space="preserve">2024:04:30 08:42:19-05:00</t>
  </si>
  <si>
    <t xml:space="preserve">[0 - 156971], [173357 - 178717]</t>
  </si>
  <si>
    <t xml:space="preserve">Signature_5bcce8ea-3a7c-457f-9744-dc0952834125</t>
  </si>
  <si>
    <t xml:space="preserve">2024-04-30 08:42:07-05:00</t>
  </si>
  <si>
    <t xml:space="preserve">2024:04:30 08:42:07-05:00</t>
  </si>
  <si>
    <t xml:space="preserve">[0 - 63557], [79943 - 88428]</t>
  </si>
  <si>
    <t xml:space="preserve">Signature_b310ec6e-6ffd-4b03-b91d-24a8b3a86a7a</t>
  </si>
  <si>
    <t xml:space="preserve">2024-04-30 08:43:31-05:00</t>
  </si>
  <si>
    <t xml:space="preserve">2024:04:30 08:43:31-05:00</t>
  </si>
  <si>
    <t xml:space="preserve">[0 - 176480], [192866 - 197437]</t>
  </si>
  <si>
    <t xml:space="preserve">Signature_f30f0458-c19b-4d14-9169-61112eed9c67</t>
  </si>
  <si>
    <t xml:space="preserve">2024-04-30 08:43:30-05:00</t>
  </si>
  <si>
    <t xml:space="preserve">2024:04:30 08:43:30-05:00</t>
  </si>
  <si>
    <t xml:space="preserve">[0 - 203681], [220067 - 225176]</t>
  </si>
  <si>
    <t xml:space="preserve">178 0 obj</t>
  </si>
  <si>
    <t xml:space="preserve">Signature_cbee9a91-bb00-4eba-a26a-71d22220b766</t>
  </si>
  <si>
    <t xml:space="preserve">2024-04-30 08:43:44-05:00</t>
  </si>
  <si>
    <t xml:space="preserve">2024:04:30 08:43:44-05:00</t>
  </si>
  <si>
    <t xml:space="preserve">[0 - 280861], [297247 - 303077]</t>
  </si>
  <si>
    <t xml:space="preserve">432 0 obj</t>
  </si>
  <si>
    <t xml:space="preserve">Signature_5d5762db-fabb-46ed-86d1-897a9babe913</t>
  </si>
  <si>
    <t xml:space="preserve">2024-04-30 08:43:47-05:00</t>
  </si>
  <si>
    <t xml:space="preserve">2024:04:30 08:43:47-05:00</t>
  </si>
  <si>
    <t xml:space="preserve">[0 - 478541], [494927 - 497719]</t>
  </si>
  <si>
    <t xml:space="preserve">Signature_dd6bf3d8-bcd9-4622-8ef1-4fabce28e5b9</t>
  </si>
  <si>
    <t xml:space="preserve">2024-04-30 08:43:09-05:00</t>
  </si>
  <si>
    <t xml:space="preserve">2024:04:30 08:43:09-05:00</t>
  </si>
  <si>
    <t xml:space="preserve">Signature_1701e59d-5855-49bb-9c50-f8dd9120d623</t>
  </si>
  <si>
    <t xml:space="preserve">2024-04-30 08:43:22-05:00</t>
  </si>
  <si>
    <t xml:space="preserve">2024:04:30 08:43:22-05:00</t>
  </si>
  <si>
    <t xml:space="preserve">[0 - 307323], [323709 - 328771]</t>
  </si>
  <si>
    <t xml:space="preserve">Signature_7b69e7b5-7996-4065-8224-c7c4ac087533</t>
  </si>
  <si>
    <t xml:space="preserve">2024-04-30 08:43:03-05:00</t>
  </si>
  <si>
    <t xml:space="preserve">2024:04:30 08:43:03-05:00</t>
  </si>
  <si>
    <t xml:space="preserve">[0 - 435962], [452348 - 460835]</t>
  </si>
  <si>
    <t xml:space="preserve">Signature_40247f7e-239a-4341-8ab2-92618790433a</t>
  </si>
  <si>
    <t xml:space="preserve">2024-04-30 08:43:45-05:00</t>
  </si>
  <si>
    <t xml:space="preserve">2024:04:30 08:43:45-05:00</t>
  </si>
  <si>
    <t xml:space="preserve">[0 - 818682], [835068 - 839665]</t>
  </si>
  <si>
    <t xml:space="preserve">Signature_a492d802-8ab6-40dd-899f-113156097868</t>
  </si>
  <si>
    <t xml:space="preserve">2024-04-30 08:43:33-05:00</t>
  </si>
  <si>
    <t xml:space="preserve">2024:04:30 08:43:33-05:00</t>
  </si>
  <si>
    <t xml:space="preserve">[0 - 219977], [236363 - 240580]</t>
  </si>
  <si>
    <t xml:space="preserve">Signature_0622a70e-84b0-4e23-b8e2-7b9a33524099</t>
  </si>
  <si>
    <t xml:space="preserve">2024-04-30 08:43:26-05:00</t>
  </si>
  <si>
    <t xml:space="preserve">2024:04:30 08:43:26-05:00</t>
  </si>
  <si>
    <t xml:space="preserve">[0 - 137005], [153391 - 161924]</t>
  </si>
  <si>
    <t xml:space="preserve">Signature_e4b08a8a-1c5d-4e1f-b2d6-1b0ccabc5961</t>
  </si>
  <si>
    <t xml:space="preserve">2024-04-30 08:43:27-05:00</t>
  </si>
  <si>
    <t xml:space="preserve">2024:04:30 08:43:27-05:00</t>
  </si>
  <si>
    <t xml:space="preserve">[0 - 136414], [152800 - 161333]</t>
  </si>
  <si>
    <t xml:space="preserve">Signature_3927d0ea-2254-4720-b3cb-3af84f37a2a7</t>
  </si>
  <si>
    <t xml:space="preserve">2024-04-30 08:43:08-05:00</t>
  </si>
  <si>
    <t xml:space="preserve">2024:04:30 08:43:08-05:00</t>
  </si>
  <si>
    <t xml:space="preserve">[0 - 830414], [846800 - 852340]</t>
  </si>
  <si>
    <t xml:space="preserve">Signature_17d792d4-2498-4631-b427-06a4325a8765</t>
  </si>
  <si>
    <t xml:space="preserve">2024-04-30 08:43:02-05:00</t>
  </si>
  <si>
    <t xml:space="preserve">2024:04:30 08:43:02-05:00</t>
  </si>
  <si>
    <t xml:space="preserve">[0 - 744729], [761115 - 769646]</t>
  </si>
  <si>
    <t xml:space="preserve">Signature_0056625d-f9c9-440c-9698-996b8f8e6ae0</t>
  </si>
  <si>
    <t xml:space="preserve">2024-04-30 08:43:41-05:00</t>
  </si>
  <si>
    <t xml:space="preserve">2024:04:30 08:43:41-05:00</t>
  </si>
  <si>
    <t xml:space="preserve">[0 - 268708], [285094 - 289544]</t>
  </si>
  <si>
    <t xml:space="preserve">Signature_ce899424-8c03-4ae0-9756-5c81e48fc9b8</t>
  </si>
  <si>
    <t xml:space="preserve">2024-04-30 08:43:40-05:00</t>
  </si>
  <si>
    <t xml:space="preserve">2024:04:30 08:43:40-05:00</t>
  </si>
  <si>
    <t xml:space="preserve">[0 - 891734], [908120 - 913299]</t>
  </si>
  <si>
    <t xml:space="preserve">Signature_dc9234eb-bf83-48be-91d1-e4565f36d5b9</t>
  </si>
  <si>
    <t xml:space="preserve">2024-04-30 08:43:37-05:00</t>
  </si>
  <si>
    <t xml:space="preserve">2024:04:30 08:43:37-05:00</t>
  </si>
  <si>
    <t xml:space="preserve">[0 - 235928], [252314 - 256987]</t>
  </si>
  <si>
    <t xml:space="preserve">Signature_b29fda1d-69c1-4b9f-9cc3-6371ae0c6385</t>
  </si>
  <si>
    <t xml:space="preserve">2024-04-30 08:43:28-05:00</t>
  </si>
  <si>
    <t xml:space="preserve">2024:04:30 08:43:28-05:00</t>
  </si>
  <si>
    <t xml:space="preserve">[0 - 176821], [193207 - 197675]</t>
  </si>
  <si>
    <t xml:space="preserve">Signature_12c44751-927c-4cdf-8152-d6a82312c790</t>
  </si>
  <si>
    <t xml:space="preserve">2024-04-30 08:43:25-05:00</t>
  </si>
  <si>
    <t xml:space="preserve">2024:04:30 08:43:25-05:00</t>
  </si>
  <si>
    <t xml:space="preserve">[0 - 289012], [305398 - 310235]</t>
  </si>
  <si>
    <t xml:space="preserve">Signature_b8356664-1cda-496a-b9e2-e013c1bfa308</t>
  </si>
  <si>
    <t xml:space="preserve">2024-04-30 08:43:17-05:00</t>
  </si>
  <si>
    <t xml:space="preserve">2024:04:30 08:43:17-05:00</t>
  </si>
  <si>
    <t xml:space="preserve">[0 - 789677], [806063 - 811138]</t>
  </si>
  <si>
    <t xml:space="preserve">Signature_5ae2bdb0-7c30-4486-b75a-f119051eb184</t>
  </si>
  <si>
    <t xml:space="preserve">2024-04-30 08:43:15-05:00</t>
  </si>
  <si>
    <t xml:space="preserve">2024:04:30 08:43:15-05:00</t>
  </si>
  <si>
    <t xml:space="preserve">[0 - 1043243], [1059629 - 1068162]</t>
  </si>
  <si>
    <t xml:space="preserve">Signature_8a39c023-e1c5-4880-897d-bc32b392778d</t>
  </si>
  <si>
    <t xml:space="preserve">2024-04-30 08:43:11-05:00</t>
  </si>
  <si>
    <t xml:space="preserve">2024:04:30 08:43:11-05:00</t>
  </si>
  <si>
    <t xml:space="preserve">[0 - 1012363], [1028749 - 1037282]</t>
  </si>
  <si>
    <t xml:space="preserve">Signature_955925df-bdda-478e-bae1-cb934e022cf2</t>
  </si>
  <si>
    <t xml:space="preserve">2024-04-30 08:43:07-05:00</t>
  </si>
  <si>
    <t xml:space="preserve">2024:04:30 08:43:07-05:00</t>
  </si>
  <si>
    <t xml:space="preserve">[0 - 848713], [865099 - 870070]</t>
  </si>
  <si>
    <t xml:space="preserve">Signature_d4ad061f-03f5-4091-a451-68b21a2ee890</t>
  </si>
  <si>
    <t xml:space="preserve">2024-04-30 08:43:05-05:00</t>
  </si>
  <si>
    <t xml:space="preserve">2024:04:30 08:43:05-05:00</t>
  </si>
  <si>
    <t xml:space="preserve">[0 - 118075], [134461 - 142992]</t>
  </si>
  <si>
    <t xml:space="preserve">Signature_15be4b2e-52b6-4c54-82d4-01307203dd9b</t>
  </si>
  <si>
    <t xml:space="preserve">2024-04-30 08:43:46-05:00</t>
  </si>
  <si>
    <t xml:space="preserve">2024:04:30 08:43:46-05:00</t>
  </si>
  <si>
    <t xml:space="preserve">[0 - 738182], [754568 - 763057]</t>
  </si>
  <si>
    <t xml:space="preserve">Signature_a897c6fa-cb35-404e-b0ee-dc4ce464d249</t>
  </si>
  <si>
    <t xml:space="preserve">2024-04-30 08:43:39-05:00</t>
  </si>
  <si>
    <t xml:space="preserve">2024:04:30 08:43:39-05:00</t>
  </si>
  <si>
    <t xml:space="preserve">[0 - 876913], [893299 - 897839]</t>
  </si>
  <si>
    <t xml:space="preserve">Signature_3cb99ddc-13fc-4864-8e16-7c101f4a1391</t>
  </si>
  <si>
    <t xml:space="preserve">2024-04-30 08:43:34-05:00</t>
  </si>
  <si>
    <t xml:space="preserve">2024:04:30 08:43:34-05:00</t>
  </si>
  <si>
    <t xml:space="preserve">[0 - 305015], [321401 - 327226]</t>
  </si>
  <si>
    <t xml:space="preserve">Signature_7934c52b-86b7-4030-b570-7bb6e5ed6ea5</t>
  </si>
  <si>
    <t xml:space="preserve">2024-04-30 08:43:32-05:00</t>
  </si>
  <si>
    <t xml:space="preserve">2024:04:30 08:43:32-05:00</t>
  </si>
  <si>
    <t xml:space="preserve">[0 - 325253], [341639 - 347131]</t>
  </si>
  <si>
    <t xml:space="preserve">Signature_2bec1402-ac6e-4aff-986f-f0d266371612</t>
  </si>
  <si>
    <t xml:space="preserve">2024-04-30 08:43:29-05:00</t>
  </si>
  <si>
    <t xml:space="preserve">2024:04:30 08:43:29-05:00</t>
  </si>
  <si>
    <t xml:space="preserve">Signature_3cf110d0-16a0-4942-9e82-94604a68ef27</t>
  </si>
  <si>
    <t xml:space="preserve">2024-04-30 08:43:21-05:00</t>
  </si>
  <si>
    <t xml:space="preserve">2024:04:30 08:43:21-05:00</t>
  </si>
  <si>
    <t xml:space="preserve">[0 - 768397], [784783 - 790735]</t>
  </si>
  <si>
    <t xml:space="preserve">Signature_81b7b41d-100f-412a-8d2d-231377bb224e</t>
  </si>
  <si>
    <t xml:space="preserve">2024-04-30 08:43:16-05:00</t>
  </si>
  <si>
    <t xml:space="preserve">2024:04:30 08:43:16-05:00</t>
  </si>
  <si>
    <t xml:space="preserve">[0 - 829453], [845839 - 854326]</t>
  </si>
  <si>
    <t xml:space="preserve">Signature_37e46b49-7386-4aed-b9cb-a91d5e7e8de5</t>
  </si>
  <si>
    <t xml:space="preserve">2024-04-30 08:43:12-05:00</t>
  </si>
  <si>
    <t xml:space="preserve">2024:04:30 08:43:12-05:00</t>
  </si>
  <si>
    <t xml:space="preserve">[0 - 878832], [895218 - 903705]</t>
  </si>
  <si>
    <t xml:space="preserve">Signature_4696c9f1-0fd4-4bed-9849-0d7c4c2d6f02</t>
  </si>
  <si>
    <t xml:space="preserve">2024-04-30 08:43:10-05:00</t>
  </si>
  <si>
    <t xml:space="preserve">2024:04:30 08:43:10-05:00</t>
  </si>
  <si>
    <t xml:space="preserve">Signature_3f8941e3-cdf0-4a75-ad76-467346a7a184</t>
  </si>
  <si>
    <t xml:space="preserve">2024-04-30 08:43:04-05:00</t>
  </si>
  <si>
    <t xml:space="preserve">2024:04:30 08:43:04-05:00</t>
  </si>
  <si>
    <t xml:space="preserve">[0 - 98446], [114832 - 123318]</t>
  </si>
  <si>
    <t xml:space="preserve">Signature_2f3d88ba-d0fe-43b9-9e6f-c04bfef3988a</t>
  </si>
  <si>
    <t xml:space="preserve">2024-04-30 08:43:20-05:00</t>
  </si>
  <si>
    <t xml:space="preserve">2024:04:30 08:43:20-05:00</t>
  </si>
  <si>
    <t xml:space="preserve">[0 - 788870], [805256 - 810652]</t>
  </si>
  <si>
    <t xml:space="preserve">Signature_28f185d7-3b1c-47cd-a1e4-ef18df52108b</t>
  </si>
  <si>
    <t xml:space="preserve">2024-04-30 08:43:42-05:00</t>
  </si>
  <si>
    <t xml:space="preserve">2024:04:30 08:43:42-05:00</t>
  </si>
  <si>
    <t xml:space="preserve">[0 - 318270], [334656 - 339796]</t>
  </si>
  <si>
    <t xml:space="preserve">Signature_8870789e-b936-431f-a793-4e238362fe02</t>
  </si>
  <si>
    <t xml:space="preserve">2024-04-30 08:43:35-05:00</t>
  </si>
  <si>
    <t xml:space="preserve">2022:03:01 15:59:34-06:00</t>
  </si>
  <si>
    <t xml:space="preserve">[0 - 267346], [283732 - 288127]</t>
  </si>
  <si>
    <t xml:space="preserve">Signature_c263d5ac-a9bb-47a7-b823-a5a94faf5a96</t>
  </si>
  <si>
    <t xml:space="preserve">2024-04-30 08:43:13-05:00</t>
  </si>
  <si>
    <t xml:space="preserve">2024:04:30 08:43:13-05:00</t>
  </si>
  <si>
    <t xml:space="preserve">[0 - 377471], [393857 - 399837]</t>
  </si>
  <si>
    <t xml:space="preserve">Signature_59f83b61-43f9-41ad-9672-9395b0c13844</t>
  </si>
  <si>
    <t xml:space="preserve">2024-04-30 08:43:23-05:00</t>
  </si>
  <si>
    <t xml:space="preserve">2024:04:30 08:43:23-05:00</t>
  </si>
  <si>
    <t xml:space="preserve">[0 - 324307], [340693 - 345590]</t>
  </si>
  <si>
    <t xml:space="preserve">Signature_02f6cdb7-f939-477c-aa64-f885edb73b71</t>
  </si>
  <si>
    <t xml:space="preserve">2024-04-30 08:43:43-05:00</t>
  </si>
  <si>
    <t xml:space="preserve">2024:04:30 08:43:43-05:00</t>
  </si>
  <si>
    <t xml:space="preserve">[0 - 161988], [178374 - 183797]</t>
  </si>
  <si>
    <t xml:space="preserve">Signature_9c1de881-c260-458f-bada-43d52b2dc9a8</t>
  </si>
  <si>
    <t xml:space="preserve">2024-04-30 08:43:36-05:00</t>
  </si>
  <si>
    <t xml:space="preserve">2022:03:01 12:13:55-06:00</t>
  </si>
  <si>
    <t xml:space="preserve">[0 - 191923], [208309 - 212583]</t>
  </si>
  <si>
    <t xml:space="preserve">Signature_65eec9b2-dcd3-42e5-8539-23563c526951</t>
  </si>
  <si>
    <t xml:space="preserve">2024-04-30 08:43:24-05:00</t>
  </si>
  <si>
    <t xml:space="preserve">2024:04:30 08:43:24-05:00</t>
  </si>
  <si>
    <t xml:space="preserve">[0 - 153496], [169882 - 175036]</t>
  </si>
  <si>
    <t xml:space="preserve">Signature_5748e1bd-85e8-4b7a-9724-8f115789c71c</t>
  </si>
  <si>
    <t xml:space="preserve">2024-04-30 08:43:18-05:00</t>
  </si>
  <si>
    <t xml:space="preserve">2024:04:30 08:43:18-05:00</t>
  </si>
  <si>
    <t xml:space="preserve">[0 - 157219], [173605 - 178952]</t>
  </si>
  <si>
    <t xml:space="preserve">Signature_5ffec8ff-23ab-410e-870e-effb0de7117d</t>
  </si>
  <si>
    <t xml:space="preserve">2024-04-30 08:43:14-05:00</t>
  </si>
  <si>
    <t xml:space="preserve">2024:04:30 08:43:14-05:00</t>
  </si>
  <si>
    <t xml:space="preserve">[0 - 192728], [209114 - 215490]</t>
  </si>
  <si>
    <t xml:space="preserve">Signature_98702a51-8d6c-4a45-bf82-f0c94f2c689d</t>
  </si>
  <si>
    <t xml:space="preserve">2024-04-30 08:43:01-05:00</t>
  </si>
  <si>
    <t xml:space="preserve">2024:04:30 08:43:01-05:00</t>
  </si>
  <si>
    <t xml:space="preserve">[0 - 183222], [199608 - 204128]</t>
  </si>
  <si>
    <t xml:space="preserve">Signature_b2f6210a-a773-4983-a065-c1fef564221e</t>
  </si>
  <si>
    <t xml:space="preserve">2024-04-30 08:46:37-05:00</t>
  </si>
  <si>
    <t xml:space="preserve">2024:04:30 08:46:37-05:00</t>
  </si>
  <si>
    <t xml:space="preserve">[0 - 354495], [370881 - 376362]</t>
  </si>
  <si>
    <t xml:space="preserve">413 0 obj</t>
  </si>
  <si>
    <t xml:space="preserve">Signature_26c9d47f-cc68-4eb1-9f6b-2be2eb1e5b73</t>
  </si>
  <si>
    <t xml:space="preserve">2024-04-30 08:46:29-05:00</t>
  </si>
  <si>
    <t xml:space="preserve">2024:04:30 08:46:29-05:00</t>
  </si>
  <si>
    <t xml:space="preserve">[0 - 364080], [380466 - 388360]</t>
  </si>
  <si>
    <t xml:space="preserve">966 0 obj</t>
  </si>
  <si>
    <t xml:space="preserve">Signature_c35e3ee3-323b-4488-85cf-68d220c997ac</t>
  </si>
  <si>
    <t xml:space="preserve">2024-04-30 08:46:22-05:00</t>
  </si>
  <si>
    <t xml:space="preserve">2024:04:30 08:46:22-05:00</t>
  </si>
  <si>
    <t xml:space="preserve">[0 - 1370506], [1386892 - 1395472]</t>
  </si>
  <si>
    <t xml:space="preserve">Signature_8c0ba064-5fcf-45e4-965f-24c74e38ce04</t>
  </si>
  <si>
    <t xml:space="preserve">2024-04-30 08:46:20-05:00</t>
  </si>
  <si>
    <t xml:space="preserve">2024:04:30 08:46:20-05:00</t>
  </si>
  <si>
    <t xml:space="preserve">[0 - 923128], [939514 - 944795]</t>
  </si>
  <si>
    <t xml:space="preserve">Signature_c1f83e81-5d57-47f1-8601-68d3f26456c5</t>
  </si>
  <si>
    <t xml:space="preserve">2024-04-30 08:46:17-05:00</t>
  </si>
  <si>
    <t xml:space="preserve">2024:04:30 08:46:17-05:00</t>
  </si>
  <si>
    <t xml:space="preserve">[0 - 833834], [850220 - 854804]</t>
  </si>
  <si>
    <t xml:space="preserve">Signature_fdbf4642-309e-41ce-9ebb-e184796ff9f6</t>
  </si>
  <si>
    <t xml:space="preserve">2024-04-30 08:46:31-05:00</t>
  </si>
  <si>
    <t xml:space="preserve">2024:04:30 08:46:31-05:00</t>
  </si>
  <si>
    <t xml:space="preserve">[0 - 200653], [217039 - 222687]</t>
  </si>
  <si>
    <t xml:space="preserve">Signature_50fe42ff-90da-4e9d-a392-1dbb90c6851a</t>
  </si>
  <si>
    <t xml:space="preserve">2024-04-30 08:46:36-05:00</t>
  </si>
  <si>
    <t xml:space="preserve">2024:04:30 08:46:36-05:00</t>
  </si>
  <si>
    <t xml:space="preserve">[0 - 298816], [315202 - 320705]</t>
  </si>
  <si>
    <t xml:space="preserve">Signature_e0723a49-204c-4c62-82e6-f2ba2b1317b1</t>
  </si>
  <si>
    <t xml:space="preserve">2024-04-30 08:46:23-05:00</t>
  </si>
  <si>
    <t xml:space="preserve">2024:04:30 08:46:23-05:00</t>
  </si>
  <si>
    <t xml:space="preserve">[0 - 820563], [836949 - 841536]</t>
  </si>
  <si>
    <t xml:space="preserve">Signature_4a2b7dce-cef5-4faf-8a5a-6afc1e65e08a</t>
  </si>
  <si>
    <t xml:space="preserve">2024-04-30 08:46:16-05:00</t>
  </si>
  <si>
    <t xml:space="preserve">2024:04:30 08:46:16-05:00</t>
  </si>
  <si>
    <t xml:space="preserve">[0 - 235305], [251691 - 256301]</t>
  </si>
  <si>
    <t xml:space="preserve">Signature_6dd1bb63-19d0-4e4b-9bdd-e2f2e7b2dd51</t>
  </si>
  <si>
    <t xml:space="preserve">2024-04-30 08:46:21-05:00</t>
  </si>
  <si>
    <t xml:space="preserve">2024:04:30 08:46:21-05:00</t>
  </si>
  <si>
    <t xml:space="preserve">[0 - 1153982], [1170368 - 1176163]</t>
  </si>
  <si>
    <t xml:space="preserve">456 0 obj</t>
  </si>
  <si>
    <t xml:space="preserve">Signature_1cd30eb7-f542-457a-8be9-ce430b32d974</t>
  </si>
  <si>
    <t xml:space="preserve">2024-04-30 08:46:19-05:00</t>
  </si>
  <si>
    <t xml:space="preserve">2024:04:30 08:46:19-05:00</t>
  </si>
  <si>
    <t xml:space="preserve">[0 - 872721], [889107 - 894083]</t>
  </si>
  <si>
    <t xml:space="preserve">Signature_cd133cd8-23a5-4ac3-a699-3c06fe00045d</t>
  </si>
  <si>
    <t xml:space="preserve">2024-04-30 08:46:18-05:00</t>
  </si>
  <si>
    <t xml:space="preserve">2024:04:30 08:46:18-05:00</t>
  </si>
  <si>
    <t xml:space="preserve">[0 - 121442], [137828 - 146359]</t>
  </si>
  <si>
    <t xml:space="preserve">Signature_6e1242dc-b28c-4c84-9d46-752b642d7266</t>
  </si>
  <si>
    <t xml:space="preserve">2024-04-30 08:46:28-05:00</t>
  </si>
  <si>
    <t xml:space="preserve">2024:04:30 08:46:28-05:00</t>
  </si>
  <si>
    <t xml:space="preserve">[0 - 243864], [260250 - 266161]</t>
  </si>
  <si>
    <t xml:space="preserve">Signature_603670b3-3170-4ffe-a669-b32d37052d88</t>
  </si>
  <si>
    <t xml:space="preserve">2024-04-30 08:46:24-05:00</t>
  </si>
  <si>
    <t xml:space="preserve">2024:04:30 08:46:24-05:00</t>
  </si>
  <si>
    <t xml:space="preserve">[0 - 822012], [838398 - 843805]</t>
  </si>
  <si>
    <t xml:space="preserve">Signature_bd8282a2-f73a-4ed1-9222-4e417b1eb6b0</t>
  </si>
  <si>
    <t xml:space="preserve">2024-04-30 08:46:35-05:00</t>
  </si>
  <si>
    <t xml:space="preserve">2024:04:30 08:46:35-05:00</t>
  </si>
  <si>
    <t xml:space="preserve">[0 - 248365], [264751 - 270052]</t>
  </si>
  <si>
    <t xml:space="preserve">Signature_aaeefc52-4d5c-40b3-9a37-30e1ecd5c15a</t>
  </si>
  <si>
    <t xml:space="preserve">2024-04-30 08:46:32-05:00</t>
  </si>
  <si>
    <t xml:space="preserve">2024:04:30 08:46:32-05:00</t>
  </si>
  <si>
    <t xml:space="preserve">[0 - 315473], [331859 - 339570]</t>
  </si>
  <si>
    <t xml:space="preserve">479 0 obj</t>
  </si>
  <si>
    <t xml:space="preserve">Signature_251143f3-b5bf-47e9-a4d4-b0fe87e413de</t>
  </si>
  <si>
    <t xml:space="preserve">2024-04-30 08:46:25-05:00</t>
  </si>
  <si>
    <t xml:space="preserve">2024:04:30 08:46:25-05:00</t>
  </si>
  <si>
    <t xml:space="preserve">[0 - 259613], [275999 - 281402]</t>
  </si>
  <si>
    <t xml:space="preserve">602 0 obj</t>
  </si>
  <si>
    <t xml:space="preserve">Signature_1057e193-da3e-4629-951a-0e2f788ab122</t>
  </si>
  <si>
    <t xml:space="preserve">2024-04-30 08:46:34-05:00</t>
  </si>
  <si>
    <t xml:space="preserve">2024:04:30 08:46:34-05:00</t>
  </si>
  <si>
    <t xml:space="preserve">[0 - 518378], [534764 - 540649]</t>
  </si>
  <si>
    <t xml:space="preserve">508 0 obj</t>
  </si>
  <si>
    <t xml:space="preserve">Signature_1f2b4f30-2956-415e-b46a-8dbcdcbb3117</t>
  </si>
  <si>
    <t xml:space="preserve">2024-04-30 08:46:26-05:00</t>
  </si>
  <si>
    <t xml:space="preserve">2024:04:30 08:46:26-05:00</t>
  </si>
  <si>
    <t xml:space="preserve">[0 - 118153], [134539 - 140238]</t>
  </si>
  <si>
    <t xml:space="preserve">571 0 obj</t>
  </si>
  <si>
    <t xml:space="preserve">Signature_e3949e66-4645-401e-ab86-71a57cd843ae</t>
  </si>
  <si>
    <t xml:space="preserve">2024-04-30 08:46:15-05:00</t>
  </si>
  <si>
    <t xml:space="preserve">2024:04:30 08:46:15-05:00</t>
  </si>
  <si>
    <t xml:space="preserve">[0 - 88150], [104536 - 113066]</t>
  </si>
  <si>
    <t xml:space="preserve">Signature_a8d37136-0d3d-4f69-a576-9d770897417f</t>
  </si>
  <si>
    <t xml:space="preserve">2024-04-30 08:46:27-05:00</t>
  </si>
  <si>
    <t xml:space="preserve">2024:04:30 08:46:27-05:00</t>
  </si>
  <si>
    <t xml:space="preserve">[0 - 251724], [268110 - 272615]</t>
  </si>
  <si>
    <t xml:space="preserve">Signature_dddf726a-85dd-4e07-a70e-351124915d94</t>
  </si>
  <si>
    <t xml:space="preserve">2024-04-30 08:46:33-05:00</t>
  </si>
  <si>
    <t xml:space="preserve">2024:04:30 08:46:33-05:00</t>
  </si>
  <si>
    <t xml:space="preserve">[0 - 1097755], [1114141 - 1119203]</t>
  </si>
  <si>
    <t xml:space="preserve">Signature_798baf4e-c9db-4c6c-98e5-8750a864086f</t>
  </si>
  <si>
    <t xml:space="preserve">2024-04-30 08:01:06-05:00</t>
  </si>
  <si>
    <t xml:space="preserve">2024:04:30 08:01:06-05:00</t>
  </si>
  <si>
    <t xml:space="preserve">[0 - 194757], [211143 - 216453]</t>
  </si>
  <si>
    <t xml:space="preserve">173 0 obj</t>
  </si>
  <si>
    <t xml:space="preserve">Signature_6148fe4b-9583-48a6-baf2-4c9db5b6b6b5</t>
  </si>
  <si>
    <t xml:space="preserve">2024-04-30 08:01:12-05:00</t>
  </si>
  <si>
    <t xml:space="preserve">2024:04:30 08:01:12-05:00</t>
  </si>
  <si>
    <t xml:space="preserve">[0 - 45447], [61833 - 66998]</t>
  </si>
  <si>
    <t xml:space="preserve">Signature_0f76ebf1-2017-468d-8f1d-1a7219c404ea</t>
  </si>
  <si>
    <t xml:space="preserve">2024-04-30 08:01:08-05:00</t>
  </si>
  <si>
    <t xml:space="preserve">2024:04:30 08:01:08-05:00</t>
  </si>
  <si>
    <t xml:space="preserve">[0 - 101456], [117842 - 122990]</t>
  </si>
  <si>
    <t xml:space="preserve">Signature_4640c5c7-d00e-4720-a446-71a57f446180</t>
  </si>
  <si>
    <t xml:space="preserve">2024-04-30 08:01:09-05:00</t>
  </si>
  <si>
    <t xml:space="preserve">2024:04:30 08:01:09-05:00</t>
  </si>
  <si>
    <t xml:space="preserve">[0 - 103193], [119579 - 124725]</t>
  </si>
  <si>
    <t xml:space="preserve">Signature_5e196d38-df8c-4b63-84f5-7b87112e903d</t>
  </si>
  <si>
    <t xml:space="preserve">2024-04-30 08:01:15-05:00</t>
  </si>
  <si>
    <t xml:space="preserve">2024:04:30 08:01:15-05:00</t>
  </si>
  <si>
    <t xml:space="preserve">[0 - 63280], [79666 - 84826]</t>
  </si>
  <si>
    <t xml:space="preserve">Signature_36bd2736-ae7b-43e6-8e55-024c301a6ea8</t>
  </si>
  <si>
    <t xml:space="preserve">2024-04-30 08:01:16-05:00</t>
  </si>
  <si>
    <t xml:space="preserve">2024:04:30 08:01:16-05:00</t>
  </si>
  <si>
    <t xml:space="preserve">[0 - 122622], [139008 - 144219]</t>
  </si>
  <si>
    <t xml:space="preserve">Signature_09514fcd-0185-46d8-b25f-de534c4f6f48</t>
  </si>
  <si>
    <t xml:space="preserve">2024-04-30 08:00:57-05:00</t>
  </si>
  <si>
    <t xml:space="preserve">2024:04:30 08:00:57-05:00</t>
  </si>
  <si>
    <t xml:space="preserve">[0 - 54026], [70412 - 75675]</t>
  </si>
  <si>
    <t xml:space="preserve">Signature_1ea0de34-5ea8-480a-867f-3a852b6eb005</t>
  </si>
  <si>
    <t xml:space="preserve">2024-04-30 08:01:36-05:00</t>
  </si>
  <si>
    <t xml:space="preserve">2024:04:30 08:01:36-05:00</t>
  </si>
  <si>
    <t xml:space="preserve">[0 - 128281], [144667 - 153154]</t>
  </si>
  <si>
    <t xml:space="preserve">Signature_dc649c5e-4f58-4927-977b-b6d6d333949c</t>
  </si>
  <si>
    <t xml:space="preserve">2024-04-30 08:01:37-05:00</t>
  </si>
  <si>
    <t xml:space="preserve">2024:04:30 08:01:37-05:00</t>
  </si>
  <si>
    <t xml:space="preserve">[0 - 184785], [201171 - 209702]</t>
  </si>
  <si>
    <t xml:space="preserve">Signature_85a60dbb-5aa6-48fc-9bab-f9c8b55cf210</t>
  </si>
  <si>
    <t xml:space="preserve">2024-04-30 08:01:23-05:00</t>
  </si>
  <si>
    <t xml:space="preserve">2024:04:30 08:01:23-05:00</t>
  </si>
  <si>
    <t xml:space="preserve">[0 - 742395], [758781 - 763984]</t>
  </si>
  <si>
    <t xml:space="preserve">Signature_e4fc10e7-c766-4a2d-8820-6ff2076e54d3</t>
  </si>
  <si>
    <t xml:space="preserve">2024-04-30 08:01:38-05:00</t>
  </si>
  <si>
    <t xml:space="preserve">2024:04:30 08:01:38-05:00</t>
  </si>
  <si>
    <t xml:space="preserve">[0 - 107097], [123483 - 128967]</t>
  </si>
  <si>
    <t xml:space="preserve">Signature_c7ae70b3-d21b-4138-83df-3280d9b2a2cd</t>
  </si>
  <si>
    <t xml:space="preserve">2024-04-30 08:00:55-05:00</t>
  </si>
  <si>
    <t xml:space="preserve">2024:04:30 08:00:55-05:00</t>
  </si>
  <si>
    <t xml:space="preserve">[0 - 129132], [145518 - 150112]</t>
  </si>
  <si>
    <t xml:space="preserve">Signature_ac3dc720-e81d-4424-a2e7-65c784d5fec5</t>
  </si>
  <si>
    <t xml:space="preserve">2024-04-30 08:01:41-05:00</t>
  </si>
  <si>
    <t xml:space="preserve">2024:04:30 08:01:41-05:00</t>
  </si>
  <si>
    <t xml:space="preserve">[0 - 671678], [688064 - 693457]</t>
  </si>
  <si>
    <t xml:space="preserve">Signature_13604c7b-3ac3-436a-a03e-858573aa32ba</t>
  </si>
  <si>
    <t xml:space="preserve">2024-04-30 08:01:32-05:00</t>
  </si>
  <si>
    <t xml:space="preserve">2024:04:30 08:01:32-05:00</t>
  </si>
  <si>
    <t xml:space="preserve">[0 - 84626], [101012 - 109498]</t>
  </si>
  <si>
    <t xml:space="preserve">Signature_94a31e41-061f-4a17-aa65-f33d508709cb</t>
  </si>
  <si>
    <t xml:space="preserve">2024-04-30 08:01:31-05:00</t>
  </si>
  <si>
    <t xml:space="preserve">2024:04:30 08:01:31-05:00</t>
  </si>
  <si>
    <t xml:space="preserve">[0 - 717780], [734166 - 739685]</t>
  </si>
  <si>
    <t xml:space="preserve">Signature_0a818482-9542-4ba1-94a1-2a091ca196e8</t>
  </si>
  <si>
    <t xml:space="preserve">2024-04-30 08:01:21-05:00</t>
  </si>
  <si>
    <t xml:space="preserve">2024:04:30 08:01:21-05:00</t>
  </si>
  <si>
    <t xml:space="preserve">[0 - 76919], [93305 - 101791]</t>
  </si>
  <si>
    <t xml:space="preserve">Signature_d8c2d2ea-ae42-46bb-8730-6c3cc9bb5a0e</t>
  </si>
  <si>
    <t xml:space="preserve">[0 - 75836], [92222 - 100708]</t>
  </si>
  <si>
    <t xml:space="preserve">Signature_33ac6cde-e26d-4bb8-b440-b27812dd5bec</t>
  </si>
  <si>
    <t xml:space="preserve">2024-04-30 08:01:00-05:00</t>
  </si>
  <si>
    <t xml:space="preserve">2024:04:30 08:01:00-05:00</t>
  </si>
  <si>
    <t xml:space="preserve">[0 - 122602], [138988 - 143589]</t>
  </si>
  <si>
    <t xml:space="preserve">Signature_36d30029-6574-4bd5-ba8c-04ceeb6a98ac</t>
  </si>
  <si>
    <t xml:space="preserve">2024-04-30 08:01:45-05:00</t>
  </si>
  <si>
    <t xml:space="preserve">2024:04:30 08:01:45-05:00</t>
  </si>
  <si>
    <t xml:space="preserve">[0 - 1233684], [1250070 - 1255567]</t>
  </si>
  <si>
    <t xml:space="preserve">296 0 obj</t>
  </si>
  <si>
    <t xml:space="preserve">Signature_b58e1a08-da77-4b14-bbd7-f09e85ef4b48</t>
  </si>
  <si>
    <t xml:space="preserve">2024-04-30 08:01:44-05:00</t>
  </si>
  <si>
    <t xml:space="preserve">2024:04:30 08:01:44-05:00</t>
  </si>
  <si>
    <t xml:space="preserve">[0 - 820284], [836670 - 841258]</t>
  </si>
  <si>
    <t xml:space="preserve">Signature_b8e56b24-dd5a-4617-8053-c22d94802dfa</t>
  </si>
  <si>
    <t xml:space="preserve">2024-04-30 08:01:43-05:00</t>
  </si>
  <si>
    <t xml:space="preserve">2024:04:30 08:01:43-05:00</t>
  </si>
  <si>
    <t xml:space="preserve">[0 - 838911], [855297 - 860868]</t>
  </si>
  <si>
    <t xml:space="preserve">Signature_a72eac9c-87be-4bc4-ab90-3821f8c28c1b</t>
  </si>
  <si>
    <t xml:space="preserve">[0 - 772127], [788513 - 793107]</t>
  </si>
  <si>
    <t xml:space="preserve">Signature_1b34cbda-931f-4e5c-8a65-b74a39fa6840</t>
  </si>
  <si>
    <t xml:space="preserve">2024-04-30 08:01:39-05:00</t>
  </si>
  <si>
    <t xml:space="preserve">2024:04:30 08:01:39-05:00</t>
  </si>
  <si>
    <t xml:space="preserve">[0 - 111707], [128093 - 132567]</t>
  </si>
  <si>
    <t xml:space="preserve">Signature_e0be38e4-527c-4457-9917-0fdf8e2a19c5</t>
  </si>
  <si>
    <t xml:space="preserve">2024-04-30 08:01:33-05:00</t>
  </si>
  <si>
    <t xml:space="preserve">2024:04:30 08:01:33-05:00</t>
  </si>
  <si>
    <t xml:space="preserve">[0 - 118099], [134485 - 143016]</t>
  </si>
  <si>
    <t xml:space="preserve">Signature_6b732832-2cb4-4a1e-b2b2-dfbca1c99ceb</t>
  </si>
  <si>
    <t xml:space="preserve">2024-04-30 08:01:30-05:00</t>
  </si>
  <si>
    <t xml:space="preserve">2024:04:30 08:01:30-05:00</t>
  </si>
  <si>
    <t xml:space="preserve">[0 - 238661], [255047 - 260537]</t>
  </si>
  <si>
    <t xml:space="preserve">299 0 obj</t>
  </si>
  <si>
    <t xml:space="preserve">Signature_298c6272-a7ef-44b9-9b64-1fe928960b3f</t>
  </si>
  <si>
    <t xml:space="preserve">2024-04-30 08:01:29-05:00</t>
  </si>
  <si>
    <t xml:space="preserve">2024:04:30 08:01:29-05:00</t>
  </si>
  <si>
    <t xml:space="preserve">[0 - 829182], [845568 - 851105]</t>
  </si>
  <si>
    <t xml:space="preserve">Signature_85993a93-c521-4163-ab2c-013929e281f2</t>
  </si>
  <si>
    <t xml:space="preserve">[0 - 827614], [844000 - 849536]</t>
  </si>
  <si>
    <t xml:space="preserve">Signature_dd7cff63-f1b8-44a8-8368-124261fe676c</t>
  </si>
  <si>
    <t xml:space="preserve">2024-04-30 08:01:26-05:00</t>
  </si>
  <si>
    <t xml:space="preserve">2024:04:30 08:01:26-05:00</t>
  </si>
  <si>
    <t xml:space="preserve">[0 - 115510], [131896 - 140427]</t>
  </si>
  <si>
    <t xml:space="preserve">Signature_1821c626-ff49-4c99-b306-245df53ecced</t>
  </si>
  <si>
    <t xml:space="preserve">2024-04-30 08:01:22-05:00</t>
  </si>
  <si>
    <t xml:space="preserve">2024:04:30 08:01:22-05:00</t>
  </si>
  <si>
    <t xml:space="preserve">[0 - 113034], [129420 - 137951]</t>
  </si>
  <si>
    <t xml:space="preserve">Signature_f8d83811-bba0-4f34-996a-f9517be067d1</t>
  </si>
  <si>
    <t xml:space="preserve">2024-04-30 08:01:18-05:00</t>
  </si>
  <si>
    <t xml:space="preserve">2024:04:30 08:01:18-05:00</t>
  </si>
  <si>
    <t xml:space="preserve">[0 - 111125], [127511 - 136042]</t>
  </si>
  <si>
    <t xml:space="preserve">Signature_a21c352e-69d7-400b-bade-dfcc850110f2</t>
  </si>
  <si>
    <t xml:space="preserve">2024-04-30 08:01:05-05:00</t>
  </si>
  <si>
    <t xml:space="preserve">2024:04:30 08:01:05-05:00</t>
  </si>
  <si>
    <t xml:space="preserve">[0 - 888911], [905297 - 909895]</t>
  </si>
  <si>
    <t xml:space="preserve">Signature_970eb33b-1699-4b18-8e3b-13e531bd2241</t>
  </si>
  <si>
    <t xml:space="preserve">2024-04-30 08:01:01-05:00</t>
  </si>
  <si>
    <t xml:space="preserve">2024:04:30 08:01:01-05:00</t>
  </si>
  <si>
    <t xml:space="preserve">[0 - 248844], [265230 - 269837]</t>
  </si>
  <si>
    <t xml:space="preserve">Signature_714a811f-c4eb-4195-bb1b-13bdc65af722</t>
  </si>
  <si>
    <t xml:space="preserve">2024-04-30 08:01:07-05:00</t>
  </si>
  <si>
    <t xml:space="preserve">2024:04:30 08:01:07-05:00</t>
  </si>
  <si>
    <t xml:space="preserve">[0 - 680619], [697005 - 701885]</t>
  </si>
  <si>
    <t xml:space="preserve">Signature_93f33302-e1f9-4477-b47f-1e1a01a0385e</t>
  </si>
  <si>
    <t xml:space="preserve">2024-04-30 08:01:35-05:00</t>
  </si>
  <si>
    <t xml:space="preserve">2024:04:30 08:01:35-05:00</t>
  </si>
  <si>
    <t xml:space="preserve">[0 - 184617], [201003 - 209584]</t>
  </si>
  <si>
    <t xml:space="preserve">Signature_d015539f-d974-4866-9fb0-7904ffccc5c9</t>
  </si>
  <si>
    <t xml:space="preserve">2024-04-30 08:01:27-05:00</t>
  </si>
  <si>
    <t xml:space="preserve">2024:04:30 08:01:27-05:00</t>
  </si>
  <si>
    <t xml:space="preserve">[0 - 145788], [162174 - 170755]</t>
  </si>
  <si>
    <t xml:space="preserve">Signature_f5e84407-c54c-4b0d-85ec-0618576d7661</t>
  </si>
  <si>
    <t xml:space="preserve">2024-04-30 08:01:20-05:00</t>
  </si>
  <si>
    <t xml:space="preserve">2024:04:30 08:01:20-05:00</t>
  </si>
  <si>
    <t xml:space="preserve">[0 - 117344], [133730 - 142261]</t>
  </si>
  <si>
    <t xml:space="preserve">Signature_b3c17ba2-ffa2-4578-8c5a-15d20119a570</t>
  </si>
  <si>
    <t xml:space="preserve">2024-04-30 08:01:19-05:00</t>
  </si>
  <si>
    <t xml:space="preserve">2024:04:30 08:01:19-05:00</t>
  </si>
  <si>
    <t xml:space="preserve">[0 - 115007], [131393 - 139924]</t>
  </si>
  <si>
    <t xml:space="preserve">Signature_d5533f78-60ac-46a8-88d1-8219b543b2f0</t>
  </si>
  <si>
    <t xml:space="preserve">2024-04-30 08:01:02-05:00</t>
  </si>
  <si>
    <t xml:space="preserve">2024:04:30 08:01:02-05:00</t>
  </si>
  <si>
    <t xml:space="preserve">[0 - 742695], [759081 - 763672]</t>
  </si>
  <si>
    <t xml:space="preserve">Signature_ca247bf0-7140-4ef5-888f-f374a1259187</t>
  </si>
  <si>
    <t xml:space="preserve">2024-04-30 08:01:25-05:00</t>
  </si>
  <si>
    <t xml:space="preserve">2024:04:30 08:01:25-05:00</t>
  </si>
  <si>
    <t xml:space="preserve">[0 - 719969], [736355 - 741515]</t>
  </si>
  <si>
    <t xml:space="preserve">Signature_6601bfc0-c578-43c4-8a34-2f88306974da</t>
  </si>
  <si>
    <t xml:space="preserve">2024-04-30 08:00:56-05:00</t>
  </si>
  <si>
    <t xml:space="preserve">2024:04:30 08:00:56-05:00</t>
  </si>
  <si>
    <t xml:space="preserve">[0 - 302922], [319308 - 324727]</t>
  </si>
  <si>
    <t xml:space="preserve">Signature_4e681a59-21f2-48f8-a36c-c5dc006ef066</t>
  </si>
  <si>
    <t xml:space="preserve">[0 - 123671], [140057 - 145223]</t>
  </si>
  <si>
    <t xml:space="preserve">Signature_29de6948-4acb-43bd-838d-24ef23e8b563</t>
  </si>
  <si>
    <t xml:space="preserve">2024-04-30 08:01:14-05:00</t>
  </si>
  <si>
    <t xml:space="preserve">2024:04:30 08:01:14-05:00</t>
  </si>
  <si>
    <t xml:space="preserve">[0 - 45447], [61833 - 66999]</t>
  </si>
  <si>
    <t xml:space="preserve">Signature_637f4cbe-3d37-4214-8afe-085aa32c437d</t>
  </si>
  <si>
    <t xml:space="preserve">2024-04-30 08:01:11-05:00</t>
  </si>
  <si>
    <t xml:space="preserve">2024:04:30 08:01:11-05:00</t>
  </si>
  <si>
    <t xml:space="preserve">[0 - 116016], [132402 - 137537]</t>
  </si>
  <si>
    <t xml:space="preserve">Signature_04a27fbe-62b4-41a8-8a13-72d5d75e37be</t>
  </si>
  <si>
    <t xml:space="preserve">2024-04-30 08:01:42-05:00</t>
  </si>
  <si>
    <t xml:space="preserve">2024:04:30 08:01:42-05:00</t>
  </si>
  <si>
    <t xml:space="preserve">[0 - 838011], [854397 - 859953]</t>
  </si>
  <si>
    <t xml:space="preserve">Signature_d82ed339-fc1a-4478-b613-6022ad59d766</t>
  </si>
  <si>
    <t xml:space="preserve">[0 - 69032], [85418 - 93909]</t>
  </si>
  <si>
    <t xml:space="preserve">Signature_45861da6-b9a7-4330-b4ac-c4226470cc91</t>
  </si>
  <si>
    <t xml:space="preserve">2024-04-30 08:01:04-05:00</t>
  </si>
  <si>
    <t xml:space="preserve">2024:04:30 08:01:04-05:00</t>
  </si>
  <si>
    <t xml:space="preserve">[0 - 79420], [95806 - 104304]</t>
  </si>
  <si>
    <t xml:space="preserve">Signature_41b48a10-cfbe-4391-8704-fff205891374</t>
  </si>
  <si>
    <t xml:space="preserve">2024-04-30 08:00:58-05:00</t>
  </si>
  <si>
    <t xml:space="preserve">2024:04:30 08:00:58-05:00</t>
  </si>
  <si>
    <t xml:space="preserve">[0 - 311127], [327513 - 336000]</t>
  </si>
  <si>
    <t xml:space="preserve">Signature_eec1cc0f-4908-4228-9522-36551fd62ef0</t>
  </si>
  <si>
    <t xml:space="preserve">2024-04-30 08:02:32-05:00</t>
  </si>
  <si>
    <t xml:space="preserve">2021:08:30 11:21:56-05:00</t>
  </si>
  <si>
    <t xml:space="preserve">[0 - 184533], [200919 - 204924]</t>
  </si>
  <si>
    <t xml:space="preserve">Signature_d4fc27ef-baa2-489c-84a8-2f5cfd90ce5c</t>
  </si>
  <si>
    <t xml:space="preserve">2024-04-30 08:02:23-05:00</t>
  </si>
  <si>
    <t xml:space="preserve">2024:04:30 08:02:23-05:00</t>
  </si>
  <si>
    <t xml:space="preserve">[0 - 189500], [205886 - 211267]</t>
  </si>
  <si>
    <t xml:space="preserve">Signature_0d1edd67-2aca-4e30-8c99-8675ef27f037</t>
  </si>
  <si>
    <t xml:space="preserve">2024-04-30 08:02:27-05:00</t>
  </si>
  <si>
    <t xml:space="preserve">2024:04:30 08:02:27-05:00</t>
  </si>
  <si>
    <t xml:space="preserve">[0 - 564725], [581111 - 585799]</t>
  </si>
  <si>
    <t xml:space="preserve">215 0 obj</t>
  </si>
  <si>
    <t xml:space="preserve">Signature_5f80d4cd-25e7-4368-bb23-347d473abf6b</t>
  </si>
  <si>
    <t xml:space="preserve">2024-04-30 08:02:19-05:00</t>
  </si>
  <si>
    <t xml:space="preserve">2024:04:30 08:02:19-05:00</t>
  </si>
  <si>
    <t xml:space="preserve">[0 - 97266], [113652 - 118327]</t>
  </si>
  <si>
    <t xml:space="preserve">Signature_4945d538-103c-46b7-a361-d512e3182b8e</t>
  </si>
  <si>
    <t xml:space="preserve">2024-04-30 08:02:38-05:00</t>
  </si>
  <si>
    <t xml:space="preserve">2024:04:30 08:02:39-05:00</t>
  </si>
  <si>
    <t xml:space="preserve">[0 - 487952], [504338 - 507506]</t>
  </si>
  <si>
    <t xml:space="preserve">Signature_c699b034-0e46-4f52-96ea-1fb9c5bcaaeb</t>
  </si>
  <si>
    <t xml:space="preserve">2024-04-30 08:02:18-05:00</t>
  </si>
  <si>
    <t xml:space="preserve">2024:04:30 08:02:18-05:00</t>
  </si>
  <si>
    <t xml:space="preserve">[0 - 780767], [797153 - 802416]</t>
  </si>
  <si>
    <t xml:space="preserve">Signature_83ea0a50-1636-489c-a5dd-be19b05eda61</t>
  </si>
  <si>
    <t xml:space="preserve">2024-04-30 08:02:34-05:00</t>
  </si>
  <si>
    <t xml:space="preserve">2024:04:30 08:02:34-05:00</t>
  </si>
  <si>
    <t xml:space="preserve">[0 - 303309], [319695 - 324663]</t>
  </si>
  <si>
    <t xml:space="preserve">Signature_9bc45c8a-c748-4907-b49b-909aeb86e2ef</t>
  </si>
  <si>
    <t xml:space="preserve">2024-04-30 08:02:28-05:00</t>
  </si>
  <si>
    <t xml:space="preserve">2024:04:30 08:02:28-05:00</t>
  </si>
  <si>
    <t xml:space="preserve">[0 - 243320], [259706 - 265109]</t>
  </si>
  <si>
    <t xml:space="preserve">Signature_4afba414-09e1-4fd2-97d0-e3d61bb608b9</t>
  </si>
  <si>
    <t xml:space="preserve">2024-04-30 08:02:26-05:00</t>
  </si>
  <si>
    <t xml:space="preserve">2024:04:30 08:02:26-05:00</t>
  </si>
  <si>
    <t xml:space="preserve">[0 - 242209], [258595 - 263987]</t>
  </si>
  <si>
    <t xml:space="preserve">Signature_5090cb98-a38b-480b-8d14-93dfb0df2955</t>
  </si>
  <si>
    <t xml:space="preserve">2024-04-30 08:02:24-05:00</t>
  </si>
  <si>
    <t xml:space="preserve">2024:04:30 08:02:24-05:00</t>
  </si>
  <si>
    <t xml:space="preserve">[0 - 67701], [84087 - 92574]</t>
  </si>
  <si>
    <t xml:space="preserve">Signature_b266b3a2-679f-431f-9b47-6f27cd425cdc</t>
  </si>
  <si>
    <t xml:space="preserve">2024-04-30 08:02:35-05:00</t>
  </si>
  <si>
    <t xml:space="preserve">2024:04:30 08:02:35-05:00</t>
  </si>
  <si>
    <t xml:space="preserve">[0 - 97025], [113411 - 117914]</t>
  </si>
  <si>
    <t xml:space="preserve">Signature_76c285f2-17f9-44e9-bb9b-752f1a5e13ef</t>
  </si>
  <si>
    <t xml:space="preserve">2024-04-30 08:02:16-05:00</t>
  </si>
  <si>
    <t xml:space="preserve">2024:04:30 08:02:16-05:00</t>
  </si>
  <si>
    <t xml:space="preserve">[0 - 896148], [912534 - 917129]</t>
  </si>
  <si>
    <t xml:space="preserve">Signature_357780c7-ca3e-4c5f-b6a0-4919edde433e</t>
  </si>
  <si>
    <t xml:space="preserve">2024-04-30 08:02:17-05:00</t>
  </si>
  <si>
    <t xml:space="preserve">2024:04:30 08:02:17-05:00</t>
  </si>
  <si>
    <t xml:space="preserve">[0 - 247856], [264242 - 268851]</t>
  </si>
  <si>
    <t xml:space="preserve">Signature_88f140a4-f3bc-4d24-abd2-af757b6e312e</t>
  </si>
  <si>
    <t xml:space="preserve">2024-04-30 08:02:36-05:00</t>
  </si>
  <si>
    <t xml:space="preserve">2024:04:30 08:02:36-05:00</t>
  </si>
  <si>
    <t xml:space="preserve">[0 - 1379782], [1396168 - 1401264]</t>
  </si>
  <si>
    <t xml:space="preserve">457 0 obj</t>
  </si>
  <si>
    <t xml:space="preserve">Signature_968f39fd-8c41-41e3-9e5a-317ef99918ef</t>
  </si>
  <si>
    <t xml:space="preserve">2024-04-30 08:02:22-05:00</t>
  </si>
  <si>
    <t xml:space="preserve">2024:04:30 08:02:22-05:00</t>
  </si>
  <si>
    <t xml:space="preserve">[0 - 868638], [885024 - 889998]</t>
  </si>
  <si>
    <t xml:space="preserve">Signature_f4b62c1a-1884-4bfe-a6ea-3ab76f6339d6</t>
  </si>
  <si>
    <t xml:space="preserve">2024-04-30 08:02:20-05:00</t>
  </si>
  <si>
    <t xml:space="preserve">2024:04:30 08:02:20-05:00</t>
  </si>
  <si>
    <t xml:space="preserve">[0 - 352559], [368945 - 373649]</t>
  </si>
  <si>
    <t xml:space="preserve">Signature_a41389df-4c30-4651-92e0-703d041333ab</t>
  </si>
  <si>
    <t xml:space="preserve">2024-04-30 08:02:37-05:00</t>
  </si>
  <si>
    <t xml:space="preserve">2024:04:30 08:02:37-05:00</t>
  </si>
  <si>
    <t xml:space="preserve">[0 - 1055338], [1071724 - 1076867]</t>
  </si>
  <si>
    <t xml:space="preserve">653 0 obj</t>
  </si>
  <si>
    <t xml:space="preserve">Signature_7c4a7700-5552-40e2-9ea1-d4e5c4acd6ee</t>
  </si>
  <si>
    <t xml:space="preserve">2024-04-30 08:02:33-05:00</t>
  </si>
  <si>
    <t xml:space="preserve">2024:04:30 08:02:33-05:00</t>
  </si>
  <si>
    <t xml:space="preserve">[0 - 375864], [392250 - 398094]</t>
  </si>
  <si>
    <t xml:space="preserve">Signature_c4f4d085-a9e3-4eb1-a672-7261f36f15e7</t>
  </si>
  <si>
    <t xml:space="preserve">2024-04-30 08:02:30-05:00</t>
  </si>
  <si>
    <t xml:space="preserve">2024:04:30 08:02:30-05:00</t>
  </si>
  <si>
    <t xml:space="preserve">[0 - 136500], [152886 - 157937]</t>
  </si>
  <si>
    <t xml:space="preserve">Signature_98df8b0b-23e4-47cf-97fa-d3d5d6b4a98c</t>
  </si>
  <si>
    <t xml:space="preserve">2024-04-30 08:02:29-05:00</t>
  </si>
  <si>
    <t xml:space="preserve">2024:04:30 08:02:29-05:00</t>
  </si>
  <si>
    <t xml:space="preserve">[0 - 227935], [244321 - 249737]</t>
  </si>
  <si>
    <t xml:space="preserve">Signature_2819fde9-d44a-41c1-90a2-1312195ab237</t>
  </si>
  <si>
    <t xml:space="preserve">2024-04-30 08:02:31-05:00</t>
  </si>
  <si>
    <t xml:space="preserve">2024:04:30 08:02:31-05:00</t>
  </si>
  <si>
    <t xml:space="preserve">[0 - 123111], [139497 - 144798]</t>
  </si>
  <si>
    <t xml:space="preserve">Signature_921d1b9d-949a-4024-8abc-e2d0df2084f7</t>
  </si>
  <si>
    <t xml:space="preserve">[0 - 156596], [172982 - 178331]</t>
  </si>
  <si>
    <t xml:space="preserve">Signature_9097ffac-0bee-4c9f-b67f-48c2cbc35bac</t>
  </si>
  <si>
    <t xml:space="preserve">2024-04-30 08:03:15-05:00</t>
  </si>
  <si>
    <t xml:space="preserve">2024:04:30 08:03:15-05:00</t>
  </si>
  <si>
    <t xml:space="preserve">[0 - 347561], [363947 - 369516]</t>
  </si>
  <si>
    <t xml:space="preserve">Signature_25740ab3-cf9d-475e-9253-f1ac6c5ffe72</t>
  </si>
  <si>
    <t xml:space="preserve">2024-04-30 08:03:18-05:00</t>
  </si>
  <si>
    <t xml:space="preserve">2024:04:30 08:03:19-05:00</t>
  </si>
  <si>
    <t xml:space="preserve">[0 - 476865], [493251 - 496364]</t>
  </si>
  <si>
    <t xml:space="preserve">Signature_7526c13f-623d-4384-841f-833e6d6ab0bd</t>
  </si>
  <si>
    <t xml:space="preserve">2024-04-30 08:03:12-05:00</t>
  </si>
  <si>
    <t xml:space="preserve">2024:04:30 08:03:12-05:00</t>
  </si>
  <si>
    <t xml:space="preserve">Signature_ca7a0d74-1c7e-4f27-b905-80e5338e945a</t>
  </si>
  <si>
    <t xml:space="preserve">2024-04-30 08:03:17-05:00</t>
  </si>
  <si>
    <t xml:space="preserve">2024:04:30 08:03:17-05:00</t>
  </si>
  <si>
    <t xml:space="preserve">[0 - 1252141], [1268527 - 1274043]</t>
  </si>
  <si>
    <t xml:space="preserve">Signature_d09db061-3f81-4fea-bd4f-066f62aadc9c</t>
  </si>
  <si>
    <t xml:space="preserve">2024-04-30 08:03:16-05:00</t>
  </si>
  <si>
    <t xml:space="preserve">2024:04:30 08:03:16-05:00</t>
  </si>
  <si>
    <t xml:space="preserve">[0 - 755358], [771744 - 776327]</t>
  </si>
  <si>
    <t xml:space="preserve">Signature_cbc64a4e-539e-4f7e-ae08-dad202165ebd</t>
  </si>
  <si>
    <t xml:space="preserve">2024-04-30 08:03:13-05:00</t>
  </si>
  <si>
    <t xml:space="preserve">2024:04:30 08:03:13-05:00</t>
  </si>
  <si>
    <t xml:space="preserve">[0 - 1012963], [1029349 - 1035721]</t>
  </si>
  <si>
    <t xml:space="preserve">Signature_c60256ba-f5f4-42d2-8305-25ec80b910bd</t>
  </si>
  <si>
    <t xml:space="preserve">2024-04-30 08:03:14-05:00</t>
  </si>
  <si>
    <t xml:space="preserve">2024:04:30 08:03:14-05:00</t>
  </si>
  <si>
    <t xml:space="preserve">[0 - 859139], [875525 - 880865]</t>
  </si>
  <si>
    <t xml:space="preserve">Signature_31acd898-50f5-4bc4-ab53-122ba31eb075</t>
  </si>
  <si>
    <t xml:space="preserve">2024-04-30 08:04:27-05:00</t>
  </si>
  <si>
    <t xml:space="preserve">2024:04:30 08:04:27-05:00</t>
  </si>
  <si>
    <t xml:space="preserve">[0 - 524920], [541306 - 544662]</t>
  </si>
  <si>
    <t xml:space="preserve">Signature_b168fccf-c2a7-4be9-b83f-880464b317d3</t>
  </si>
  <si>
    <t xml:space="preserve">2024-04-30 08:03:52-05:00</t>
  </si>
  <si>
    <t xml:space="preserve">2024:04:30 08:03:52-05:00</t>
  </si>
  <si>
    <t xml:space="preserve">[0 - 923582], [939968 - 945696]</t>
  </si>
  <si>
    <t xml:space="preserve">Signature_5a3d15ee-f3bd-4ce1-a4eb-b18e02b06650</t>
  </si>
  <si>
    <t xml:space="preserve">2024-04-30 08:03:46-05:00</t>
  </si>
  <si>
    <t xml:space="preserve">2024:04:30 08:03:46-05:00</t>
  </si>
  <si>
    <t xml:space="preserve">[0 - 810046], [826432 - 831696]</t>
  </si>
  <si>
    <t xml:space="preserve">Signature_5cf33e8a-31d0-4abf-9770-8fc53e7913d3</t>
  </si>
  <si>
    <t xml:space="preserve">2024-04-30 08:03:56-05:00</t>
  </si>
  <si>
    <t xml:space="preserve">2024:04:30 08:03:56-05:00</t>
  </si>
  <si>
    <t xml:space="preserve">[0 - 217469], [233855 - 239206]</t>
  </si>
  <si>
    <t xml:space="preserve">Signature_380dfeaa-4e61-40f1-8de3-c77bc3f0ffcc</t>
  </si>
  <si>
    <t xml:space="preserve">2024-04-30 08:04:25-05:00</t>
  </si>
  <si>
    <t xml:space="preserve">2024:04:30 08:04:25-05:00</t>
  </si>
  <si>
    <t xml:space="preserve">[0 - 87952], [104338 - 108814]</t>
  </si>
  <si>
    <t xml:space="preserve">Signature_f5deeebe-3bfe-48ee-b84d-6f4cc07a4c70</t>
  </si>
  <si>
    <t xml:space="preserve">2024-04-30 08:04:03-05:00</t>
  </si>
  <si>
    <t xml:space="preserve">2024:04:30 08:04:03-05:00</t>
  </si>
  <si>
    <t xml:space="preserve">[0 - 87922], [104308 - 112796]</t>
  </si>
  <si>
    <t xml:space="preserve">Signature_9f6f4f51-e722-4bbc-a8c9-a35d17e09dad</t>
  </si>
  <si>
    <t xml:space="preserve">2024-04-30 08:03:55-05:00</t>
  </si>
  <si>
    <t xml:space="preserve">2024:04:30 08:03:55-05:00</t>
  </si>
  <si>
    <t xml:space="preserve">[0 - 86826], [103212 - 111700]</t>
  </si>
  <si>
    <t xml:space="preserve">Signature_d3a56f2a-b3b1-48c2-b705-29c5a3d496de</t>
  </si>
  <si>
    <t xml:space="preserve">2024-04-30 08:04:05-05:00</t>
  </si>
  <si>
    <t xml:space="preserve">2024:04:30 08:04:05-05:00</t>
  </si>
  <si>
    <t xml:space="preserve">[0 - 146765], [163151 - 168963]</t>
  </si>
  <si>
    <t xml:space="preserve">Signature_7bde85fb-d86f-47fe-891f-66c08c38a033</t>
  </si>
  <si>
    <t xml:space="preserve">2024-04-30 08:04:02-05:00</t>
  </si>
  <si>
    <t xml:space="preserve">2024:04:30 08:04:02-05:00</t>
  </si>
  <si>
    <t xml:space="preserve">[0 - 114164], [130550 - 136217]</t>
  </si>
  <si>
    <t xml:space="preserve">Signature_6c654d5d-bebc-47a5-b51d-dfa0e70d98bf</t>
  </si>
  <si>
    <t xml:space="preserve">2024-04-30 08:04:24-05:00</t>
  </si>
  <si>
    <t xml:space="preserve">2024:04:30 08:04:24-05:00</t>
  </si>
  <si>
    <t xml:space="preserve">[0 - 755612], [771998 - 776581]</t>
  </si>
  <si>
    <t xml:space="preserve">Signature_6bde1902-8eec-4f59-bbea-f47604d066a9</t>
  </si>
  <si>
    <t xml:space="preserve">2024-04-30 08:04:21-05:00</t>
  </si>
  <si>
    <t xml:space="preserve">2024:04:30 08:04:21-05:00</t>
  </si>
  <si>
    <t xml:space="preserve">[0 - 835358], [851744 - 857317]</t>
  </si>
  <si>
    <t xml:space="preserve">Signature_ead6238a-6a24-41bf-84c1-9d98706e6750</t>
  </si>
  <si>
    <t xml:space="preserve">2024-04-30 08:04:20-05:00</t>
  </si>
  <si>
    <t xml:space="preserve">2024:04:30 08:04:20-05:00</t>
  </si>
  <si>
    <t xml:space="preserve">[0 - 846510], [862896 - 871429]</t>
  </si>
  <si>
    <t xml:space="preserve">Signature_1f8e65ad-d0d8-46f5-858b-e03d478686d1</t>
  </si>
  <si>
    <t xml:space="preserve">2024-04-30 08:04:19-05:00</t>
  </si>
  <si>
    <t xml:space="preserve">2024:04:30 08:04:19-05:00</t>
  </si>
  <si>
    <t xml:space="preserve">[0 - 138440], [154826 - 163359]</t>
  </si>
  <si>
    <t xml:space="preserve">Signature_16519914-caea-48c3-817d-d44e5a2ae4e8</t>
  </si>
  <si>
    <t xml:space="preserve">2024-04-30 08:04:17-05:00</t>
  </si>
  <si>
    <t xml:space="preserve">2024:04:30 08:04:17-05:00</t>
  </si>
  <si>
    <t xml:space="preserve">[0 - 134613], [150999 - 159532]</t>
  </si>
  <si>
    <t xml:space="preserve">Signature_66d48823-bad3-4235-970d-4fc2cb29006d</t>
  </si>
  <si>
    <t xml:space="preserve">2024-04-30 08:04:14-05:00</t>
  </si>
  <si>
    <t xml:space="preserve">2024:04:30 08:04:14-05:00</t>
  </si>
  <si>
    <t xml:space="preserve">[0 - 147804], [164190 - 172724]</t>
  </si>
  <si>
    <t xml:space="preserve">Signature_c44d1895-9a60-45d6-85b8-f54a17e01e25</t>
  </si>
  <si>
    <t xml:space="preserve">2024-04-30 08:04:12-05:00</t>
  </si>
  <si>
    <t xml:space="preserve">2024:04:30 08:04:12-05:00</t>
  </si>
  <si>
    <t xml:space="preserve">[0 - 790569], [806955 - 811545]</t>
  </si>
  <si>
    <t xml:space="preserve">Signature_289ed054-1875-4b1e-a8c8-9efc7e1ab913</t>
  </si>
  <si>
    <t xml:space="preserve">2024-04-30 08:04:13-05:00</t>
  </si>
  <si>
    <t xml:space="preserve">2024:04:30 08:04:13-05:00</t>
  </si>
  <si>
    <t xml:space="preserve">[0 - 819565], [835951 - 840538]</t>
  </si>
  <si>
    <t xml:space="preserve">Signature_e8e1ce4c-867e-482c-8464-da6f6c4c6aec</t>
  </si>
  <si>
    <t xml:space="preserve">2024-04-30 08:04:08-05:00</t>
  </si>
  <si>
    <t xml:space="preserve">2024:04:30 08:04:08-05:00</t>
  </si>
  <si>
    <t xml:space="preserve">[0 - 819578], [835964 - 840552]</t>
  </si>
  <si>
    <t xml:space="preserve">Signature_9a4ad8e8-e41e-4c15-a61c-79ad0d2fbc37</t>
  </si>
  <si>
    <t xml:space="preserve">2024-04-30 08:04:09-05:00</t>
  </si>
  <si>
    <t xml:space="preserve">2024:04:30 08:04:09-05:00</t>
  </si>
  <si>
    <t xml:space="preserve">[0 - 790611], [806997 - 811591]</t>
  </si>
  <si>
    <t xml:space="preserve">Signature_d71422fb-c2b2-4225-8473-61f5b54057e4</t>
  </si>
  <si>
    <t xml:space="preserve">2024-04-30 08:04:01-05:00</t>
  </si>
  <si>
    <t xml:space="preserve">2024:04:30 08:04:01-05:00</t>
  </si>
  <si>
    <t xml:space="preserve">[0 - 737382], [753768 - 758350]</t>
  </si>
  <si>
    <t xml:space="preserve">Signature_460ee954-75a9-4255-aa4a-ab2dde8e97ff</t>
  </si>
  <si>
    <t xml:space="preserve">2024-04-30 08:03:58-05:00</t>
  </si>
  <si>
    <t xml:space="preserve">2024:04:30 08:03:58-05:00</t>
  </si>
  <si>
    <t xml:space="preserve">[0 - 135208], [151594 - 160127]</t>
  </si>
  <si>
    <t xml:space="preserve">Signature_70c3c474-8e8f-44f4-af71-26a2bdeb14f2</t>
  </si>
  <si>
    <t xml:space="preserve">2024-04-30 08:03:54-05:00</t>
  </si>
  <si>
    <t xml:space="preserve">2024:04:30 08:03:54-05:00</t>
  </si>
  <si>
    <t xml:space="preserve">[0 - 134411], [150797 - 159330]</t>
  </si>
  <si>
    <t xml:space="preserve">Signature_e5e174d9-00aa-466b-8245-b4142b63b13a</t>
  </si>
  <si>
    <t xml:space="preserve">2024-04-30 08:03:50-05:00</t>
  </si>
  <si>
    <t xml:space="preserve">2024:04:30 08:03:50-05:00</t>
  </si>
  <si>
    <t xml:space="preserve">[0 - 887841], [904227 - 908823]</t>
  </si>
  <si>
    <t xml:space="preserve">Signature_9d2e5e49-bed0-4f7d-991f-f01722a9bfe1</t>
  </si>
  <si>
    <t xml:space="preserve">2024-04-30 08:03:47-05:00</t>
  </si>
  <si>
    <t xml:space="preserve">2024:04:30 08:03:47-05:00</t>
  </si>
  <si>
    <t xml:space="preserve">[0 - 234491], [250877 - 255485]</t>
  </si>
  <si>
    <t xml:space="preserve">Signature_7fdf0259-dded-4ae2-921a-08827c1b9c0f</t>
  </si>
  <si>
    <t xml:space="preserve">2024-04-30 08:04:10-05:00</t>
  </si>
  <si>
    <t xml:space="preserve">2024:04:30 08:04:10-05:00</t>
  </si>
  <si>
    <t xml:space="preserve">[0 - 981192], [997578 - 1002663]</t>
  </si>
  <si>
    <t xml:space="preserve">427 0 obj</t>
  </si>
  <si>
    <t xml:space="preserve">Signature_d5ec118e-4a14-4d6d-a59f-3b43f46b86a2</t>
  </si>
  <si>
    <t xml:space="preserve">2024-04-30 08:03:53-05:00</t>
  </si>
  <si>
    <t xml:space="preserve">2024:04:30 08:03:53-05:00</t>
  </si>
  <si>
    <t xml:space="preserve">[0 - 788829], [805215 - 810292]</t>
  </si>
  <si>
    <t xml:space="preserve">Signature_e77d47b2-574c-4127-9e3e-65255f58f172</t>
  </si>
  <si>
    <t xml:space="preserve">2024-04-30 08:03:51-05:00</t>
  </si>
  <si>
    <t xml:space="preserve">2024:04:30 08:03:51-05:00</t>
  </si>
  <si>
    <t xml:space="preserve">[0 - 854265], [870651 - 875623]</t>
  </si>
  <si>
    <t xml:space="preserve">Signature_ab9e26a5-469e-4bd9-97bd-c0ed717de539</t>
  </si>
  <si>
    <t xml:space="preserve">2024-04-30 08:03:49-05:00</t>
  </si>
  <si>
    <t xml:space="preserve">2024:04:30 08:03:49-05:00</t>
  </si>
  <si>
    <t xml:space="preserve">[0 - 127960], [144346 - 152877]</t>
  </si>
  <si>
    <t xml:space="preserve">Signature_de07d3d6-95a2-41e4-b168-2a727e33fa7c</t>
  </si>
  <si>
    <t xml:space="preserve">2024-04-30 08:03:48-05:00</t>
  </si>
  <si>
    <t xml:space="preserve">2024:04:30 08:03:48-05:00</t>
  </si>
  <si>
    <t xml:space="preserve">[0 - 123105], [139491 - 148022]</t>
  </si>
  <si>
    <t xml:space="preserve">Signature_d11a27fa-e00d-4221-9c20-ee00f6f3443d</t>
  </si>
  <si>
    <t xml:space="preserve">2024-04-30 08:04:16-05:00</t>
  </si>
  <si>
    <t xml:space="preserve">2024:04:30 08:04:16-05:00</t>
  </si>
  <si>
    <t xml:space="preserve">[0 - 113294], [129680 - 138169]</t>
  </si>
  <si>
    <t xml:space="preserve">Signature_098e13b2-276c-4787-b09f-dc875874ce16</t>
  </si>
  <si>
    <t xml:space="preserve">2024-04-30 08:04:15-05:00</t>
  </si>
  <si>
    <t xml:space="preserve">2024:04:30 08:04:15-05:00</t>
  </si>
  <si>
    <t xml:space="preserve">[0 - 146310], [162696 - 171186]</t>
  </si>
  <si>
    <t xml:space="preserve">Signature_304a0fb3-7893-4272-814c-cc3f1498ded4</t>
  </si>
  <si>
    <t xml:space="preserve">2024-04-30 08:04:07-05:00</t>
  </si>
  <si>
    <t xml:space="preserve">2024:04:30 08:04:07-05:00</t>
  </si>
  <si>
    <t xml:space="preserve">[0 - 276872], [293258 - 299058]</t>
  </si>
  <si>
    <t xml:space="preserve">Signature_6b19f76b-170a-4646-b803-93ccd2bcb45e</t>
  </si>
  <si>
    <t xml:space="preserve">2024-04-30 08:03:59-05:00</t>
  </si>
  <si>
    <t xml:space="preserve">2024:04:30 08:03:59-05:00</t>
  </si>
  <si>
    <t xml:space="preserve">[0 - 114805], [131191 - 139680]</t>
  </si>
  <si>
    <t xml:space="preserve">Signature_128d5475-01c5-41e3-b4de-6c945145a16a</t>
  </si>
  <si>
    <t xml:space="preserve">2024-04-30 08:04:04-05:00</t>
  </si>
  <si>
    <t xml:space="preserve">2024:04:30 08:04:04-05:00</t>
  </si>
  <si>
    <t xml:space="preserve">[0 - 137610], [153996 - 159570]</t>
  </si>
  <si>
    <t xml:space="preserve">Signature_8003afba-6699-4f8e-bee6-3badb1ff212b</t>
  </si>
  <si>
    <t xml:space="preserve">2024-04-30 08:04:23-05:00</t>
  </si>
  <si>
    <t xml:space="preserve">2024:04:30 08:04:23-05:00</t>
  </si>
  <si>
    <t xml:space="preserve">[0 - 93507], [109893 - 118425]</t>
  </si>
  <si>
    <t xml:space="preserve">Signature_aaa55ff4-79fb-48c3-9660-385022c34868</t>
  </si>
  <si>
    <t xml:space="preserve">2024-04-30 08:04:18-05:00</t>
  </si>
  <si>
    <t xml:space="preserve">2024:04:30 08:04:18-05:00</t>
  </si>
  <si>
    <t xml:space="preserve">[0 - 200316], [216702 - 225191]</t>
  </si>
  <si>
    <t xml:space="preserve">Signature_0a4b8faf-d9cd-4c22-b1d4-3c861d17126a</t>
  </si>
  <si>
    <t xml:space="preserve">2024-04-30 08:04:00-05:00</t>
  </si>
  <si>
    <t xml:space="preserve">2024:04:30 08:04:00-05:00</t>
  </si>
  <si>
    <t xml:space="preserve">[0 - 393602], [409988 - 418477]</t>
  </si>
  <si>
    <t xml:space="preserve">Signature_4b324af8-b5f6-4ee6-93e4-0436fa84a3a0</t>
  </si>
  <si>
    <t xml:space="preserve">2024-04-30 08:04:22-05:00</t>
  </si>
  <si>
    <t xml:space="preserve">2024:04:30 08:04:22-05:00</t>
  </si>
  <si>
    <t xml:space="preserve">[0 - 164757], [181143 - 186070]</t>
  </si>
  <si>
    <t xml:space="preserve">Signature_780534d3-4dd9-4295-b1fa-7f17a80cef3f</t>
  </si>
  <si>
    <t xml:space="preserve">2024-04-30 08:04:06-05:00</t>
  </si>
  <si>
    <t xml:space="preserve">2024:04:30 08:04:06-05:00</t>
  </si>
  <si>
    <t xml:space="preserve">[0 - 125709], [142095 - 147569]</t>
  </si>
  <si>
    <t xml:space="preserve">Signature_f3943042-202b-4111-a894-16cddb4ecc56</t>
  </si>
  <si>
    <t xml:space="preserve">2024-04-30 08:04:54-05:00</t>
  </si>
  <si>
    <t xml:space="preserve">2024:04:30 08:04:54-05:00</t>
  </si>
  <si>
    <t xml:space="preserve">[0 - 114226], [130612 - 136271]</t>
  </si>
  <si>
    <t xml:space="preserve">Signature_ccb8609b-0efa-4974-bf22-bba62b2ab742</t>
  </si>
  <si>
    <t xml:space="preserve">2024-04-30 08:05:14-05:00</t>
  </si>
  <si>
    <t xml:space="preserve">2024:04:30 08:05:15-05:00</t>
  </si>
  <si>
    <t xml:space="preserve">[0 - 483433], [499819 - 502987]</t>
  </si>
  <si>
    <t xml:space="preserve">Signature_a9ed221b-ab24-48d8-b4f5-2f67145cef77</t>
  </si>
  <si>
    <t xml:space="preserve">2024-04-30 08:04:56-05:00</t>
  </si>
  <si>
    <t xml:space="preserve">2024:04:30 08:04:56-05:00</t>
  </si>
  <si>
    <t xml:space="preserve">[0 - 930178], [946564 - 951848]</t>
  </si>
  <si>
    <t xml:space="preserve">Signature_ee1e2d37-1ea6-465a-b38f-e46ad4009c67</t>
  </si>
  <si>
    <t xml:space="preserve">2024-04-30 08:04:53-05:00</t>
  </si>
  <si>
    <t xml:space="preserve">2024:04:30 08:04:53-05:00</t>
  </si>
  <si>
    <t xml:space="preserve">[0 - 902828], [919214 - 924944]</t>
  </si>
  <si>
    <t xml:space="preserve">Signature_8f83ddd5-b16f-4918-a9de-bc9d2b145320</t>
  </si>
  <si>
    <t xml:space="preserve">2024-04-30 08:05:01-05:00</t>
  </si>
  <si>
    <t xml:space="preserve">2024:04:30 08:05:01-05:00</t>
  </si>
  <si>
    <t xml:space="preserve">[0 - 281189], [297575 - 302601]</t>
  </si>
  <si>
    <t xml:space="preserve">Signature_452e83e1-863a-472e-9a01-09d3e8c87c3e</t>
  </si>
  <si>
    <t xml:space="preserve">2024-04-30 08:05:06-05:00</t>
  </si>
  <si>
    <t xml:space="preserve">2024:04:30 08:05:06-05:00</t>
  </si>
  <si>
    <t xml:space="preserve">[0 - 110043], [126429 - 134918]</t>
  </si>
  <si>
    <t xml:space="preserve">Signature_37731261-193c-45a1-b5a3-8e3916f4a541</t>
  </si>
  <si>
    <t xml:space="preserve">2024-04-30 08:05:02-05:00</t>
  </si>
  <si>
    <t xml:space="preserve">2024:04:30 08:05:02-05:00</t>
  </si>
  <si>
    <t xml:space="preserve">[0 - 71896], [88282 - 96769]</t>
  </si>
  <si>
    <t xml:space="preserve">Signature_908b2230-415f-4b12-a28b-6da0184c35cc</t>
  </si>
  <si>
    <t xml:space="preserve">2024-04-30 08:04:58-05:00</t>
  </si>
  <si>
    <t xml:space="preserve">2024:04:30 08:04:58-05:00</t>
  </si>
  <si>
    <t xml:space="preserve">[0 - 282805], [299191 - 307678]</t>
  </si>
  <si>
    <t xml:space="preserve">Signature_472bda1c-5359-4343-8a01-5ccf85acc405</t>
  </si>
  <si>
    <t xml:space="preserve">2024-04-30 08:05:00-05:00</t>
  </si>
  <si>
    <t xml:space="preserve">2024:04:30 08:05:00-05:00</t>
  </si>
  <si>
    <t xml:space="preserve">[0 - 113828], [130214 - 135866]</t>
  </si>
  <si>
    <t xml:space="preserve">Signature_015bd561-812c-4537-b77c-08a3b36bf73e</t>
  </si>
  <si>
    <t xml:space="preserve">2024-04-30 08:05:12-05:00</t>
  </si>
  <si>
    <t xml:space="preserve">2024:04:30 08:05:12-05:00</t>
  </si>
  <si>
    <t xml:space="preserve">[0 - 1251859], [1268245 - 1273724]</t>
  </si>
  <si>
    <t xml:space="preserve">Signature_4e014b45-9808-4a05-be04-dd9c877dca3f</t>
  </si>
  <si>
    <t xml:space="preserve">2024-04-30 08:05:08-05:00</t>
  </si>
  <si>
    <t xml:space="preserve">2024:04:30 08:05:08-05:00</t>
  </si>
  <si>
    <t xml:space="preserve">[0 - 136564], [152950 - 161483]</t>
  </si>
  <si>
    <t xml:space="preserve">Signature_2f78280b-ad05-4801-9afc-d5d651071076</t>
  </si>
  <si>
    <t xml:space="preserve">2024-04-30 08:05:07-05:00</t>
  </si>
  <si>
    <t xml:space="preserve">2024:04:30 08:05:07-05:00</t>
  </si>
  <si>
    <t xml:space="preserve">[0 - 886785], [903171 - 908737]</t>
  </si>
  <si>
    <t xml:space="preserve">Signature_c33f513d-88c4-438c-a246-43602a4e6d7a</t>
  </si>
  <si>
    <t xml:space="preserve">2024-04-30 08:05:05-05:00</t>
  </si>
  <si>
    <t xml:space="preserve">2024:04:30 08:05:05-05:00</t>
  </si>
  <si>
    <t xml:space="preserve">[0 - 133673], [150059 - 158592]</t>
  </si>
  <si>
    <t xml:space="preserve">Signature_5829c232-5efa-4bee-b4f1-5df9eadbeb49</t>
  </si>
  <si>
    <t xml:space="preserve">2024-04-30 08:05:03-05:00</t>
  </si>
  <si>
    <t xml:space="preserve">2024:04:30 08:05:03-05:00</t>
  </si>
  <si>
    <t xml:space="preserve">[0 - 231665], [248051 - 252783]</t>
  </si>
  <si>
    <t xml:space="preserve">Signature_473be2cb-f0c6-4b5c-a9ee-85285992862b</t>
  </si>
  <si>
    <t xml:space="preserve">2024-04-30 08:04:59-05:00</t>
  </si>
  <si>
    <t xml:space="preserve">2024:04:30 08:04:59-05:00</t>
  </si>
  <si>
    <t xml:space="preserve">[0 - 770784], [787170 - 791757]</t>
  </si>
  <si>
    <t xml:space="preserve">Signature_6334e845-c887-44b2-9c22-bac7bfe691b8</t>
  </si>
  <si>
    <t xml:space="preserve">2024-04-30 08:04:57-05:00</t>
  </si>
  <si>
    <t xml:space="preserve">2024:04:30 08:04:57-05:00</t>
  </si>
  <si>
    <t xml:space="preserve">[0 - 171255], [187641 - 192381]</t>
  </si>
  <si>
    <t xml:space="preserve">Signature_17542d77-b936-4396-b493-81ef2caca9f3</t>
  </si>
  <si>
    <t xml:space="preserve">2024-04-30 08:04:55-05:00</t>
  </si>
  <si>
    <t xml:space="preserve">2024:04:30 08:04:55-05:00</t>
  </si>
  <si>
    <t xml:space="preserve">[0 - 856093], [872479 - 877451]</t>
  </si>
  <si>
    <t xml:space="preserve">Signature_9b9e15d7-1add-4f0d-9236-729672b5d228</t>
  </si>
  <si>
    <t xml:space="preserve">2024-04-30 08:05:10-05:00</t>
  </si>
  <si>
    <t xml:space="preserve">2024:04:30 08:05:10-05:00</t>
  </si>
  <si>
    <t xml:space="preserve">[0 - 162148], [178534 - 184030]</t>
  </si>
  <si>
    <t xml:space="preserve">105 0 obj</t>
  </si>
  <si>
    <t xml:space="preserve">Signature_16386e91-7f4b-42af-a40e-4ef2be94ca46</t>
  </si>
  <si>
    <t xml:space="preserve">2024-04-30 08:05:09-05:00</t>
  </si>
  <si>
    <t xml:space="preserve">2024:04:30 08:05:09-05:00</t>
  </si>
  <si>
    <t xml:space="preserve">[0 - 163861], [180247 - 185741]</t>
  </si>
  <si>
    <t xml:space="preserve">Signature_31b9b3f6-ce3e-4c05-a82e-4d7adbdd8436</t>
  </si>
  <si>
    <t xml:space="preserve">2024-04-30 08:05:11-05:00</t>
  </si>
  <si>
    <t xml:space="preserve">2024:04:30 08:05:11-05:00</t>
  </si>
  <si>
    <t xml:space="preserve">[0 - 136767], [153153 - 154412]</t>
  </si>
  <si>
    <t xml:space="preserve">Signature_c354c1df-62e5-4cde-b1ac-4b372422f781</t>
  </si>
  <si>
    <t xml:space="preserve">2024-04-30 08:05:51-05:00</t>
  </si>
  <si>
    <t xml:space="preserve">2024:04:30 08:05:51-05:00</t>
  </si>
  <si>
    <t xml:space="preserve">[0 - 287027], [303413 - 308917]</t>
  </si>
  <si>
    <t xml:space="preserve">Signature_630a8552-ac6d-4288-ac02-5678aa894889</t>
  </si>
  <si>
    <t xml:space="preserve">2024-04-30 08:05:53-05:00</t>
  </si>
  <si>
    <t xml:space="preserve">2024:04:30 08:05:54-05:00</t>
  </si>
  <si>
    <t xml:space="preserve">[0 - 478345], [494731 - 497523]</t>
  </si>
  <si>
    <t xml:space="preserve">Signature_ac120942-9d06-4a4f-a032-652beea19599</t>
  </si>
  <si>
    <t xml:space="preserve">2024-04-30 08:05:45-05:00</t>
  </si>
  <si>
    <t xml:space="preserve">2024:04:30 08:05:45-05:00</t>
  </si>
  <si>
    <t xml:space="preserve">[0 - 887596], [903982 - 909264]</t>
  </si>
  <si>
    <t xml:space="preserve">Signature_920e379b-4940-41e3-a5ae-a14e3632099f</t>
  </si>
  <si>
    <t xml:space="preserve">2024-04-30 08:05:49-05:00</t>
  </si>
  <si>
    <t xml:space="preserve">2024:04:30 08:05:49-05:00</t>
  </si>
  <si>
    <t xml:space="preserve">[0 - 340611], [356997 - 365530]</t>
  </si>
  <si>
    <t xml:space="preserve">Signature_80d5f123-9132-4d05-ab0d-020845cc646a</t>
  </si>
  <si>
    <t xml:space="preserve">2024-04-30 08:05:46-05:00</t>
  </si>
  <si>
    <t xml:space="preserve">2024:04:30 08:05:46-05:00</t>
  </si>
  <si>
    <t xml:space="preserve">[0 - 102463], [118849 - 123467]</t>
  </si>
  <si>
    <t xml:space="preserve">Signature_77341a8a-b5ec-41d0-aa93-07d057e81522</t>
  </si>
  <si>
    <t xml:space="preserve">2024-04-30 08:05:52-05:00</t>
  </si>
  <si>
    <t xml:space="preserve">2024:04:30 08:05:52-05:00</t>
  </si>
  <si>
    <t xml:space="preserve">[0 - 1249822], [1266208 - 1271698]</t>
  </si>
  <si>
    <t xml:space="preserve">Signature_e66b2cf3-4b5f-425e-a8fb-9bfa9e902c29</t>
  </si>
  <si>
    <t xml:space="preserve">2024-04-30 08:05:50-05:00</t>
  </si>
  <si>
    <t xml:space="preserve">2024:04:30 08:05:50-05:00</t>
  </si>
  <si>
    <t xml:space="preserve">[0 - 800710], [817096 - 821686]</t>
  </si>
  <si>
    <t xml:space="preserve">Signature_5a3316fe-c71d-46c1-87e5-f2a54c31cff4</t>
  </si>
  <si>
    <t xml:space="preserve">2024-04-30 08:05:48-05:00</t>
  </si>
  <si>
    <t xml:space="preserve">2024:04:30 08:05:48-05:00</t>
  </si>
  <si>
    <t xml:space="preserve">[0 - 287261], [303647 - 309228]</t>
  </si>
  <si>
    <t xml:space="preserve">Signature_fcdb1607-7d56-4f87-b04f-01a16bd1e8f0</t>
  </si>
  <si>
    <t xml:space="preserve">2024-04-30 08:05:41-05:00</t>
  </si>
  <si>
    <t xml:space="preserve">2024:04:30 08:05:41-05:00</t>
  </si>
  <si>
    <t xml:space="preserve">[0 - 238756], [255142 - 260627]</t>
  </si>
  <si>
    <t xml:space="preserve">Signature_fee186a2-7026-4c6f-b286-09f1e0cb113f</t>
  </si>
  <si>
    <t xml:space="preserve">2024-04-30 08:05:47-05:00</t>
  </si>
  <si>
    <t xml:space="preserve">2024:04:30 08:05:47-05:00</t>
  </si>
  <si>
    <t xml:space="preserve">[0 - 118752], [135138 - 143670]</t>
  </si>
  <si>
    <t xml:space="preserve">Signature_8b6459a1-b60d-4533-bd2f-f3dd6692c375</t>
  </si>
  <si>
    <t xml:space="preserve">2024-04-30 08:05:43-05:00</t>
  </si>
  <si>
    <t xml:space="preserve">2024:04:30 08:05:43-05:00</t>
  </si>
  <si>
    <t xml:space="preserve">[0 - 739516], [755902 - 760492]</t>
  </si>
  <si>
    <t xml:space="preserve">Signature_6910e96b-bb2e-4e4c-87b5-d0a67a3a33e3</t>
  </si>
  <si>
    <t xml:space="preserve">2024-04-30 08:05:44-05:00</t>
  </si>
  <si>
    <t xml:space="preserve">2024:04:30 08:05:44-05:00</t>
  </si>
  <si>
    <t xml:space="preserve">[0 - 156620], [173006 - 178351]</t>
  </si>
  <si>
    <t xml:space="preserve">Signature_ba7cdc01-3f59-40a0-b283-717a0e7afb97</t>
  </si>
  <si>
    <t xml:space="preserve">2024-04-30 08:06:52-05:00</t>
  </si>
  <si>
    <t xml:space="preserve">2024:04:30 08:06:52-05:00</t>
  </si>
  <si>
    <t xml:space="preserve">[0 - 344984], [361370 - 367200]</t>
  </si>
  <si>
    <t xml:space="preserve">Signature_68f49b67-c4f1-4c62-b3ee-c00f0d4f0af8</t>
  </si>
  <si>
    <t xml:space="preserve">2024-04-30 08:07:00-05:00</t>
  </si>
  <si>
    <t xml:space="preserve">2024:04:30 08:07:00-05:00</t>
  </si>
  <si>
    <t xml:space="preserve">[0 - 481810], [498196 - 500988]</t>
  </si>
  <si>
    <t xml:space="preserve">Signature_65fe27e0-dbac-410c-a220-621f561e551a</t>
  </si>
  <si>
    <t xml:space="preserve">2024-04-30 08:06:38-05:00</t>
  </si>
  <si>
    <t xml:space="preserve">2024:04:30 08:06:38-05:00</t>
  </si>
  <si>
    <t xml:space="preserve">[0 - 930179], [946565 - 951848]</t>
  </si>
  <si>
    <t xml:space="preserve">Signature_a74bc1c5-8edd-4385-ab2c-f894edfb0c91</t>
  </si>
  <si>
    <t xml:space="preserve">2024-04-30 08:06:35-05:00</t>
  </si>
  <si>
    <t xml:space="preserve">2024:04:30 08:06:35-05:00</t>
  </si>
  <si>
    <t xml:space="preserve">[0 - 902829], [919215 - 924946]</t>
  </si>
  <si>
    <t xml:space="preserve">Signature_1223b797-77e6-40b2-8b80-f3a0448586dc</t>
  </si>
  <si>
    <t xml:space="preserve">2024-04-30 08:06:45-05:00</t>
  </si>
  <si>
    <t xml:space="preserve">2024:04:30 08:06:45-05:00</t>
  </si>
  <si>
    <t xml:space="preserve">[0 - 281188], [297574 - 302599]</t>
  </si>
  <si>
    <t xml:space="preserve">Signature_a3a34427-229d-4f86-9f38-c4f44b09d723</t>
  </si>
  <si>
    <t xml:space="preserve">2024-04-30 08:06:49-05:00</t>
  </si>
  <si>
    <t xml:space="preserve">2024:04:30 08:06:49-05:00</t>
  </si>
  <si>
    <t xml:space="preserve">[0 - 110406], [126792 - 135281]</t>
  </si>
  <si>
    <t xml:space="preserve">Signature_b6b81c71-f306-4b70-8866-18405f173f9a</t>
  </si>
  <si>
    <t xml:space="preserve">2024-04-30 08:06:46-05:00</t>
  </si>
  <si>
    <t xml:space="preserve">2024:04:30 08:06:46-05:00</t>
  </si>
  <si>
    <t xml:space="preserve">Signature_149edcce-590f-476d-af67-1434309aa930</t>
  </si>
  <si>
    <t xml:space="preserve">2024-04-30 08:06:42-05:00</t>
  </si>
  <si>
    <t xml:space="preserve">2024:04:30 08:06:42-05:00</t>
  </si>
  <si>
    <t xml:space="preserve">[0 - 284893], [301279 - 309766]</t>
  </si>
  <si>
    <t xml:space="preserve">Signature_94cf558b-4a63-4ff9-b3cd-a833e6227eee</t>
  </si>
  <si>
    <t xml:space="preserve">2024-04-30 08:06:34-05:00</t>
  </si>
  <si>
    <t xml:space="preserve">2024:04:30 08:06:34-05:00</t>
  </si>
  <si>
    <t xml:space="preserve">[0 - 275360], [291746 - 300233]</t>
  </si>
  <si>
    <t xml:space="preserve">Signature_3a8199f7-5cf8-48a9-a2d2-93c31bc42af4</t>
  </si>
  <si>
    <t xml:space="preserve">2024-04-30 08:06:59-05:00</t>
  </si>
  <si>
    <t xml:space="preserve">2024:04:30 08:06:59-05:00</t>
  </si>
  <si>
    <t xml:space="preserve">[0 - 1251764], [1268150 - 1273635]</t>
  </si>
  <si>
    <t xml:space="preserve">Signature_0f1b2b37-1359-4999-9a24-0d62edd23e75</t>
  </si>
  <si>
    <t xml:space="preserve">2024-04-30 08:06:58-05:00</t>
  </si>
  <si>
    <t xml:space="preserve">2024:04:30 08:06:58-05:00</t>
  </si>
  <si>
    <t xml:space="preserve">[0 - 818741], [835127 - 839715]</t>
  </si>
  <si>
    <t xml:space="preserve">Signature_e170b0df-fba9-4f0b-b3de-647388cf3bb2</t>
  </si>
  <si>
    <t xml:space="preserve">2024-04-30 08:06:53-05:00</t>
  </si>
  <si>
    <t xml:space="preserve">2024:04:30 08:06:53-05:00</t>
  </si>
  <si>
    <t xml:space="preserve">[0 - 138022], [154408 - 162941]</t>
  </si>
  <si>
    <t xml:space="preserve">Signature_1eb20f94-15c5-4235-bcf1-1de79a6f9860</t>
  </si>
  <si>
    <t xml:space="preserve">2024-04-30 08:06:51-05:00</t>
  </si>
  <si>
    <t xml:space="preserve">2024:04:30 08:06:51-05:00</t>
  </si>
  <si>
    <t xml:space="preserve">[0 - 801514], [817900 - 822487]</t>
  </si>
  <si>
    <t xml:space="preserve">Signature_d815335c-6237-4e78-96e8-3757f747bce3</t>
  </si>
  <si>
    <t xml:space="preserve">2024-04-30 08:06:50-05:00</t>
  </si>
  <si>
    <t xml:space="preserve">2024:04:30 08:06:50-05:00</t>
  </si>
  <si>
    <t xml:space="preserve">[0 - 886787], [903173 - 908738]</t>
  </si>
  <si>
    <t xml:space="preserve">Signature_38762597-2406-4521-afc7-86eb9a251837</t>
  </si>
  <si>
    <t xml:space="preserve">2024-04-30 08:06:48-05:00</t>
  </si>
  <si>
    <t xml:space="preserve">2024:04:30 08:06:48-05:00</t>
  </si>
  <si>
    <t xml:space="preserve">Signature_11cc09ad-2b36-4efb-a9da-069e430e75d2</t>
  </si>
  <si>
    <t xml:space="preserve">2024-04-30 08:06:47-05:00</t>
  </si>
  <si>
    <t xml:space="preserve">2024:04:30 08:06:47-05:00</t>
  </si>
  <si>
    <t xml:space="preserve">[0 - 231667], [248053 - 252785]</t>
  </si>
  <si>
    <t xml:space="preserve">Signature_8886beaa-8130-45da-8aa9-281ac68834ec</t>
  </si>
  <si>
    <t xml:space="preserve">2024-04-30 08:06:44-05:00</t>
  </si>
  <si>
    <t xml:space="preserve">2024:04:30 08:06:44-05:00</t>
  </si>
  <si>
    <t xml:space="preserve">[0 - 770784], [787170 - 791755]</t>
  </si>
  <si>
    <t xml:space="preserve">Signature_d5b41dea-3355-4eef-bb38-3ce459be9aa5</t>
  </si>
  <si>
    <t xml:space="preserve">2024-04-30 08:06:41-05:00</t>
  </si>
  <si>
    <t xml:space="preserve">2024:04:30 08:06:41-05:00</t>
  </si>
  <si>
    <t xml:space="preserve">[0 - 171259], [187645 - 192384]</t>
  </si>
  <si>
    <t xml:space="preserve">Signature_dcb4fa8e-55f4-4da8-ba8d-95db0e459778</t>
  </si>
  <si>
    <t xml:space="preserve">2024-04-30 08:06:39-05:00</t>
  </si>
  <si>
    <t xml:space="preserve">2024:04:30 08:06:39-05:00</t>
  </si>
  <si>
    <t xml:space="preserve">[0 - 867067], [883453 - 888439]</t>
  </si>
  <si>
    <t xml:space="preserve">Signature_71d11e07-4ae0-4beb-92cb-3b66adcda8bf</t>
  </si>
  <si>
    <t xml:space="preserve">2024-04-30 08:06:36-05:00</t>
  </si>
  <si>
    <t xml:space="preserve">2024:04:30 08:06:36-05:00</t>
  </si>
  <si>
    <t xml:space="preserve">[0 - 856094], [872480 - 877453]</t>
  </si>
  <si>
    <t xml:space="preserve">Signature_54c4d312-19d4-4cb3-a2ef-a92cceb90049</t>
  </si>
  <si>
    <t xml:space="preserve">2024-04-30 08:06:54-05:00</t>
  </si>
  <si>
    <t xml:space="preserve">2024:04:30 08:06:54-05:00</t>
  </si>
  <si>
    <t xml:space="preserve">[0 - 106305], [122691 - 131180]</t>
  </si>
  <si>
    <t xml:space="preserve">Signature_3e0222aa-34d7-4405-a2d2-49c2c368885f</t>
  </si>
  <si>
    <t xml:space="preserve">2024-04-30 08:06:40-05:00</t>
  </si>
  <si>
    <t xml:space="preserve">2024:04:30 08:06:40-05:00</t>
  </si>
  <si>
    <t xml:space="preserve">[0 - 989028], [1005414 - 1013946]</t>
  </si>
  <si>
    <t xml:space="preserve">Signature_80066992-57f9-4553-8426-36b47c400551</t>
  </si>
  <si>
    <t xml:space="preserve">2024-04-30 08:06:37-05:00</t>
  </si>
  <si>
    <t xml:space="preserve">2024:04:30 08:06:37-05:00</t>
  </si>
  <si>
    <t xml:space="preserve">[0 - 854384], [870770 - 876648]</t>
  </si>
  <si>
    <t xml:space="preserve">Signature_ea1a262c-347f-44d9-9220-0ad9241d544d</t>
  </si>
  <si>
    <t xml:space="preserve">2024-04-30 08:06:56-05:00</t>
  </si>
  <si>
    <t xml:space="preserve">2024:04:30 08:06:56-05:00</t>
  </si>
  <si>
    <t xml:space="preserve">[0 - 70038], [86424 - 94911]</t>
  </si>
  <si>
    <t xml:space="preserve">Signature_eaa79d6f-3ae5-4b89-acd1-d391429fb120</t>
  </si>
  <si>
    <t xml:space="preserve">2024-04-30 08:06:55-05:00</t>
  </si>
  <si>
    <t xml:space="preserve">2024:04:30 08:06:55-05:00</t>
  </si>
  <si>
    <t xml:space="preserve">[0 - 75908], [92294 - 100782]</t>
  </si>
  <si>
    <t xml:space="preserve">Signature_f52004ea-34e9-4514-9743-2a6f476630c6</t>
  </si>
  <si>
    <t xml:space="preserve">2024-04-30 08:07:44-05:00</t>
  </si>
  <si>
    <t xml:space="preserve">2024:04:30 08:07:44-05:00</t>
  </si>
  <si>
    <t xml:space="preserve">[0 - 345363], [361749 - 367588]</t>
  </si>
  <si>
    <t xml:space="preserve">Signature_ad36e4a4-5565-427d-9796-fcb0155f70a8</t>
  </si>
  <si>
    <t xml:space="preserve">2024-04-30 08:07:50-05:00</t>
  </si>
  <si>
    <t xml:space="preserve">2024:04:30 08:07:50-05:00</t>
  </si>
  <si>
    <t xml:space="preserve">[0 - 480031], [496417 - 499209]</t>
  </si>
  <si>
    <t xml:space="preserve">Signature_5ea7e18a-534c-4ba8-89f8-42cce6d6d034</t>
  </si>
  <si>
    <t xml:space="preserve">2024-04-30 08:07:32-05:00</t>
  </si>
  <si>
    <t xml:space="preserve">2024:04:30 08:07:32-05:00</t>
  </si>
  <si>
    <t xml:space="preserve">[0 - 930180], [946566 - 951849]</t>
  </si>
  <si>
    <t xml:space="preserve">Signature_7bb602c7-60f6-4f3d-a338-17458fafd5a4</t>
  </si>
  <si>
    <t xml:space="preserve">2024-04-30 08:07:29-05:00</t>
  </si>
  <si>
    <t xml:space="preserve">2024:04:30 08:07:29-05:00</t>
  </si>
  <si>
    <t xml:space="preserve">Signature_511d0515-f789-44b8-a238-45b6a5543069</t>
  </si>
  <si>
    <t xml:space="preserve">2024-04-30 08:07:38-05:00</t>
  </si>
  <si>
    <t xml:space="preserve">2024:04:30 08:07:38-05:00</t>
  </si>
  <si>
    <t xml:space="preserve">[0 - 281190], [297576 - 302600]</t>
  </si>
  <si>
    <t xml:space="preserve">Signature_5d0fd662-2df4-4f69-bd77-0225c1a4a87c</t>
  </si>
  <si>
    <t xml:space="preserve">2024-04-30 08:07:42-05:00</t>
  </si>
  <si>
    <t xml:space="preserve">2024:04:30 08:07:42-05:00</t>
  </si>
  <si>
    <t xml:space="preserve">[0 - 110146], [126532 - 135021]</t>
  </si>
  <si>
    <t xml:space="preserve">Signature_21c52486-5d71-458b-bfef-d48387473922</t>
  </si>
  <si>
    <t xml:space="preserve">2024-04-30 08:07:39-05:00</t>
  </si>
  <si>
    <t xml:space="preserve">2024:04:30 08:07:39-05:00</t>
  </si>
  <si>
    <t xml:space="preserve">[0 - 72576], [88962 - 97449]</t>
  </si>
  <si>
    <t xml:space="preserve">Signature_283ac2fb-0468-4fa8-a6dc-309e2956abaa</t>
  </si>
  <si>
    <t xml:space="preserve">2024-04-30 08:07:36-05:00</t>
  </si>
  <si>
    <t xml:space="preserve">2024:04:30 08:07:36-05:00</t>
  </si>
  <si>
    <t xml:space="preserve">[0 - 282658], [299044 - 307531]</t>
  </si>
  <si>
    <t xml:space="preserve">Signature_fb2ef672-35fe-48c4-b93b-0b4d5c3b2dfe</t>
  </si>
  <si>
    <t xml:space="preserve">2024-04-30 08:07:27-05:00</t>
  </si>
  <si>
    <t xml:space="preserve">2024:04:30 08:07:27-05:00</t>
  </si>
  <si>
    <t xml:space="preserve">[0 - 270744], [287130 - 295617]</t>
  </si>
  <si>
    <t xml:space="preserve">Signature_ad8e8a44-5e0b-4bb1-bf39-bb0758757607</t>
  </si>
  <si>
    <t xml:space="preserve">2024-04-30 08:07:49-05:00</t>
  </si>
  <si>
    <t xml:space="preserve">2024:04:30 08:07:49-05:00</t>
  </si>
  <si>
    <t xml:space="preserve">[0 - 1252017], [1268403 - 1273920]</t>
  </si>
  <si>
    <t xml:space="preserve">Signature_81918d63-3c1a-4153-b3b0-6bbc081946a9</t>
  </si>
  <si>
    <t xml:space="preserve">2024-04-30 08:07:45-05:00</t>
  </si>
  <si>
    <t xml:space="preserve">2024:04:30 08:07:45-05:00</t>
  </si>
  <si>
    <t xml:space="preserve">[0 - 137311], [153697 - 162230]</t>
  </si>
  <si>
    <t xml:space="preserve">Signature_2decc977-71d5-47ca-b451-32348c900f15</t>
  </si>
  <si>
    <t xml:space="preserve">2024-04-30 08:07:43-05:00</t>
  </si>
  <si>
    <t xml:space="preserve">2024:04:30 08:07:43-05:00</t>
  </si>
  <si>
    <t xml:space="preserve">[0 - 886786], [903172 - 908739]</t>
  </si>
  <si>
    <t xml:space="preserve">Signature_1c418840-a7a3-4d42-8ae8-3be406bcabb7</t>
  </si>
  <si>
    <t xml:space="preserve">2024-04-30 08:07:41-05:00</t>
  </si>
  <si>
    <t xml:space="preserve">2024:04:30 08:07:41-05:00</t>
  </si>
  <si>
    <t xml:space="preserve">[0 - 135527], [151913 - 160446]</t>
  </si>
  <si>
    <t xml:space="preserve">Signature_4d485b47-b024-48a4-8f58-cfa87b740890</t>
  </si>
  <si>
    <t xml:space="preserve">2024-04-30 08:07:40-05:00</t>
  </si>
  <si>
    <t xml:space="preserve">2024:04:30 08:07:40-05:00</t>
  </si>
  <si>
    <t xml:space="preserve">[0 - 231669], [248055 - 252787]</t>
  </si>
  <si>
    <t xml:space="preserve">Signature_399f4c07-928b-4ab7-91c7-42516ffd5e32</t>
  </si>
  <si>
    <t xml:space="preserve">2024-04-30 08:07:37-05:00</t>
  </si>
  <si>
    <t xml:space="preserve">2024:04:30 08:07:37-05:00</t>
  </si>
  <si>
    <t xml:space="preserve">[0 - 770786], [787172 - 791758]</t>
  </si>
  <si>
    <t xml:space="preserve">Signature_fd6dd384-f9dd-4a50-a8b8-b61e1ff6c3e5</t>
  </si>
  <si>
    <t xml:space="preserve">2024-04-30 08:07:35-05:00</t>
  </si>
  <si>
    <t xml:space="preserve">2024:04:30 08:07:35-05:00</t>
  </si>
  <si>
    <t xml:space="preserve">Signature_49598b6b-3f33-42d6-a084-e125eba1b3cf</t>
  </si>
  <si>
    <t xml:space="preserve">2024-04-30 08:07:33-05:00</t>
  </si>
  <si>
    <t xml:space="preserve">2024:04:30 08:07:33-05:00</t>
  </si>
  <si>
    <t xml:space="preserve">[0 - 867067], [883453 - 888438]</t>
  </si>
  <si>
    <t xml:space="preserve">Signature_036b4464-b910-4f4b-855c-4662f904b86d</t>
  </si>
  <si>
    <t xml:space="preserve">2024-04-30 08:07:30-05:00</t>
  </si>
  <si>
    <t xml:space="preserve">2024:04:30 08:07:30-05:00</t>
  </si>
  <si>
    <t xml:space="preserve">[0 - 856094], [872480 - 877452]</t>
  </si>
  <si>
    <t xml:space="preserve">Signature_17cdc360-1b6b-4edf-8e71-46c517f456fd</t>
  </si>
  <si>
    <t xml:space="preserve">2024-04-30 08:07:26-05:00</t>
  </si>
  <si>
    <t xml:space="preserve">2024:04:30 08:07:26-05:00</t>
  </si>
  <si>
    <t xml:space="preserve">[0 - 741308], [757694 - 762225]</t>
  </si>
  <si>
    <t xml:space="preserve">Signature_9310f1ba-5f8a-4101-bfc2-5dbcab858ca7</t>
  </si>
  <si>
    <t xml:space="preserve">2024-04-30 08:07:47-05:00</t>
  </si>
  <si>
    <t xml:space="preserve">2024:04:30 08:07:47-05:00</t>
  </si>
  <si>
    <t xml:space="preserve">[0 - 107750], [124136 - 132625]</t>
  </si>
  <si>
    <t xml:space="preserve">Signature_4f31c369-f4b7-4af2-9471-6be6da7acfe3</t>
  </si>
  <si>
    <t xml:space="preserve">2024-04-30 08:07:34-05:00</t>
  </si>
  <si>
    <t xml:space="preserve">2024:04:30 08:07:34-05:00</t>
  </si>
  <si>
    <t xml:space="preserve">[0 - 984603], [1000989 - 1009521]</t>
  </si>
  <si>
    <t xml:space="preserve">Signature_c662d2fd-c370-40be-95db-d63217905e3a</t>
  </si>
  <si>
    <t xml:space="preserve">2024-04-30 08:07:31-05:00</t>
  </si>
  <si>
    <t xml:space="preserve">2024:04:30 08:07:31-05:00</t>
  </si>
  <si>
    <t xml:space="preserve">[0 - 854385], [870771 - 876650]</t>
  </si>
  <si>
    <t xml:space="preserve">Signature_98c6d664-5bf2-42af-b2ee-4719ace346af</t>
  </si>
  <si>
    <t xml:space="preserve">2024-04-30 08:07:48-05:00</t>
  </si>
  <si>
    <t xml:space="preserve">2024:04:30 08:07:48-05:00</t>
  </si>
  <si>
    <t xml:space="preserve">[0 - 101299], [117685 - 126218]</t>
  </si>
  <si>
    <t xml:space="preserve">Signature_2e037df7-c041-4ac7-98df-68f646309b14</t>
  </si>
  <si>
    <t xml:space="preserve">2024-04-30 08:08:37-05:00</t>
  </si>
  <si>
    <t xml:space="preserve">2024:04:30 08:08:37-05:00</t>
  </si>
  <si>
    <t xml:space="preserve">[0 - 345718], [362104 - 367951]</t>
  </si>
  <si>
    <t xml:space="preserve">451 0 obj</t>
  </si>
  <si>
    <t xml:space="preserve">Signature_f67359bc-da44-470b-a8c9-4d88ebd120b5</t>
  </si>
  <si>
    <t xml:space="preserve">2024-04-30 08:08:43-05:00</t>
  </si>
  <si>
    <t xml:space="preserve">2024:04:30 08:08:43-05:00</t>
  </si>
  <si>
    <t xml:space="preserve">[0 - 480245], [496631 - 499423]</t>
  </si>
  <si>
    <t xml:space="preserve">Signature_ee453737-4f8b-4ba0-8381-6da53d2f50cf</t>
  </si>
  <si>
    <t xml:space="preserve">2024-04-30 08:08:24-05:00</t>
  </si>
  <si>
    <t xml:space="preserve">2024:04:30 08:08:24-05:00</t>
  </si>
  <si>
    <t xml:space="preserve">Signature_80c5ebf3-5acb-4c60-858d-4133195ad684</t>
  </si>
  <si>
    <t xml:space="preserve">2024-04-30 08:08:21-05:00</t>
  </si>
  <si>
    <t xml:space="preserve">2024:04:30 08:08:21-05:00</t>
  </si>
  <si>
    <t xml:space="preserve">[0 - 902829], [919215 - 924945]</t>
  </si>
  <si>
    <t xml:space="preserve">Signature_be5c8bc7-b2aa-4f9b-852e-e77701e2939c</t>
  </si>
  <si>
    <t xml:space="preserve">2024-04-30 08:08:31-05:00</t>
  </si>
  <si>
    <t xml:space="preserve">2024:04:30 08:08:31-05:00</t>
  </si>
  <si>
    <t xml:space="preserve">[0 - 281189], [297575 - 302600]</t>
  </si>
  <si>
    <t xml:space="preserve">Signature_08c4a064-610b-4126-8e66-3f284ee9c715</t>
  </si>
  <si>
    <t xml:space="preserve">2024-04-30 08:08:35-05:00</t>
  </si>
  <si>
    <t xml:space="preserve">2024:04:30 08:08:35-05:00</t>
  </si>
  <si>
    <t xml:space="preserve">[0 - 111966], [128352 - 136841]</t>
  </si>
  <si>
    <t xml:space="preserve">Signature_63fb910f-6013-448b-8a28-ec69e9cf329f</t>
  </si>
  <si>
    <t xml:space="preserve">2024-04-30 08:08:32-05:00</t>
  </si>
  <si>
    <t xml:space="preserve">2024:04:30 08:08:32-05:00</t>
  </si>
  <si>
    <t xml:space="preserve">[0 - 72028], [88414 - 96901]</t>
  </si>
  <si>
    <t xml:space="preserve">Signature_c3774da4-65ee-43b7-b03d-d3b880ae88f3</t>
  </si>
  <si>
    <t xml:space="preserve">2024-04-30 08:08:29-05:00</t>
  </si>
  <si>
    <t xml:space="preserve">2024:04:30 08:08:29-05:00</t>
  </si>
  <si>
    <t xml:space="preserve">[0 - 284404], [300790 - 309277]</t>
  </si>
  <si>
    <t xml:space="preserve">Signature_4d99487d-d13d-4417-8309-02690b3ad83a</t>
  </si>
  <si>
    <t xml:space="preserve">2024-04-30 08:08:19-05:00</t>
  </si>
  <si>
    <t xml:space="preserve">2024:04:30 08:08:19-05:00</t>
  </si>
  <si>
    <t xml:space="preserve">[0 - 273096], [289482 - 297969]</t>
  </si>
  <si>
    <t xml:space="preserve">Signature_de0ccb87-b971-43db-92a1-87386e30288b</t>
  </si>
  <si>
    <t xml:space="preserve">2024-04-30 08:08:42-05:00</t>
  </si>
  <si>
    <t xml:space="preserve">2024:04:30 08:08:42-05:00</t>
  </si>
  <si>
    <t xml:space="preserve">[0 - 1252015], [1268401 - 1273917]</t>
  </si>
  <si>
    <t xml:space="preserve">Signature_a8428329-f912-4c52-a32a-83a0b9894e16</t>
  </si>
  <si>
    <t xml:space="preserve">2024-04-30 08:08:38-05:00</t>
  </si>
  <si>
    <t xml:space="preserve">2024:04:30 08:08:38-05:00</t>
  </si>
  <si>
    <t xml:space="preserve">[0 - 137096], [153482 - 162015]</t>
  </si>
  <si>
    <t xml:space="preserve">Signature_47fd0767-b9b9-48f3-ab5d-084193b2ea72</t>
  </si>
  <si>
    <t xml:space="preserve">2024-04-30 08:08:36-05:00</t>
  </si>
  <si>
    <t xml:space="preserve">2024:04:30 08:08:36-05:00</t>
  </si>
  <si>
    <t xml:space="preserve">[0 - 886787], [903173 - 908739]</t>
  </si>
  <si>
    <t xml:space="preserve">Signature_b0e35f33-a498-419f-8f21-94c6f03542ef</t>
  </si>
  <si>
    <t xml:space="preserve">2024-04-30 08:08:34-05:00</t>
  </si>
  <si>
    <t xml:space="preserve">2024:04:30 08:08:34-05:00</t>
  </si>
  <si>
    <t xml:space="preserve">[0 - 134870], [151256 - 159789]</t>
  </si>
  <si>
    <t xml:space="preserve">Signature_5c1969b3-35b8-4cfb-be33-cdd0598e9f52</t>
  </si>
  <si>
    <t xml:space="preserve">2024-04-30 08:08:33-05:00</t>
  </si>
  <si>
    <t xml:space="preserve">2024:04:30 08:08:33-05:00</t>
  </si>
  <si>
    <t xml:space="preserve">[0 - 231663], [248049 - 252782]</t>
  </si>
  <si>
    <t xml:space="preserve">Signature_109995ef-4495-4340-8867-02c818ad2fe0</t>
  </si>
  <si>
    <t xml:space="preserve">2024-04-30 08:08:30-05:00</t>
  </si>
  <si>
    <t xml:space="preserve">2024:04:30 08:08:30-05:00</t>
  </si>
  <si>
    <t xml:space="preserve">[0 - 770783], [787169 - 791755]</t>
  </si>
  <si>
    <t xml:space="preserve">Signature_454d5ba2-0f23-4b97-85b4-c56c878fc0e3</t>
  </si>
  <si>
    <t xml:space="preserve">2024-04-30 08:08:28-05:00</t>
  </si>
  <si>
    <t xml:space="preserve">2024:04:30 08:08:28-05:00</t>
  </si>
  <si>
    <t xml:space="preserve">[0 - 171254], [187640 - 192380]</t>
  </si>
  <si>
    <t xml:space="preserve">Signature_ba9b162f-569e-4b37-a8ee-1e4017dae1e9</t>
  </si>
  <si>
    <t xml:space="preserve">2024-04-30 08:08:26-05:00</t>
  </si>
  <si>
    <t xml:space="preserve">2024:04:30 08:08:26-05:00</t>
  </si>
  <si>
    <t xml:space="preserve">[0 - 867066], [883452 - 888436]</t>
  </si>
  <si>
    <t xml:space="preserve">Signature_cccd8413-aea6-4787-adc2-0ca0f025ee75</t>
  </si>
  <si>
    <t xml:space="preserve">2024-04-30 08:08:22-05:00</t>
  </si>
  <si>
    <t xml:space="preserve">2024:04:30 08:08:22-05:00</t>
  </si>
  <si>
    <t xml:space="preserve">[0 - 856093], [872479 - 877453]</t>
  </si>
  <si>
    <t xml:space="preserve">Signature_e1e66cc2-e8b4-4dac-b218-335d6099b29f</t>
  </si>
  <si>
    <t xml:space="preserve">2024-04-30 08:08:18-05:00</t>
  </si>
  <si>
    <t xml:space="preserve">2024:04:30 08:08:18-05:00</t>
  </si>
  <si>
    <t xml:space="preserve">[0 - 741308], [757694 - 762226]</t>
  </si>
  <si>
    <t xml:space="preserve">Signature_149cbb8d-97f2-4274-9628-abe04b47d3c9</t>
  </si>
  <si>
    <t xml:space="preserve">2024-04-30 08:08:39-05:00</t>
  </si>
  <si>
    <t xml:space="preserve">2024:04:30 08:08:39-05:00</t>
  </si>
  <si>
    <t xml:space="preserve">[0 - 112188], [128574 - 137063]</t>
  </si>
  <si>
    <t xml:space="preserve">Signature_ccbcfc26-cc7a-43d6-b357-d1ba69c851f0</t>
  </si>
  <si>
    <t xml:space="preserve">2024-04-30 08:08:27-05:00</t>
  </si>
  <si>
    <t xml:space="preserve">2024:04:30 08:08:27-05:00</t>
  </si>
  <si>
    <t xml:space="preserve">[0 - 979057], [995443 - 1003975]</t>
  </si>
  <si>
    <t xml:space="preserve">Signature_9362525b-6140-4cbf-8dd4-f3c231b2d628</t>
  </si>
  <si>
    <t xml:space="preserve">[0 - 854384], [870770 - 876650]</t>
  </si>
  <si>
    <t xml:space="preserve">Signature_221d706c-5617-43e5-a5c6-49b6de2f0c20</t>
  </si>
  <si>
    <t xml:space="preserve">2024-04-30 08:08:40-05:00</t>
  </si>
  <si>
    <t xml:space="preserve">2024:04:30 08:08:40-05:00</t>
  </si>
  <si>
    <t xml:space="preserve">[0 - 74203], [90589 - 99076]</t>
  </si>
  <si>
    <t xml:space="preserve">Signature_582aee11-e4a6-4052-892d-2def04fa9e52</t>
  </si>
  <si>
    <t xml:space="preserve">2024-04-30 08:15:35-05:00</t>
  </si>
  <si>
    <t xml:space="preserve">2024:04:30 08:15:35-05:00</t>
  </si>
  <si>
    <t xml:space="preserve">[0 - 345716], [362102 - 367950]</t>
  </si>
  <si>
    <t xml:space="preserve">Signature_bad0a988-b1b6-4f4f-a92e-9378ca1469e6</t>
  </si>
  <si>
    <t xml:space="preserve">2024-04-30 08:15:40-05:00</t>
  </si>
  <si>
    <t xml:space="preserve">2024:04:30 08:15:41-05:00</t>
  </si>
  <si>
    <t xml:space="preserve">[0 - 470906], [487292 - 490029]</t>
  </si>
  <si>
    <t xml:space="preserve">Signature_50e6a0cd-f259-4916-a4ed-c94d837ce096</t>
  </si>
  <si>
    <t xml:space="preserve">2024-04-30 08:15:22-05:00</t>
  </si>
  <si>
    <t xml:space="preserve">2024:04:30 08:15:22-05:00</t>
  </si>
  <si>
    <t xml:space="preserve">Signature_b2a5420f-bb2c-4df2-bcb1-17d4ce9f633b</t>
  </si>
  <si>
    <t xml:space="preserve">2024-04-30 08:15:19-05:00</t>
  </si>
  <si>
    <t xml:space="preserve">2024:04:30 08:15:19-05:00</t>
  </si>
  <si>
    <t xml:space="preserve">[0 - 902826], [919212 - 924943]</t>
  </si>
  <si>
    <t xml:space="preserve">Signature_8ff2ca24-84ad-4041-be81-081a20993a1d</t>
  </si>
  <si>
    <t xml:space="preserve">2024-04-30 08:15:28-05:00</t>
  </si>
  <si>
    <t xml:space="preserve">2024:04:30 08:15:28-05:00</t>
  </si>
  <si>
    <t xml:space="preserve">[0 - 281190], [297576 - 302602]</t>
  </si>
  <si>
    <t xml:space="preserve">Signature_093e3d2b-ddbc-43ae-9c73-8e9eca91e144</t>
  </si>
  <si>
    <t xml:space="preserve">2024-04-30 08:15:33-05:00</t>
  </si>
  <si>
    <t xml:space="preserve">2024:04:30 08:15:33-05:00</t>
  </si>
  <si>
    <t xml:space="preserve">[0 - 110023], [126409 - 134898]</t>
  </si>
  <si>
    <t xml:space="preserve">Signature_37f7af57-ddb7-453e-9014-c096cfa32fbb</t>
  </si>
  <si>
    <t xml:space="preserve">2024-04-30 08:15:29-05:00</t>
  </si>
  <si>
    <t xml:space="preserve">2024:04:30 08:15:29-05:00</t>
  </si>
  <si>
    <t xml:space="preserve">[0 - 72216], [88602 - 97089]</t>
  </si>
  <si>
    <t xml:space="preserve">Signature_7520301e-8d7a-4cbd-aaae-d7e91cc4b7f5</t>
  </si>
  <si>
    <t xml:space="preserve">2024-04-30 08:15:26-05:00</t>
  </si>
  <si>
    <t xml:space="preserve">2024:04:30 08:15:26-05:00</t>
  </si>
  <si>
    <t xml:space="preserve">[0 - 274352], [290738 - 299225]</t>
  </si>
  <si>
    <t xml:space="preserve">Signature_c05e4435-35f3-40c3-a063-36ff234dd1e1</t>
  </si>
  <si>
    <t xml:space="preserve">2024-04-30 08:15:17-05:00</t>
  </si>
  <si>
    <t xml:space="preserve">2024:04:30 08:15:17-05:00</t>
  </si>
  <si>
    <t xml:space="preserve">[0 - 275057], [291443 - 299930]</t>
  </si>
  <si>
    <t xml:space="preserve">Signature_5dd4a032-9035-41cc-b491-d832695d25f4</t>
  </si>
  <si>
    <t xml:space="preserve">2024-04-30 08:15:39-05:00</t>
  </si>
  <si>
    <t xml:space="preserve">2024:04:30 08:15:39-05:00</t>
  </si>
  <si>
    <t xml:space="preserve">[0 - 1251979], [1268365 - 1273856]</t>
  </si>
  <si>
    <t xml:space="preserve">Signature_ff94a3ce-ff52-4278-bcd2-e175d22f0465</t>
  </si>
  <si>
    <t xml:space="preserve">2024-04-30 08:15:36-05:00</t>
  </si>
  <si>
    <t xml:space="preserve">2024:04:30 08:15:36-05:00</t>
  </si>
  <si>
    <t xml:space="preserve">[0 - 136606], [152992 - 161525]</t>
  </si>
  <si>
    <t xml:space="preserve">Signature_dc7b1e2a-bc9f-425b-849c-10936d833403</t>
  </si>
  <si>
    <t xml:space="preserve">2024-04-30 08:15:34-05:00</t>
  </si>
  <si>
    <t xml:space="preserve">2024:04:30 08:15:34-05:00</t>
  </si>
  <si>
    <t xml:space="preserve">Signature_0a825bfa-d163-484b-bf73-54aa34fa3798</t>
  </si>
  <si>
    <t xml:space="preserve">2024-04-30 08:15:32-05:00</t>
  </si>
  <si>
    <t xml:space="preserve">2024:04:30 08:15:32-05:00</t>
  </si>
  <si>
    <t xml:space="preserve">[0 - 133871], [150257 - 158790]</t>
  </si>
  <si>
    <t xml:space="preserve">Signature_2ba07e27-c71a-4cfe-b6c8-3a51789ad11c</t>
  </si>
  <si>
    <t xml:space="preserve">2024-04-30 08:15:30-05:00</t>
  </si>
  <si>
    <t xml:space="preserve">2024:04:30 08:15:30-05:00</t>
  </si>
  <si>
    <t xml:space="preserve">Signature_d1b97c0a-36ad-4c5a-8068-228bf8b3407b</t>
  </si>
  <si>
    <t xml:space="preserve">2024-04-30 08:15:27-05:00</t>
  </si>
  <si>
    <t xml:space="preserve">2024:04:30 08:15:27-05:00</t>
  </si>
  <si>
    <t xml:space="preserve">[0 - 770784], [787170 - 791756]</t>
  </si>
  <si>
    <t xml:space="preserve">Signature_96d2fca7-8b25-47e4-893d-f7641a193857</t>
  </si>
  <si>
    <t xml:space="preserve">2024-04-30 08:15:25-05:00</t>
  </si>
  <si>
    <t xml:space="preserve">2024:04:30 08:15:25-05:00</t>
  </si>
  <si>
    <t xml:space="preserve">Signature_3ba59a30-0fa4-4171-b6bc-d260fa6f60e1</t>
  </si>
  <si>
    <t xml:space="preserve">2024-04-30 08:15:23-05:00</t>
  </si>
  <si>
    <t xml:space="preserve">2024:04:30 08:15:23-05:00</t>
  </si>
  <si>
    <t xml:space="preserve">[0 - 867063], [883449 - 888433]</t>
  </si>
  <si>
    <t xml:space="preserve">Signature_abbc2fdb-08eb-423b-8ccd-ec99b77620d6</t>
  </si>
  <si>
    <t xml:space="preserve">2024-04-30 08:15:20-05:00</t>
  </si>
  <si>
    <t xml:space="preserve">2024:04:30 08:15:20-05:00</t>
  </si>
  <si>
    <t xml:space="preserve">[0 - 856091], [872477 - 877450]</t>
  </si>
  <si>
    <t xml:space="preserve">Signature_f9c24f8a-c44a-41b0-bd19-d487f7af904d</t>
  </si>
  <si>
    <t xml:space="preserve">2024-04-30 08:15:16-05:00</t>
  </si>
  <si>
    <t xml:space="preserve">2024:04:30 08:15:16-05:00</t>
  </si>
  <si>
    <t xml:space="preserve">Signature_67c1d5d8-0351-4855-8873-9de838e8f918</t>
  </si>
  <si>
    <t xml:space="preserve">2024-04-30 08:15:37-05:00</t>
  </si>
  <si>
    <t xml:space="preserve">2024:04:30 08:15:37-05:00</t>
  </si>
  <si>
    <t xml:space="preserve">[0 - 107706], [124092 - 132581]</t>
  </si>
  <si>
    <t xml:space="preserve">Signature_31e9f1f6-9ba2-4eaf-855d-3abd7f9e14e0</t>
  </si>
  <si>
    <t xml:space="preserve">2024-04-30 08:15:24-05:00</t>
  </si>
  <si>
    <t xml:space="preserve">2024:04:30 08:15:24-05:00</t>
  </si>
  <si>
    <t xml:space="preserve">[0 - 985406], [1001792 - 1010324]</t>
  </si>
  <si>
    <t xml:space="preserve">Signature_cce5a140-2e90-439b-82ed-0c2bc191d0f6</t>
  </si>
  <si>
    <t xml:space="preserve">2024-04-30 08:15:21-05:00</t>
  </si>
  <si>
    <t xml:space="preserve">2024:04:30 08:15:21-05:00</t>
  </si>
  <si>
    <t xml:space="preserve">Signature_828d9aef-82a3-4fcd-b3f5-53f61727a4bc</t>
  </si>
  <si>
    <t xml:space="preserve">2024-04-30 08:15:38-05:00</t>
  </si>
  <si>
    <t xml:space="preserve">2024:04:30 08:15:38-05:00</t>
  </si>
  <si>
    <t xml:space="preserve">[0 - 73655], [90041 - 98528]</t>
  </si>
  <si>
    <t xml:space="preserve">Signature_861645f0-ee3d-4d8d-9712-bde3ac9f23ea</t>
  </si>
  <si>
    <t xml:space="preserve">2024-04-30 08:16:52-05:00</t>
  </si>
  <si>
    <t xml:space="preserve">2024:04:30 08:16:52-05:00</t>
  </si>
  <si>
    <t xml:space="preserve">[0 - 345733], [362119 - 367966]</t>
  </si>
  <si>
    <t xml:space="preserve">Signature_f7fcf2a0-ff94-44aa-b3a1-605930178b4b</t>
  </si>
  <si>
    <t xml:space="preserve">2024-04-30 08:16:58-05:00</t>
  </si>
  <si>
    <t xml:space="preserve">2024:04:30 08:16:58-05:00</t>
  </si>
  <si>
    <t xml:space="preserve">[0 - 481715], [498101 - 500893]</t>
  </si>
  <si>
    <t xml:space="preserve">Signature_5fdf0384-1d06-4150-9b04-8194f7b97e9f</t>
  </si>
  <si>
    <t xml:space="preserve">2024-04-30 08:16:40-05:00</t>
  </si>
  <si>
    <t xml:space="preserve">2024:04:30 08:16:40-05:00</t>
  </si>
  <si>
    <t xml:space="preserve">[0 - 930182], [946568 - 951851]</t>
  </si>
  <si>
    <t xml:space="preserve">Signature_7eb50d45-fcb6-4cca-9fe7-04fc44175c2d</t>
  </si>
  <si>
    <t xml:space="preserve">2024-04-30 08:16:36-05:00</t>
  </si>
  <si>
    <t xml:space="preserve">2024:04:30 08:16:36-05:00</t>
  </si>
  <si>
    <t xml:space="preserve">[0 - 902833], [919219 - 924950]</t>
  </si>
  <si>
    <t xml:space="preserve">Signature_1a06fed6-643d-45be-95a3-2d6dc52aa642</t>
  </si>
  <si>
    <t xml:space="preserve">2024-04-30 08:16:46-05:00</t>
  </si>
  <si>
    <t xml:space="preserve">2024:04:30 08:16:46-05:00</t>
  </si>
  <si>
    <t xml:space="preserve">Signature_becb0235-a10b-4ef5-9352-f9669e9c038e</t>
  </si>
  <si>
    <t xml:space="preserve">2024-04-30 08:16:50-05:00</t>
  </si>
  <si>
    <t xml:space="preserve">2024:04:30 08:16:50-05:00</t>
  </si>
  <si>
    <t xml:space="preserve">[0 - 110731], [127117 - 135606]</t>
  </si>
  <si>
    <t xml:space="preserve">Signature_cc6cd6e9-7dd9-4dd7-9a53-bfbdd48987c0</t>
  </si>
  <si>
    <t xml:space="preserve">2024-04-30 08:16:47-05:00</t>
  </si>
  <si>
    <t xml:space="preserve">2024:04:30 08:16:47-05:00</t>
  </si>
  <si>
    <t xml:space="preserve">[0 - 72651], [89037 - 97524]</t>
  </si>
  <si>
    <t xml:space="preserve">Signature_609916ab-73f3-48ef-a593-44675617e214</t>
  </si>
  <si>
    <t xml:space="preserve">2024-04-30 08:16:44-05:00</t>
  </si>
  <si>
    <t xml:space="preserve">2024:04:30 08:16:44-05:00</t>
  </si>
  <si>
    <t xml:space="preserve">[0 - 281355], [297741 - 306228]</t>
  </si>
  <si>
    <t xml:space="preserve">Signature_5dfd82fd-ebe0-471a-8130-408912114724</t>
  </si>
  <si>
    <t xml:space="preserve">2024-04-30 08:16:35-05:00</t>
  </si>
  <si>
    <t xml:space="preserve">2024:04:30 08:16:35-05:00</t>
  </si>
  <si>
    <t xml:space="preserve">[0 - 275371], [291757 - 300244]</t>
  </si>
  <si>
    <t xml:space="preserve">Signature_ddfb8f1a-1e94-41ce-b4a0-9c1552c09735</t>
  </si>
  <si>
    <t xml:space="preserve">2024-04-30 08:16:57-05:00</t>
  </si>
  <si>
    <t xml:space="preserve">2024:04:30 08:16:57-05:00</t>
  </si>
  <si>
    <t xml:space="preserve">[0 - 1252016], [1268402 - 1273916]</t>
  </si>
  <si>
    <t xml:space="preserve">Signature_151596a1-3f63-4676-9163-c0cac8451de8</t>
  </si>
  <si>
    <t xml:space="preserve">2024-04-30 08:16:53-05:00</t>
  </si>
  <si>
    <t xml:space="preserve">2024:04:30 08:16:53-05:00</t>
  </si>
  <si>
    <t xml:space="preserve">[0 - 138226], [154612 - 163145]</t>
  </si>
  <si>
    <t xml:space="preserve">Signature_ddb53ae7-398a-4ac8-b76c-5da10b08bc2a</t>
  </si>
  <si>
    <t xml:space="preserve">2024-04-30 08:16:51-05:00</t>
  </si>
  <si>
    <t xml:space="preserve">2024:04:30 08:16:51-05:00</t>
  </si>
  <si>
    <t xml:space="preserve">[0 - 886787], [903173 - 908741]</t>
  </si>
  <si>
    <t xml:space="preserve">Signature_30335fd4-14e6-4bb7-96bf-1badbcb3321d</t>
  </si>
  <si>
    <t xml:space="preserve">2024-04-30 08:16:49-05:00</t>
  </si>
  <si>
    <t xml:space="preserve">2024:04:30 08:16:49-05:00</t>
  </si>
  <si>
    <t xml:space="preserve">[0 - 134491], [150877 - 159410]</t>
  </si>
  <si>
    <t xml:space="preserve">Signature_4bc5316b-a4d4-43d6-9eb7-5b0f5e432928</t>
  </si>
  <si>
    <t xml:space="preserve">2024-04-30 08:16:48-05:00</t>
  </si>
  <si>
    <t xml:space="preserve">2024:04:30 08:16:48-05:00</t>
  </si>
  <si>
    <t xml:space="preserve">Signature_85a32e5a-c6b2-46ee-9a3d-351bd22a7a59</t>
  </si>
  <si>
    <t xml:space="preserve">2024-04-30 08:16:45-05:00</t>
  </si>
  <si>
    <t xml:space="preserve">2024:04:30 08:16:45-05:00</t>
  </si>
  <si>
    <t xml:space="preserve">Signature_0b010378-a40f-42a4-a7bc-abe7e7411a23</t>
  </si>
  <si>
    <t xml:space="preserve">2024-04-30 08:16:43-05:00</t>
  </si>
  <si>
    <t xml:space="preserve">2024:04:30 08:16:43-05:00</t>
  </si>
  <si>
    <t xml:space="preserve">[0 - 171255], [187641 - 192380]</t>
  </si>
  <si>
    <t xml:space="preserve">Signature_541f89c4-e39f-4448-abb3-1744d96fee71</t>
  </si>
  <si>
    <t xml:space="preserve">2024-04-30 08:16:41-05:00</t>
  </si>
  <si>
    <t xml:space="preserve">2024:04:30 08:16:41-05:00</t>
  </si>
  <si>
    <t xml:space="preserve">[0 - 867067], [883453 - 888437]</t>
  </si>
  <si>
    <t xml:space="preserve">Signature_374c2272-088f-4274-818f-0261edfc26ae</t>
  </si>
  <si>
    <t xml:space="preserve">2024-04-30 08:16:37-05:00</t>
  </si>
  <si>
    <t xml:space="preserve">2024:04:30 08:16:37-05:00</t>
  </si>
  <si>
    <t xml:space="preserve">[0 - 856093], [872479 - 877449]</t>
  </si>
  <si>
    <t xml:space="preserve">Signature_fdc8df2a-1c62-47d5-bdf8-08b6d4a05928</t>
  </si>
  <si>
    <t xml:space="preserve">2024-04-30 08:16:34-05:00</t>
  </si>
  <si>
    <t xml:space="preserve">2024:04:30 08:16:34-05:00</t>
  </si>
  <si>
    <t xml:space="preserve">Signature_672ffbbe-204e-453f-b60a-abe4a3a0992b</t>
  </si>
  <si>
    <t xml:space="preserve">2024-04-30 08:16:54-05:00</t>
  </si>
  <si>
    <t xml:space="preserve">2024:04:30 08:16:54-05:00</t>
  </si>
  <si>
    <t xml:space="preserve">[0 - 107699], [124085 - 132574]</t>
  </si>
  <si>
    <t xml:space="preserve">Signature_606c7007-2885-4282-ab67-dc03002a4368</t>
  </si>
  <si>
    <t xml:space="preserve">2024-04-30 08:16:42-05:00</t>
  </si>
  <si>
    <t xml:space="preserve">2024:04:30 08:16:42-05:00</t>
  </si>
  <si>
    <t xml:space="preserve">[0 - 986724], [1003110 - 1011642]</t>
  </si>
  <si>
    <t xml:space="preserve">Signature_440b3384-f84e-4aae-985e-1421a2926a61</t>
  </si>
  <si>
    <t xml:space="preserve">2024-04-30 08:16:39-05:00</t>
  </si>
  <si>
    <t xml:space="preserve">2024:04:30 08:16:39-05:00</t>
  </si>
  <si>
    <t xml:space="preserve">Signature_d72fff81-7319-47fa-a682-c7fbcea444c8</t>
  </si>
  <si>
    <t xml:space="preserve">2024-04-30 08:16:55-05:00</t>
  </si>
  <si>
    <t xml:space="preserve">2024:04:30 08:16:55-05:00</t>
  </si>
  <si>
    <t xml:space="preserve">[0 - 75792], [92178 - 100666]</t>
  </si>
  <si>
    <t xml:space="preserve">Signature_bc98868b-ab88-4394-ad72-70e0b94a0721</t>
  </si>
  <si>
    <t xml:space="preserve">2024-04-30 08:18:07-05:00</t>
  </si>
  <si>
    <t xml:space="preserve">2024:04:30 08:18:07-05:00</t>
  </si>
  <si>
    <t xml:space="preserve">[0 - 292415], [308801 - 314370]</t>
  </si>
  <si>
    <t xml:space="preserve">282 0 obj</t>
  </si>
  <si>
    <t xml:space="preserve">Signature_3ce85976-4c37-4082-be9e-6f36f24bc0f3</t>
  </si>
  <si>
    <t xml:space="preserve">2024-04-30 08:18:03-05:00</t>
  </si>
  <si>
    <t xml:space="preserve">2024:04:30 08:18:03-05:00</t>
  </si>
  <si>
    <t xml:space="preserve">[0 - 344880], [361266 - 367033]</t>
  </si>
  <si>
    <t xml:space="preserve">Signature_87499e73-2d22-4e4f-a577-364e700f03bd</t>
  </si>
  <si>
    <t xml:space="preserve">2024-04-30 08:18:10-05:00</t>
  </si>
  <si>
    <t xml:space="preserve">2024:04:30 08:18:11-05:00</t>
  </si>
  <si>
    <t xml:space="preserve">[0 - 492586], [508972 - 512140]</t>
  </si>
  <si>
    <t xml:space="preserve">Signature_76bb421d-43bc-45d2-96c3-2f06a35cd0af</t>
  </si>
  <si>
    <t xml:space="preserve">2024-04-30 08:17:36-05:00</t>
  </si>
  <si>
    <t xml:space="preserve">2024:04:30 08:17:36-05:00</t>
  </si>
  <si>
    <t xml:space="preserve">[0 - 807378], [823764 - 829028]</t>
  </si>
  <si>
    <t xml:space="preserve">Signature_f0f1f135-8e24-46e5-923f-30f40b06bbd8</t>
  </si>
  <si>
    <t xml:space="preserve">2024-04-30 08:17:59-05:00</t>
  </si>
  <si>
    <t xml:space="preserve">2024:04:30 08:17:59-05:00</t>
  </si>
  <si>
    <t xml:space="preserve">[0 - 278706], [295092 - 300021]</t>
  </si>
  <si>
    <t xml:space="preserve">Signature_3cd2b812-a16d-4afa-b4b3-527ff7fcebdb</t>
  </si>
  <si>
    <t xml:space="preserve">2024-04-30 08:17:55-05:00</t>
  </si>
  <si>
    <t xml:space="preserve">2024:04:30 08:17:55-05:00</t>
  </si>
  <si>
    <t xml:space="preserve">[0 - 267922], [284308 - 289299]</t>
  </si>
  <si>
    <t xml:space="preserve">226 0 obj</t>
  </si>
  <si>
    <t xml:space="preserve">Signature_cad2c78c-57ca-4d9d-89a1-40389d005327</t>
  </si>
  <si>
    <t xml:space="preserve">2024-04-30 08:18:05-05:00</t>
  </si>
  <si>
    <t xml:space="preserve">2024:04:30 08:18:05-05:00</t>
  </si>
  <si>
    <t xml:space="preserve">[0 - 78516], [94902 - 103390]</t>
  </si>
  <si>
    <t xml:space="preserve">Signature_2ebbb574-1cb1-497b-856e-61cf3a3d3476</t>
  </si>
  <si>
    <t xml:space="preserve">2024-04-30 08:18:06-05:00</t>
  </si>
  <si>
    <t xml:space="preserve">2024:04:30 08:18:06-05:00</t>
  </si>
  <si>
    <t xml:space="preserve">[0 - 1111673], [1128059 - 1136592]</t>
  </si>
  <si>
    <t xml:space="preserve">Signature_91f8510b-9498-4797-ae93-9557a41bb790</t>
  </si>
  <si>
    <t xml:space="preserve">2024-04-30 08:17:48-05:00</t>
  </si>
  <si>
    <t xml:space="preserve">2024:04:30 08:17:48-05:00</t>
  </si>
  <si>
    <t xml:space="preserve">[0 - 744631], [761017 - 766221]</t>
  </si>
  <si>
    <t xml:space="preserve">Signature_57f413cf-bb0b-4921-82e4-b5a17339fc27</t>
  </si>
  <si>
    <t xml:space="preserve">2024-04-30 08:17:46-05:00</t>
  </si>
  <si>
    <t xml:space="preserve">2024:04:30 08:17:46-05:00</t>
  </si>
  <si>
    <t xml:space="preserve">[0 - 90685], [107071 - 111658]</t>
  </si>
  <si>
    <t xml:space="preserve">Signature_8f84f73b-1c5c-4986-bddd-bb8c57d26b56</t>
  </si>
  <si>
    <t xml:space="preserve">2024-04-30 08:17:57-05:00</t>
  </si>
  <si>
    <t xml:space="preserve">2024:04:30 08:17:57-05:00</t>
  </si>
  <si>
    <t xml:space="preserve">[0 - 75953], [92339 - 96860]</t>
  </si>
  <si>
    <t xml:space="preserve">Signature_aec91e2a-f661-4949-b2f5-464364d1c70f</t>
  </si>
  <si>
    <t xml:space="preserve">2024-04-30 08:18:04-05:00</t>
  </si>
  <si>
    <t xml:space="preserve">2024:04:30 08:18:04-05:00</t>
  </si>
  <si>
    <t xml:space="preserve">[0 - 115774], [132160 - 140693]</t>
  </si>
  <si>
    <t xml:space="preserve">Signature_5d0795b4-443c-47b5-855a-9c9ff708c227</t>
  </si>
  <si>
    <t xml:space="preserve">2024-04-30 08:18:00-05:00</t>
  </si>
  <si>
    <t xml:space="preserve">2024:04:30 08:18:00-05:00</t>
  </si>
  <si>
    <t xml:space="preserve">[0 - 130410], [146796 - 151328]</t>
  </si>
  <si>
    <t xml:space="preserve">Signature_470ee1b0-1ecd-4045-85ca-01fc81de6b41</t>
  </si>
  <si>
    <t xml:space="preserve">2024-04-30 08:17:54-05:00</t>
  </si>
  <si>
    <t xml:space="preserve">2024:04:30 08:17:54-05:00</t>
  </si>
  <si>
    <t xml:space="preserve">[0 - 285961], [302347 - 307936]</t>
  </si>
  <si>
    <t xml:space="preserve">Signature_854ae4b5-4363-4020-92f6-1e8847ab4bc7</t>
  </si>
  <si>
    <t xml:space="preserve">2024-04-30 08:17:51-05:00</t>
  </si>
  <si>
    <t xml:space="preserve">2024:04:30 08:17:51-05:00</t>
  </si>
  <si>
    <t xml:space="preserve">[0 - 260548], [276934 - 282497]</t>
  </si>
  <si>
    <t xml:space="preserve">Signature_89ab9f18-534c-4452-977a-333c6957ded7</t>
  </si>
  <si>
    <t xml:space="preserve">2024-04-30 08:17:52-05:00</t>
  </si>
  <si>
    <t xml:space="preserve">2024:04:30 08:17:52-05:00</t>
  </si>
  <si>
    <t xml:space="preserve">Signature_7f745fae-ab55-46c5-a4f5-e31073b6691b</t>
  </si>
  <si>
    <t xml:space="preserve">2024-04-30 08:17:34-05:00</t>
  </si>
  <si>
    <t xml:space="preserve">2024:04:30 08:17:34-05:00</t>
  </si>
  <si>
    <t xml:space="preserve">[0 - 234897], [251283 - 255891]</t>
  </si>
  <si>
    <t xml:space="preserve">Signature_4a251613-e1fc-4409-9625-c032a91e579a</t>
  </si>
  <si>
    <t xml:space="preserve">2024-04-30 08:17:33-05:00</t>
  </si>
  <si>
    <t xml:space="preserve">2024:04:30 08:17:33-05:00</t>
  </si>
  <si>
    <t xml:space="preserve">[0 - 234905], [251291 - 255899]</t>
  </si>
  <si>
    <t xml:space="preserve">Signature_c2eaf432-08c9-4171-ac3f-f9a1a11a13a6</t>
  </si>
  <si>
    <t xml:space="preserve">2024-04-30 08:17:32-05:00</t>
  </si>
  <si>
    <t xml:space="preserve">2024:04:30 08:17:32-05:00</t>
  </si>
  <si>
    <t xml:space="preserve">[0 - 235089], [251475 - 256084]</t>
  </si>
  <si>
    <t xml:space="preserve">Signature_60fecd15-9184-4338-9db1-f0f609392135</t>
  </si>
  <si>
    <t xml:space="preserve">2024-04-30 08:17:47-05:00</t>
  </si>
  <si>
    <t xml:space="preserve">2024:04:30 08:17:47-05:00</t>
  </si>
  <si>
    <t xml:space="preserve">[0 - 1056270], [1072656 - 1078001]</t>
  </si>
  <si>
    <t xml:space="preserve">417 0 obj</t>
  </si>
  <si>
    <t xml:space="preserve">Signature_8cecd76a-a5d0-4934-88c8-854e3d8b9c6f</t>
  </si>
  <si>
    <t xml:space="preserve">2024-04-30 08:18:01-05:00</t>
  </si>
  <si>
    <t xml:space="preserve">2024:04:30 08:18:01-05:00</t>
  </si>
  <si>
    <t xml:space="preserve">[0 - 1562254], [1578640 - 1583216]</t>
  </si>
  <si>
    <t xml:space="preserve">Signature_e4f02b54-73c6-4e41-a84b-76271e801a25</t>
  </si>
  <si>
    <t xml:space="preserve">2024-04-30 08:17:56-05:00</t>
  </si>
  <si>
    <t xml:space="preserve">2024:04:30 08:17:56-05:00</t>
  </si>
  <si>
    <t xml:space="preserve">[0 - 211618], [228004 - 233135]</t>
  </si>
  <si>
    <t xml:space="preserve">Signature_45b84d6b-0a1c-4765-b1fa-15b45f472e67</t>
  </si>
  <si>
    <t xml:space="preserve">2024-04-30 08:17:53-05:00</t>
  </si>
  <si>
    <t xml:space="preserve">2024:04:30 08:17:53-05:00</t>
  </si>
  <si>
    <t xml:space="preserve">[0 - 806585], [822971 - 827562]</t>
  </si>
  <si>
    <t xml:space="preserve">Signature_7ff5cee3-23d4-4614-a4f4-0f84897291cf</t>
  </si>
  <si>
    <t xml:space="preserve">2024-04-30 08:17:39-05:00</t>
  </si>
  <si>
    <t xml:space="preserve">2024:04:30 08:17:39-05:00</t>
  </si>
  <si>
    <t xml:space="preserve">[0 - 970018], [986404 - 992142]</t>
  </si>
  <si>
    <t xml:space="preserve">Signature_edb01a7d-4a26-4c0e-a5d4-8bb2075de82e</t>
  </si>
  <si>
    <t xml:space="preserve">2024-04-30 08:17:35-05:00</t>
  </si>
  <si>
    <t xml:space="preserve">2024:04:30 08:17:35-05:00</t>
  </si>
  <si>
    <t xml:space="preserve">[0 - 849526], [865912 - 870883]</t>
  </si>
  <si>
    <t xml:space="preserve">Signature_c756ba85-498b-4d8d-9bc9-58d1474f76f0</t>
  </si>
  <si>
    <t xml:space="preserve">2024-04-30 08:17:49-05:00</t>
  </si>
  <si>
    <t xml:space="preserve">2024:04:30 08:17:49-05:00</t>
  </si>
  <si>
    <t xml:space="preserve">[0 - 171320], [187706 - 192744]</t>
  </si>
  <si>
    <t xml:space="preserve">Signature_cd1e38ba-5f4b-4f68-a762-6860f90aeb9f</t>
  </si>
  <si>
    <t xml:space="preserve">2024-04-30 08:17:43-05:00</t>
  </si>
  <si>
    <t xml:space="preserve">2024:04:30 08:17:43-05:00</t>
  </si>
  <si>
    <t xml:space="preserve">[0 - 193594], [209980 - 215513]</t>
  </si>
  <si>
    <t xml:space="preserve">Signature_44de2750-ed0a-4978-86d5-fe758cce7875</t>
  </si>
  <si>
    <t xml:space="preserve">2024-04-30 08:18:08-05:00</t>
  </si>
  <si>
    <t xml:space="preserve">2024:04:30 08:18:08-05:00</t>
  </si>
  <si>
    <t xml:space="preserve">[0 - 102207], [118593 - 123107]</t>
  </si>
  <si>
    <t xml:space="preserve">Signature_3fcb38cc-3031-4245-92b6-584fa32d6130</t>
  </si>
  <si>
    <t xml:space="preserve">2024-04-30 08:17:45-05:00</t>
  </si>
  <si>
    <t xml:space="preserve">2024:04:30 08:17:45-05:00</t>
  </si>
  <si>
    <t xml:space="preserve">[0 - 347989], [364375 - 370479]</t>
  </si>
  <si>
    <t xml:space="preserve">363 0 obj</t>
  </si>
  <si>
    <t xml:space="preserve">Signature_16d2b40a-6dbb-4307-bc34-2aa8110b651d</t>
  </si>
  <si>
    <t xml:space="preserve">2024-04-30 08:17:50-05:00</t>
  </si>
  <si>
    <t xml:space="preserve">2024:04:30 08:17:50-05:00</t>
  </si>
  <si>
    <t xml:space="preserve">[0 - 302222], [318608 - 327095]</t>
  </si>
  <si>
    <t xml:space="preserve">Signature_a8ced5af-82e5-4b2a-ac17-b9c7945fb706</t>
  </si>
  <si>
    <t xml:space="preserve">2024-04-30 08:18:02-05:00</t>
  </si>
  <si>
    <t xml:space="preserve">2024:04:30 08:18:02-05:00</t>
  </si>
  <si>
    <t xml:space="preserve">[0 - 151690], [168076 - 173549]</t>
  </si>
  <si>
    <t xml:space="preserve">Signature_60bd67b9-68c2-445d-855f-f2759765cef0</t>
  </si>
  <si>
    <t xml:space="preserve">2024-04-30 08:17:38-05:00</t>
  </si>
  <si>
    <t xml:space="preserve">2024:04:30 08:17:38-05:00</t>
  </si>
  <si>
    <t xml:space="preserve">[0 - 982516], [998902 - 1003902]</t>
  </si>
  <si>
    <t xml:space="preserve">276 0 obj</t>
  </si>
  <si>
    <t xml:space="preserve">Signature_97b45a62-ae2b-4afd-a9d9-8d11633677f6</t>
  </si>
  <si>
    <t xml:space="preserve">[0 - 1765052], [1781438 - 1786428]</t>
  </si>
  <si>
    <t xml:space="preserve">773 0 obj</t>
  </si>
  <si>
    <t xml:space="preserve">Signature_16e87bd8-7797-43b6-b58a-c7e6bf79e562</t>
  </si>
  <si>
    <t xml:space="preserve">2024-04-30 08:18:09-05:00</t>
  </si>
  <si>
    <t xml:space="preserve">2024:04:30 08:18:09-05:00</t>
  </si>
  <si>
    <t xml:space="preserve">[0 - 78447], [94833 - 103321]</t>
  </si>
  <si>
    <t xml:space="preserve">Signature_8cab2394-6713-47bb-8d5e-629d602f277f</t>
  </si>
  <si>
    <t xml:space="preserve">2024-04-30 08:17:44-05:00</t>
  </si>
  <si>
    <t xml:space="preserve">2024:04:30 08:17:44-05:00</t>
  </si>
  <si>
    <t xml:space="preserve">[0 - 232608], [248994 - 253700]</t>
  </si>
  <si>
    <t xml:space="preserve">Signature_11a34ab3-eb9b-471d-8884-2e077e4afca2</t>
  </si>
  <si>
    <t xml:space="preserve">2024-04-30 08:17:41-05:00</t>
  </si>
  <si>
    <t xml:space="preserve">2024:04:30 08:17:41-05:00</t>
  </si>
  <si>
    <t xml:space="preserve">[0 - 372080], [388466 - 393905]</t>
  </si>
  <si>
    <t xml:space="preserve">Signature_aff3e8e1-6343-408c-9bfb-4a8e75cd8d54</t>
  </si>
  <si>
    <t xml:space="preserve">2024-04-30 08:17:40-05:00</t>
  </si>
  <si>
    <t xml:space="preserve">2024:04:30 08:17:40-05:00</t>
  </si>
  <si>
    <t xml:space="preserve">[0 - 388849], [405235 - 410610]</t>
  </si>
  <si>
    <t xml:space="preserve">Signature_31c9017b-bd81-476f-afb8-04349f3f2c2a</t>
  </si>
  <si>
    <t xml:space="preserve">2024-04-30 08:20:10-05:00</t>
  </si>
  <si>
    <t xml:space="preserve">2024:04:30 08:20:10-05:00</t>
  </si>
  <si>
    <t xml:space="preserve">[0 - 114767], [131153 - 136811]</t>
  </si>
  <si>
    <t xml:space="preserve">Signature_7fe9a65a-f3ac-47b5-823b-31d4da37c367</t>
  </si>
  <si>
    <t xml:space="preserve">2024-04-30 08:20:31-05:00</t>
  </si>
  <si>
    <t xml:space="preserve">2024:04:30 08:20:31-05:00</t>
  </si>
  <si>
    <t xml:space="preserve">[0 - 477147], [493533 - 496325]</t>
  </si>
  <si>
    <t xml:space="preserve">349 0 obj</t>
  </si>
  <si>
    <t xml:space="preserve">Signature_99e47aab-5fe2-49c4-b705-01db6aadc41c</t>
  </si>
  <si>
    <t xml:space="preserve">2024-04-30 08:20:13-05:00</t>
  </si>
  <si>
    <t xml:space="preserve">2024:04:30 08:20:13-05:00</t>
  </si>
  <si>
    <t xml:space="preserve">[0 - 930177], [946563 - 951847]</t>
  </si>
  <si>
    <t xml:space="preserve">Signature_3faa04f3-8a27-42e1-b225-75e378bf98c7</t>
  </si>
  <si>
    <t xml:space="preserve">2024-04-30 08:20:09-05:00</t>
  </si>
  <si>
    <t xml:space="preserve">2024:04:30 08:20:09-05:00</t>
  </si>
  <si>
    <t xml:space="preserve">Signature_53f10dbb-eada-4646-8790-ffb859f9438e</t>
  </si>
  <si>
    <t xml:space="preserve">2024-04-30 08:20:20-05:00</t>
  </si>
  <si>
    <t xml:space="preserve">2024:04:30 08:20:20-05:00</t>
  </si>
  <si>
    <t xml:space="preserve">Signature_98d30009-84cd-48cd-b7a5-012e353905de</t>
  </si>
  <si>
    <t xml:space="preserve">2024-04-30 08:20:24-05:00</t>
  </si>
  <si>
    <t xml:space="preserve">2024:04:30 08:20:24-05:00</t>
  </si>
  <si>
    <t xml:space="preserve">[0 - 110016], [126402 - 134891]</t>
  </si>
  <si>
    <t xml:space="preserve">Signature_9caeeae5-409a-4467-8045-0e760d2c9995</t>
  </si>
  <si>
    <t xml:space="preserve">2024-04-30 08:20:21-05:00</t>
  </si>
  <si>
    <t xml:space="preserve">2024:04:30 08:20:21-05:00</t>
  </si>
  <si>
    <t xml:space="preserve">[0 - 71455], [87841 - 96328]</t>
  </si>
  <si>
    <t xml:space="preserve">Signature_0816a2f6-dbef-44d0-8e18-ccafbb7d173c</t>
  </si>
  <si>
    <t xml:space="preserve">2024-04-30 08:20:17-05:00</t>
  </si>
  <si>
    <t xml:space="preserve">2024:04:30 08:20:17-05:00</t>
  </si>
  <si>
    <t xml:space="preserve">[0 - 276267], [292653 - 301140]</t>
  </si>
  <si>
    <t xml:space="preserve">Signature_b80c8cef-40b8-4783-9ff3-b3373092021a</t>
  </si>
  <si>
    <t xml:space="preserve">2024-04-30 08:20:19-05:00</t>
  </si>
  <si>
    <t xml:space="preserve">2024:04:30 08:20:19-05:00</t>
  </si>
  <si>
    <t xml:space="preserve">[0 - 113844], [130230 - 135884]</t>
  </si>
  <si>
    <t xml:space="preserve">Signature_a760b81d-6f6a-48bb-9dd5-82b2d6fbdcc6</t>
  </si>
  <si>
    <t xml:space="preserve">2024-04-30 08:20:30-05:00</t>
  </si>
  <si>
    <t xml:space="preserve">2024:04:30 08:20:30-05:00</t>
  </si>
  <si>
    <t xml:space="preserve">[0 - 1251897], [1268283 - 1273787]</t>
  </si>
  <si>
    <t xml:space="preserve">Signature_9a83e107-b342-4352-9299-dfabb517b4e4</t>
  </si>
  <si>
    <t xml:space="preserve">2024-04-30 08:20:26-05:00</t>
  </si>
  <si>
    <t xml:space="preserve">2024:04:30 08:20:26-05:00</t>
  </si>
  <si>
    <t xml:space="preserve">[0 - 138058], [154444 - 162977]</t>
  </si>
  <si>
    <t xml:space="preserve">Signature_bd611e3f-af98-451e-80df-4a55b3aee7b2</t>
  </si>
  <si>
    <t xml:space="preserve">2024-04-30 08:20:25-05:00</t>
  </si>
  <si>
    <t xml:space="preserve">2024:04:30 08:20:25-05:00</t>
  </si>
  <si>
    <t xml:space="preserve">[0 - 886785], [903171 - 908736]</t>
  </si>
  <si>
    <t xml:space="preserve">Signature_cff2b7c1-8e1d-4342-bed6-49cb540125fc</t>
  </si>
  <si>
    <t xml:space="preserve">2024-04-30 08:20:23-05:00</t>
  </si>
  <si>
    <t xml:space="preserve">2024:04:30 08:20:23-05:00</t>
  </si>
  <si>
    <t xml:space="preserve">[0 - 134887], [151273 - 159806]</t>
  </si>
  <si>
    <t xml:space="preserve">Signature_2d2ffb06-ce46-4fd3-8260-c1f8e7691fd0</t>
  </si>
  <si>
    <t xml:space="preserve">2024-04-30 08:20:22-05:00</t>
  </si>
  <si>
    <t xml:space="preserve">2024:04:30 08:20:22-05:00</t>
  </si>
  <si>
    <t xml:space="preserve">[0 - 231668], [248054 - 252787]</t>
  </si>
  <si>
    <t xml:space="preserve">Signature_8486c18a-360c-4fe1-8142-492f2f5c2ca9</t>
  </si>
  <si>
    <t xml:space="preserve">2024-04-30 08:20:18-05:00</t>
  </si>
  <si>
    <t xml:space="preserve">2024:04:30 08:20:18-05:00</t>
  </si>
  <si>
    <t xml:space="preserve">[0 - 770783], [787169 - 791756]</t>
  </si>
  <si>
    <t xml:space="preserve">Signature_e96c73bd-b371-44c7-a36a-2cb8de1bb0f8</t>
  </si>
  <si>
    <t xml:space="preserve">2024-04-30 08:20:16-05:00</t>
  </si>
  <si>
    <t xml:space="preserve">2024:04:30 08:20:16-05:00</t>
  </si>
  <si>
    <t xml:space="preserve">[0 - 171257], [187643 - 192383]</t>
  </si>
  <si>
    <t xml:space="preserve">Signature_013fc91e-4f40-4391-be69-de58380b6438</t>
  </si>
  <si>
    <t xml:space="preserve">2024-04-30 08:20:15-05:00</t>
  </si>
  <si>
    <t xml:space="preserve">2024:04:30 08:20:15-05:00</t>
  </si>
  <si>
    <t xml:space="preserve">Signature_3caf7fb3-e60e-4b3f-bbab-7c15766cae75</t>
  </si>
  <si>
    <t xml:space="preserve">2024-04-30 08:20:12-05:00</t>
  </si>
  <si>
    <t xml:space="preserve">2024:04:30 08:20:12-05:00</t>
  </si>
  <si>
    <t xml:space="preserve">Signature_de39fc47-e263-4074-9377-583b170e8041</t>
  </si>
  <si>
    <t xml:space="preserve">2024-04-30 08:20:28-05:00</t>
  </si>
  <si>
    <t xml:space="preserve">2024:04:30 08:20:28-05:00</t>
  </si>
  <si>
    <t xml:space="preserve">[0 - 163860], [180246 - 185739]</t>
  </si>
  <si>
    <t xml:space="preserve">Signature_acef69eb-ba0b-4959-91c8-d2743917f22e</t>
  </si>
  <si>
    <t xml:space="preserve">2024-04-30 08:20:27-05:00</t>
  </si>
  <si>
    <t xml:space="preserve">2024:04:30 08:20:27-05:00</t>
  </si>
  <si>
    <t xml:space="preserve">[0 - 79477], [95863 - 104351]</t>
  </si>
  <si>
    <t xml:space="preserve">Signature_6aef6a16-ee55-4bac-9579-709e85b72e0a</t>
  </si>
  <si>
    <t xml:space="preserve">2024-04-30 08:21:42-05:00</t>
  </si>
  <si>
    <t xml:space="preserve">2024:04:30 08:21:42-05:00</t>
  </si>
  <si>
    <t xml:space="preserve">[0 - 997893], [1014279 - 1018820]</t>
  </si>
  <si>
    <t xml:space="preserve">Signature_fec5cb9e-b516-424f-b0df-0ff003db5bf8</t>
  </si>
  <si>
    <t xml:space="preserve">2024-04-30 08:21:28-05:00</t>
  </si>
  <si>
    <t xml:space="preserve">2024:04:30 08:21:28-05:00</t>
  </si>
  <si>
    <t xml:space="preserve">[0 - 125939], [142325 - 150812]</t>
  </si>
  <si>
    <t xml:space="preserve">Signature_b3f5bbed-22b3-4988-bf1f-d8be4cc4ac02</t>
  </si>
  <si>
    <t xml:space="preserve">2024-04-30 08:21:29-05:00</t>
  </si>
  <si>
    <t xml:space="preserve">2024:04:30 08:21:29-05:00</t>
  </si>
  <si>
    <t xml:space="preserve">[0 - 194978], [211364 - 219895]</t>
  </si>
  <si>
    <t xml:space="preserve">Signature_9f0dccab-a876-4688-b8ac-48502a58db30</t>
  </si>
  <si>
    <t xml:space="preserve">2024-04-30 08:21:19-05:00</t>
  </si>
  <si>
    <t xml:space="preserve">2024:04:30 08:21:19-05:00</t>
  </si>
  <si>
    <t xml:space="preserve">[0 - 744066], [760452 - 765663]</t>
  </si>
  <si>
    <t xml:space="preserve">Signature_ed3c1276-c3a9-427f-b5e3-9616a5f9634d</t>
  </si>
  <si>
    <t xml:space="preserve">2024-04-30 08:21:32-05:00</t>
  </si>
  <si>
    <t xml:space="preserve">2024:04:30 08:21:32-05:00</t>
  </si>
  <si>
    <t xml:space="preserve">[0 - 663881], [680267 - 684784]</t>
  </si>
  <si>
    <t xml:space="preserve">Signature_288136f1-523e-4c5d-a35a-7484c8dfb120</t>
  </si>
  <si>
    <t xml:space="preserve">2024-04-30 08:21:31-05:00</t>
  </si>
  <si>
    <t xml:space="preserve">2024:04:30 08:21:31-05:00</t>
  </si>
  <si>
    <t xml:space="preserve">[0 - 692691], [709077 - 714326]</t>
  </si>
  <si>
    <t xml:space="preserve">Signature_985e5cef-7968-4b10-b19c-1b68f6fdfdc3</t>
  </si>
  <si>
    <t xml:space="preserve">2024-04-30 08:21:30-05:00</t>
  </si>
  <si>
    <t xml:space="preserve">2024:04:30 08:21:30-05:00</t>
  </si>
  <si>
    <t xml:space="preserve">[0 - 692655], [709041 - 714291]</t>
  </si>
  <si>
    <t xml:space="preserve">Signature_d061b5fa-eb8d-4ba2-adb4-37d97a9c98e3</t>
  </si>
  <si>
    <t xml:space="preserve">2024-04-30 08:21:27-05:00</t>
  </si>
  <si>
    <t xml:space="preserve">2024:04:30 08:21:27-05:00</t>
  </si>
  <si>
    <t xml:space="preserve">[0 - 79695], [96081 - 104567]</t>
  </si>
  <si>
    <t xml:space="preserve">Signature_af7c0f56-f62d-4db1-bd27-a07a71787f0b</t>
  </si>
  <si>
    <t xml:space="preserve">2024-04-30 08:21:26-05:00</t>
  </si>
  <si>
    <t xml:space="preserve">2024:04:30 08:21:26-05:00</t>
  </si>
  <si>
    <t xml:space="preserve">[0 - 417062], [433448 - 441935]</t>
  </si>
  <si>
    <t xml:space="preserve">Signature_dfefc3ee-013d-4fe4-a32e-7016e0d20477</t>
  </si>
  <si>
    <t xml:space="preserve">2024-04-30 08:21:25-05:00</t>
  </si>
  <si>
    <t xml:space="preserve">2024:04:30 08:21:25-05:00</t>
  </si>
  <si>
    <t xml:space="preserve">[0 - 412202], [428588 - 437075]</t>
  </si>
  <si>
    <t xml:space="preserve">Signature_d6e3fce3-1a30-4830-b485-5ca4a50dfd00</t>
  </si>
  <si>
    <t xml:space="preserve">2024-04-30 08:21:24-05:00</t>
  </si>
  <si>
    <t xml:space="preserve">2024:04:30 08:21:24-05:00</t>
  </si>
  <si>
    <t xml:space="preserve">[0 - 75464], [91850 - 100335]</t>
  </si>
  <si>
    <t xml:space="preserve">Signature_f67bf413-87de-43d2-a86e-73c7040629c5</t>
  </si>
  <si>
    <t xml:space="preserve">2024-04-30 08:21:23-05:00</t>
  </si>
  <si>
    <t xml:space="preserve">2024:04:30 08:21:23-05:00</t>
  </si>
  <si>
    <t xml:space="preserve">[0 - 79936], [96322 - 104808]</t>
  </si>
  <si>
    <t xml:space="preserve">Signature_7f8243cf-a9de-4b97-a4ef-90f720b93eed</t>
  </si>
  <si>
    <t xml:space="preserve">2024-04-30 08:21:16-05:00</t>
  </si>
  <si>
    <t xml:space="preserve">2024:04:30 08:21:16-05:00</t>
  </si>
  <si>
    <t xml:space="preserve">[0 - 78570], [94956 - 103442]</t>
  </si>
  <si>
    <t xml:space="preserve">Signature_4cc885da-899a-4c9a-8086-7b6474655309</t>
  </si>
  <si>
    <t xml:space="preserve">2024-04-30 08:21:13-05:00</t>
  </si>
  <si>
    <t xml:space="preserve">2024:04:30 08:21:13-05:00</t>
  </si>
  <si>
    <t xml:space="preserve">[0 - 397394], [413780 - 422267]</t>
  </si>
  <si>
    <t xml:space="preserve">Signature_8e91103a-26ad-4c2e-b000-d43f678b9477</t>
  </si>
  <si>
    <t xml:space="preserve">2024-04-30 08:21:06-05:00</t>
  </si>
  <si>
    <t xml:space="preserve">2024:04:30 08:21:06-05:00</t>
  </si>
  <si>
    <t xml:space="preserve">[0 - 708107], [724493 - 729078]</t>
  </si>
  <si>
    <t xml:space="preserve">Signature_845b0bab-e320-48d0-9a1f-53f6d40cffb9</t>
  </si>
  <si>
    <t xml:space="preserve">2024-04-30 08:21:03-05:00</t>
  </si>
  <si>
    <t xml:space="preserve">2024:04:30 08:21:03-05:00</t>
  </si>
  <si>
    <t xml:space="preserve">[0 - 708049], [724435 - 729020]</t>
  </si>
  <si>
    <t xml:space="preserve">Signature_b5c8f407-455a-48cb-8d7a-4a3c893281c2</t>
  </si>
  <si>
    <t xml:space="preserve">2024-04-30 08:21:43-05:00</t>
  </si>
  <si>
    <t xml:space="preserve">2024:04:30 08:21:43-05:00</t>
  </si>
  <si>
    <t xml:space="preserve">[0 - 819454], [835840 - 840435]</t>
  </si>
  <si>
    <t xml:space="preserve">Signature_1a95f94f-cf82-46f5-8fb0-e57f140b9b89</t>
  </si>
  <si>
    <t xml:space="preserve">2024-04-30 08:21:41-05:00</t>
  </si>
  <si>
    <t xml:space="preserve">2024:04:30 08:21:41-05:00</t>
  </si>
  <si>
    <t xml:space="preserve">[0 - 1245273], [1261659 - 1267126]</t>
  </si>
  <si>
    <t xml:space="preserve">Signature_68202f04-33ad-40ed-81fd-e9bc8d69183b</t>
  </si>
  <si>
    <t xml:space="preserve">2024-04-30 08:21:40-05:00</t>
  </si>
  <si>
    <t xml:space="preserve">2024:04:30 08:21:40-05:00</t>
  </si>
  <si>
    <t xml:space="preserve">[0 - 859756], [876142 - 884675]</t>
  </si>
  <si>
    <t xml:space="preserve">Signature_1ecfffe4-3cfc-4692-994f-452b850c8b61</t>
  </si>
  <si>
    <t xml:space="preserve">2024-04-30 08:21:37-05:00</t>
  </si>
  <si>
    <t xml:space="preserve">2024:04:30 08:21:37-05:00</t>
  </si>
  <si>
    <t xml:space="preserve">[0 - 1257721], [1274107 - 1279328]</t>
  </si>
  <si>
    <t xml:space="preserve">330 0 obj</t>
  </si>
  <si>
    <t xml:space="preserve">Signature_cb28089e-01d6-443c-aef8-eeeb699cee58</t>
  </si>
  <si>
    <t xml:space="preserve">2024-04-30 08:21:34-05:00</t>
  </si>
  <si>
    <t xml:space="preserve">2024:04:30 08:21:35-05:00</t>
  </si>
  <si>
    <t xml:space="preserve">[0 - 108890], [125276 - 126951]</t>
  </si>
  <si>
    <t xml:space="preserve">Signature_14992255-f1a1-43d6-9996-3b1eb4fac31b</t>
  </si>
  <si>
    <t xml:space="preserve">2024-04-30 08:21:33-05:00</t>
  </si>
  <si>
    <t xml:space="preserve">2024:04:30 08:21:34-05:00</t>
  </si>
  <si>
    <t xml:space="preserve">[0 - 108657], [125043 - 126718]</t>
  </si>
  <si>
    <t xml:space="preserve">Signature_ffbe4b16-42eb-4ec2-9b3c-165647eec2a4</t>
  </si>
  <si>
    <t xml:space="preserve">2024-04-30 08:21:22-05:00</t>
  </si>
  <si>
    <t xml:space="preserve">2024:04:30 08:21:22-05:00</t>
  </si>
  <si>
    <t xml:space="preserve">[0 - 112411], [128797 - 137328]</t>
  </si>
  <si>
    <t xml:space="preserve">Signature_bc6644b0-b9f2-49b2-ab82-7e0707599f07</t>
  </si>
  <si>
    <t xml:space="preserve">2024-04-30 08:21:17-05:00</t>
  </si>
  <si>
    <t xml:space="preserve">2024:04:30 08:21:17-05:00</t>
  </si>
  <si>
    <t xml:space="preserve">[0 - 112168], [128554 - 137085]</t>
  </si>
  <si>
    <t xml:space="preserve">Signature_12039b88-c787-4f74-b682-a82c745c9353</t>
  </si>
  <si>
    <t xml:space="preserve">2024-04-30 08:21:12-05:00</t>
  </si>
  <si>
    <t xml:space="preserve">2024:04:30 08:21:12-05:00</t>
  </si>
  <si>
    <t xml:space="preserve">[0 - 114331], [130717 - 139248]</t>
  </si>
  <si>
    <t xml:space="preserve">Signature_ace13b6e-763d-4b89-968a-10c12335e376</t>
  </si>
  <si>
    <t xml:space="preserve">2024-04-30 08:21:10-05:00</t>
  </si>
  <si>
    <t xml:space="preserve">2024:04:30 08:21:10-05:00</t>
  </si>
  <si>
    <t xml:space="preserve">[0 - 888911], [905297 - 909894]</t>
  </si>
  <si>
    <t xml:space="preserve">Signature_55ce5ce4-f8e3-4a57-adc2-a9ef4e947959</t>
  </si>
  <si>
    <t xml:space="preserve">2024-04-30 08:21:07-05:00</t>
  </si>
  <si>
    <t xml:space="preserve">2024:04:30 08:21:07-05:00</t>
  </si>
  <si>
    <t xml:space="preserve">[0 - 248843], [265229 - 269838]</t>
  </si>
  <si>
    <t xml:space="preserve">Signature_ce4964a8-0c45-4c23-bb21-e7c8d824633a</t>
  </si>
  <si>
    <t xml:space="preserve">2024-04-30 08:21:04-05:00</t>
  </si>
  <si>
    <t xml:space="preserve">2024:04:30 08:21:04-05:00</t>
  </si>
  <si>
    <t xml:space="preserve">[0 - 890792], [907178 - 911774]</t>
  </si>
  <si>
    <t xml:space="preserve">Signature_f2622a85-e518-47c5-a706-c69523494a50</t>
  </si>
  <si>
    <t xml:space="preserve">2024-04-30 08:21:21-05:00</t>
  </si>
  <si>
    <t xml:space="preserve">2024:04:30 08:21:21-05:00</t>
  </si>
  <si>
    <t xml:space="preserve">[0 - 147804], [164190 - 172771]</t>
  </si>
  <si>
    <t xml:space="preserve">Signature_6ed14ae6-18b8-4353-87b2-200349b02d05</t>
  </si>
  <si>
    <t xml:space="preserve">2024-04-30 08:21:15-05:00</t>
  </si>
  <si>
    <t xml:space="preserve">2024:04:30 08:21:15-05:00</t>
  </si>
  <si>
    <t xml:space="preserve">[0 - 117970], [134356 - 142887]</t>
  </si>
  <si>
    <t xml:space="preserve">Signature_220d9a7c-c675-43a8-8f4e-d81706bf62ad</t>
  </si>
  <si>
    <t xml:space="preserve">2024-04-30 08:21:11-05:00</t>
  </si>
  <si>
    <t xml:space="preserve">2024:04:30 08:21:11-05:00</t>
  </si>
  <si>
    <t xml:space="preserve">[0 - 115461], [131847 - 140378]</t>
  </si>
  <si>
    <t xml:space="preserve">Signature_07b71944-8feb-43f8-8706-ab1ce2d5c90e</t>
  </si>
  <si>
    <t xml:space="preserve">2024-04-30 08:21:08-05:00</t>
  </si>
  <si>
    <t xml:space="preserve">2024:04:30 08:21:08-05:00</t>
  </si>
  <si>
    <t xml:space="preserve">[0 - 742695], [759081 - 763673]</t>
  </si>
  <si>
    <t xml:space="preserve">Signature_ac6a7c74-213c-4a88-9ab7-c260419a43c4</t>
  </si>
  <si>
    <t xml:space="preserve">2024-04-30 08:21:14-05:00</t>
  </si>
  <si>
    <t xml:space="preserve">2024:04:30 08:21:14-05:00</t>
  </si>
  <si>
    <t xml:space="preserve">[0 - 89255], [105641 - 114127]</t>
  </si>
  <si>
    <t xml:space="preserve">Signature_ea119fa1-5f4a-4061-8d37-aca293a1a8c7</t>
  </si>
  <si>
    <t xml:space="preserve">2024-04-30 08:21:20-05:00</t>
  </si>
  <si>
    <t xml:space="preserve">2024:04:30 08:21:20-05:00</t>
  </si>
  <si>
    <t xml:space="preserve">[0 - 719972], [736358 - 741517]</t>
  </si>
  <si>
    <t xml:space="preserve">Signature_f4b43daf-f2e1-4387-8134-85e11b92df26</t>
  </si>
  <si>
    <t xml:space="preserve">2024-04-30 08:21:38-05:00</t>
  </si>
  <si>
    <t xml:space="preserve">2024:04:30 08:21:38-05:00</t>
  </si>
  <si>
    <t xml:space="preserve">[0 - 221691], [238077 - 246566]</t>
  </si>
  <si>
    <t xml:space="preserve">Signature_71d302ba-ec58-4a0e-8b88-6b51787e1afa</t>
  </si>
  <si>
    <t xml:space="preserve">2024-04-30 08:21:39-05:00</t>
  </si>
  <si>
    <t xml:space="preserve">2024:04:30 08:21:39-05:00</t>
  </si>
  <si>
    <t xml:space="preserve">[0 - 260737], [277123 - 285612]</t>
  </si>
  <si>
    <t xml:space="preserve">Signature_5c93035a-0aae-45db-b03c-6daac5474120</t>
  </si>
  <si>
    <t xml:space="preserve">2024-04-30 08:21:36-05:00</t>
  </si>
  <si>
    <t xml:space="preserve">2024:04:30 08:21:36-05:00</t>
  </si>
  <si>
    <t xml:space="preserve">[0 - 313816], [330202 - 338691]</t>
  </si>
  <si>
    <t xml:space="preserve">Signature_358ac497-f608-4e16-b3b5-6a91bfae63e0</t>
  </si>
  <si>
    <t xml:space="preserve">2024-04-30 08:21:09-05:00</t>
  </si>
  <si>
    <t xml:space="preserve">2024:04:30 08:21:09-05:00</t>
  </si>
  <si>
    <t xml:space="preserve">[0 - 78598], [94984 - 103482]</t>
  </si>
  <si>
    <t xml:space="preserve">Signature_96120f83-c4bc-492d-a61f-15141a30aace</t>
  </si>
  <si>
    <t xml:space="preserve">2024-04-30 08:21:05-05:00</t>
  </si>
  <si>
    <t xml:space="preserve">2024:04:30 08:21:05-05:00</t>
  </si>
  <si>
    <t xml:space="preserve">[0 - 302786], [319172 - 327659]</t>
  </si>
  <si>
    <t xml:space="preserve">Signature_bbc6d510-0cbd-4aab-8de9-c38504aad006</t>
  </si>
  <si>
    <t xml:space="preserve">2024-04-30 08:21:01-05:00</t>
  </si>
  <si>
    <t xml:space="preserve">2024:04:30 08:21:01-05:00</t>
  </si>
  <si>
    <t xml:space="preserve">[0 - 273832], [290218 - 298705]</t>
  </si>
  <si>
    <t xml:space="preserve">Signature_bcdb9108-19a2-4623-9366-340f9a44dc54</t>
  </si>
  <si>
    <t xml:space="preserve">2024-04-30 07:51:53-05:00</t>
  </si>
  <si>
    <t xml:space="preserve">2024:04:30 07:51:54-05:00</t>
  </si>
  <si>
    <t xml:space="preserve">[0 - 471706], [488092 - 491205]</t>
  </si>
  <si>
    <t xml:space="preserve">Signature_58eebf62-f133-4090-8818-7d4e7b5c18f8</t>
  </si>
  <si>
    <t xml:space="preserve">2024-04-30 07:51:47-05:00</t>
  </si>
  <si>
    <t xml:space="preserve">2024:04:30 07:51:47-05:00</t>
  </si>
  <si>
    <t xml:space="preserve">[0 - 843517], [859903 - 865685]</t>
  </si>
  <si>
    <t xml:space="preserve">Signature_8c4101a3-2b0c-4bf3-8f7c-753f9d4fbab0</t>
  </si>
  <si>
    <t xml:space="preserve">2024-04-30 07:51:52-05:00</t>
  </si>
  <si>
    <t xml:space="preserve">2024:04:30 07:51:52-05:00</t>
  </si>
  <si>
    <t xml:space="preserve">[0 - 1235013], [1251399 - 1256901]</t>
  </si>
  <si>
    <t xml:space="preserve">Signature_f5b62fa5-0e6a-49ac-a97b-bf8b35d0fe74</t>
  </si>
  <si>
    <t xml:space="preserve">2024-04-30 07:51:51-05:00</t>
  </si>
  <si>
    <t xml:space="preserve">2024:04:30 07:51:51-05:00</t>
  </si>
  <si>
    <t xml:space="preserve">[0 - 217757], [234143 - 238745]</t>
  </si>
  <si>
    <t xml:space="preserve">Signature_46445c9d-7c67-4792-97e5-4c7106fce96c</t>
  </si>
  <si>
    <t xml:space="preserve">2024-04-30 07:51:48-05:00</t>
  </si>
  <si>
    <t xml:space="preserve">2024:04:30 07:51:48-05:00</t>
  </si>
  <si>
    <t xml:space="preserve">[0 - 1012962], [1029348 - 1035717]</t>
  </si>
  <si>
    <t xml:space="preserve">Signature_8e002023-6680-417a-af29-47dc6cf5b753</t>
  </si>
  <si>
    <t xml:space="preserve">2024-04-30 07:51:49-05:00</t>
  </si>
  <si>
    <t xml:space="preserve">2024:04:30 07:51:49-05:00</t>
  </si>
  <si>
    <t xml:space="preserve">[0 - 161190], [177576 - 183066]</t>
  </si>
  <si>
    <t xml:space="preserve">Signature_4c928864-4979-4cff-b790-7e8683dcbbfb</t>
  </si>
  <si>
    <t xml:space="preserve">2024-04-30 07:51:50-05:00</t>
  </si>
  <si>
    <t xml:space="preserve">2024:04:30 07:51:50-05:00</t>
  </si>
  <si>
    <t xml:space="preserve">[0 - 315130], [331516 - 336670]</t>
  </si>
  <si>
    <t xml:space="preserve">Signature_62d3c79c-53a2-4b2b-bc4b-bd1ea34bd3cb</t>
  </si>
  <si>
    <t xml:space="preserve">2024-04-30 07:52:38-05:00</t>
  </si>
  <si>
    <t xml:space="preserve">2024:04:30 07:52:38-05:00</t>
  </si>
  <si>
    <t xml:space="preserve">[0 - 71579], [87965 - 92393]</t>
  </si>
  <si>
    <t xml:space="preserve">Signature_a3422d8f-d630-44a3-9d4b-9de73b249481</t>
  </si>
  <si>
    <t xml:space="preserve">2024-04-30 07:52:42-05:00</t>
  </si>
  <si>
    <t xml:space="preserve">2024:04:30 07:52:42-05:00</t>
  </si>
  <si>
    <t xml:space="preserve">[0 - 352139], [368525 - 374079]</t>
  </si>
  <si>
    <t xml:space="preserve">Signature_5623126f-c8c4-42a6-8ab3-8f72f2aafe4b</t>
  </si>
  <si>
    <t xml:space="preserve">2024-04-30 07:52:43-05:00</t>
  </si>
  <si>
    <t xml:space="preserve">2024:04:30 07:52:44-05:00</t>
  </si>
  <si>
    <t xml:space="preserve">[0 - 467972], [484358 - 487095]</t>
  </si>
  <si>
    <t xml:space="preserve">357 0 obj</t>
  </si>
  <si>
    <t xml:space="preserve">Signature_96ccd915-1dfe-4fbe-80ea-304307e3ccaf</t>
  </si>
  <si>
    <t xml:space="preserve">2024-04-30 07:52:26-05:00</t>
  </si>
  <si>
    <t xml:space="preserve">2024:04:30 07:52:26-05:00</t>
  </si>
  <si>
    <t xml:space="preserve">[0 - 782271], [798657 - 803920]</t>
  </si>
  <si>
    <t xml:space="preserve">Signature_bbe87373-6e2a-4eeb-aa6a-13a0f896db17</t>
  </si>
  <si>
    <t xml:space="preserve">2024-04-30 07:52:30-05:00</t>
  </si>
  <si>
    <t xml:space="preserve">2024:04:30 07:52:30-05:00</t>
  </si>
  <si>
    <t xml:space="preserve">[0 - 311581], [327967 - 333013]</t>
  </si>
  <si>
    <t xml:space="preserve">Signature_beb53ad6-3fa2-4fb2-9058-b4f2b1b876c7</t>
  </si>
  <si>
    <t xml:space="preserve">2024-04-30 07:52:40-05:00</t>
  </si>
  <si>
    <t xml:space="preserve">2024:04:30 07:52:40-05:00</t>
  </si>
  <si>
    <t xml:space="preserve">[0 - 86404], [102790 - 111278]</t>
  </si>
  <si>
    <t xml:space="preserve">Signature_0bb42667-1986-4f15-8b6a-69b2d691cd8e</t>
  </si>
  <si>
    <t xml:space="preserve">[0 - 93898], [110284 - 114952]</t>
  </si>
  <si>
    <t xml:space="preserve">Signature_f5500959-d8ce-4071-a271-9704e6f7e1e6</t>
  </si>
  <si>
    <t xml:space="preserve">2024-04-30 07:52:32-05:00</t>
  </si>
  <si>
    <t xml:space="preserve">2024:04:30 07:52:32-05:00</t>
  </si>
  <si>
    <t xml:space="preserve">[0 - 266032], [282418 - 287741]</t>
  </si>
  <si>
    <t xml:space="preserve">Signature_0ed06aef-dff0-492d-ae71-23676dd84fd9</t>
  </si>
  <si>
    <t xml:space="preserve">2024-04-30 07:52:37-05:00</t>
  </si>
  <si>
    <t xml:space="preserve">2024:04:30 07:52:37-05:00</t>
  </si>
  <si>
    <t xml:space="preserve">Signature_e920c522-2fd2-4733-a7ec-9f67c87f0f49</t>
  </si>
  <si>
    <t xml:space="preserve">2024-04-30 07:52:27-05:00</t>
  </si>
  <si>
    <t xml:space="preserve">2024:04:30 07:52:27-05:00</t>
  </si>
  <si>
    <t xml:space="preserve">[0 - 822391], [838777 - 844350]</t>
  </si>
  <si>
    <t xml:space="preserve">Signature_fb79c25c-d215-4669-bb81-79ee78168e71</t>
  </si>
  <si>
    <t xml:space="preserve">2024-04-30 07:52:25-05:00</t>
  </si>
  <si>
    <t xml:space="preserve">2024:04:30 07:52:25-05:00</t>
  </si>
  <si>
    <t xml:space="preserve">[0 - 822380], [838766 - 844336]</t>
  </si>
  <si>
    <t xml:space="preserve">Signature_e3c598e0-695d-425b-89fc-888c19631eff</t>
  </si>
  <si>
    <t xml:space="preserve">2024-04-30 07:52:33-05:00</t>
  </si>
  <si>
    <t xml:space="preserve">2024:04:30 07:52:33-05:00</t>
  </si>
  <si>
    <t xml:space="preserve">[0 - 979535], [995921 - 1000496]</t>
  </si>
  <si>
    <t xml:space="preserve">Signature_3bcf6075-e1e0-444d-84ba-65e608947e39</t>
  </si>
  <si>
    <t xml:space="preserve">2024-04-30 07:52:29-05:00</t>
  </si>
  <si>
    <t xml:space="preserve">2024:04:30 07:52:29-05:00</t>
  </si>
  <si>
    <t xml:space="preserve">[0 - 900924], [917310 - 922283]</t>
  </si>
  <si>
    <t xml:space="preserve">Signature_ee1f6636-33bc-4ed1-a187-94fc5fe08511</t>
  </si>
  <si>
    <t xml:space="preserve">2024-04-30 07:52:35-05:00</t>
  </si>
  <si>
    <t xml:space="preserve">2024:04:30 07:52:35-05:00</t>
  </si>
  <si>
    <t xml:space="preserve">[0 - 83600], [99986 - 108474]</t>
  </si>
  <si>
    <t xml:space="preserve">Signature_4904c30e-d588-4d72-ad3a-62532427c5bd</t>
  </si>
  <si>
    <t xml:space="preserve">2024-04-30 07:52:41-05:00</t>
  </si>
  <si>
    <t xml:space="preserve">2024:04:30 07:52:41-05:00</t>
  </si>
  <si>
    <t xml:space="preserve">[0 - 79340], [95726 - 100173]</t>
  </si>
  <si>
    <t xml:space="preserve">Signature_9fbada41-9e89-4e74-9f76-9adc1a74f7d1</t>
  </si>
  <si>
    <t xml:space="preserve">2024-04-30 07:52:36-05:00</t>
  </si>
  <si>
    <t xml:space="preserve">2024:04:30 07:52:36-05:00</t>
  </si>
  <si>
    <t xml:space="preserve">[0 - 190709], [207095 - 215584]</t>
  </si>
  <si>
    <t xml:space="preserve">Signature_c10af317-f84f-433e-9f50-64036f26c2ba</t>
  </si>
  <si>
    <t xml:space="preserve">2024-04-30 07:52:39-05:00</t>
  </si>
  <si>
    <t xml:space="preserve">2024:04:30 07:52:39-05:00</t>
  </si>
  <si>
    <t xml:space="preserve">[0 - 231669], [248055 - 252735]</t>
  </si>
  <si>
    <t xml:space="preserve">Signature_94b42d3e-8223-408d-a7b6-081a905a219d</t>
  </si>
  <si>
    <t xml:space="preserve">2024-04-30 07:52:34-05:00</t>
  </si>
  <si>
    <t xml:space="preserve">2024:04:30 07:52:34-05:00</t>
  </si>
  <si>
    <t xml:space="preserve">[0 - 229352], [245738 - 250434]</t>
  </si>
  <si>
    <t xml:space="preserve">Signature_6acf3637-858a-49db-b0bf-6a260c4d3d6c</t>
  </si>
  <si>
    <t xml:space="preserve">2024-04-29 15:27:43-05:00</t>
  </si>
  <si>
    <t xml:space="preserve">2024:04:29 15:27:43-05:00</t>
  </si>
  <si>
    <t xml:space="preserve">[0 - 214358], [230744 - 239275]</t>
  </si>
  <si>
    <t xml:space="preserve">Signature_a9fbf8ef-946c-468b-bb51-dadb029119a1</t>
  </si>
  <si>
    <t xml:space="preserve">2024-04-29 15:28:01-05:00</t>
  </si>
  <si>
    <t xml:space="preserve">2024:04:29 15:28:01-05:00</t>
  </si>
  <si>
    <t xml:space="preserve">[0 - 541923], [558309 - 566840]</t>
  </si>
  <si>
    <t xml:space="preserve">Signature_4232f149-6e59-44f9-a169-f8b04c050727</t>
  </si>
  <si>
    <t xml:space="preserve">2024-04-29 15:27:59-05:00</t>
  </si>
  <si>
    <t xml:space="preserve">2024:04:29 15:27:59-05:00</t>
  </si>
  <si>
    <t xml:space="preserve">[0 - 77536], [93922 - 102408]</t>
  </si>
  <si>
    <t xml:space="preserve">Signature_679c6ea4-bb7d-4068-8e06-956611a92b19</t>
  </si>
  <si>
    <t xml:space="preserve">2024-04-29 15:27:58-05:00</t>
  </si>
  <si>
    <t xml:space="preserve">2024:04:29 15:27:58-05:00</t>
  </si>
  <si>
    <t xml:space="preserve">[0 - 411333], [427719 - 436206]</t>
  </si>
  <si>
    <t xml:space="preserve">Signature_7783ea8d-55a8-41d8-a8fb-67ea204a0a97</t>
  </si>
  <si>
    <t xml:space="preserve">2024-04-29 15:27:57-05:00</t>
  </si>
  <si>
    <t xml:space="preserve">2024:04:29 15:27:57-05:00</t>
  </si>
  <si>
    <t xml:space="preserve">[0 - 78633], [95019 - 103505]</t>
  </si>
  <si>
    <t xml:space="preserve">Signature_1c064a70-c71f-4625-8ab8-20dd45ddfec4</t>
  </si>
  <si>
    <t xml:space="preserve">2024-04-29 15:27:53-05:00</t>
  </si>
  <si>
    <t xml:space="preserve">2024:04:29 15:27:53-05:00</t>
  </si>
  <si>
    <t xml:space="preserve">[0 - 718161], [734547 - 740057]</t>
  </si>
  <si>
    <t xml:space="preserve">Signature_2d93650f-abe3-41fe-86e4-c5f1f52250c0</t>
  </si>
  <si>
    <t xml:space="preserve">2024-04-29 15:27:50-05:00</t>
  </si>
  <si>
    <t xml:space="preserve">2024:04:29 15:27:50-05:00</t>
  </si>
  <si>
    <t xml:space="preserve">[0 - 72494], [88880 - 97365]</t>
  </si>
  <si>
    <t xml:space="preserve">Signature_0f10bba2-9614-476e-afe2-26b5b572ee65</t>
  </si>
  <si>
    <t xml:space="preserve">2024-04-29 15:27:46-05:00</t>
  </si>
  <si>
    <t xml:space="preserve">2024:04:29 15:27:46-05:00</t>
  </si>
  <si>
    <t xml:space="preserve">Signature_b027abc5-c583-45ca-9f22-77febbae4888</t>
  </si>
  <si>
    <t xml:space="preserve">2024-04-29 15:27:42-05:00</t>
  </si>
  <si>
    <t xml:space="preserve">2024:04:29 15:27:42-05:00</t>
  </si>
  <si>
    <t xml:space="preserve">[0 - 406665], [423051 - 431538]</t>
  </si>
  <si>
    <t xml:space="preserve">Signature_2672b87d-fe29-4e34-8453-57aa4ddc1827</t>
  </si>
  <si>
    <t xml:space="preserve">2024-04-29 15:28:02-05:00</t>
  </si>
  <si>
    <t xml:space="preserve">2024:04:29 15:28:02-05:00</t>
  </si>
  <si>
    <t xml:space="preserve">[0 - 867723], [884109 - 888706]</t>
  </si>
  <si>
    <t xml:space="preserve">Signature_5aafe281-fd4b-4424-9f19-ebcfa5b17209</t>
  </si>
  <si>
    <t xml:space="preserve">2024-04-29 15:27:54-05:00</t>
  </si>
  <si>
    <t xml:space="preserve">2024:04:29 15:27:54-05:00</t>
  </si>
  <si>
    <t xml:space="preserve">Signature_3173c482-6b38-450d-a44c-4b139cc39c12</t>
  </si>
  <si>
    <t xml:space="preserve">2024-04-29 15:27:52-05:00</t>
  </si>
  <si>
    <t xml:space="preserve">2024:04:29 15:27:52-05:00</t>
  </si>
  <si>
    <t xml:space="preserve">[0 - 838445], [854831 - 859426]</t>
  </si>
  <si>
    <t xml:space="preserve">Signature_869eb1f5-53ac-4e22-82e2-79afb31ce9b8</t>
  </si>
  <si>
    <t xml:space="preserve">2024-04-29 15:27:47-05:00</t>
  </si>
  <si>
    <t xml:space="preserve">2024:04:29 15:27:47-05:00</t>
  </si>
  <si>
    <t xml:space="preserve">[0 - 834835], [851221 - 855819]</t>
  </si>
  <si>
    <t xml:space="preserve">Signature_f803cce0-1b08-433e-848d-b03c65ce13a6</t>
  </si>
  <si>
    <t xml:space="preserve">2024-04-29 15:27:56-05:00</t>
  </si>
  <si>
    <t xml:space="preserve">2024:04:29 15:27:56-05:00</t>
  </si>
  <si>
    <t xml:space="preserve">[0 - 739708], [756094 - 760682]</t>
  </si>
  <si>
    <t xml:space="preserve">Signature_be32b29f-c253-4c18-aa3d-97f130e34b18</t>
  </si>
  <si>
    <t xml:space="preserve">2024-04-29 15:27:48-05:00</t>
  </si>
  <si>
    <t xml:space="preserve">2024:04:29 15:27:48-05:00</t>
  </si>
  <si>
    <t xml:space="preserve">Signature_84e9d66f-ffd8-4bfe-add7-926654dd5611</t>
  </si>
  <si>
    <t xml:space="preserve">2024-04-29 15:27:44-05:00</t>
  </si>
  <si>
    <t xml:space="preserve">2024:04:29 15:27:44-05:00</t>
  </si>
  <si>
    <t xml:space="preserve">[0 - 828240], [844626 - 853113]</t>
  </si>
  <si>
    <t xml:space="preserve">Signature_d7882268-862f-446e-b109-bec441f2e712</t>
  </si>
  <si>
    <t xml:space="preserve">2024-04-29 15:27:45-05:00</t>
  </si>
  <si>
    <t xml:space="preserve">2024:04:29 15:27:45-05:00</t>
  </si>
  <si>
    <t xml:space="preserve">[0 - 107832], [124218 - 129569]</t>
  </si>
  <si>
    <t xml:space="preserve">Signature_78111684-fbba-4830-8390-63ca2e4235a4</t>
  </si>
  <si>
    <t xml:space="preserve">2024-04-29 15:28:00-05:00</t>
  </si>
  <si>
    <t xml:space="preserve">2024:04:29 15:28:00-05:00</t>
  </si>
  <si>
    <t xml:space="preserve">Signature_4ec31da4-11ec-4b59-83d2-a7ba541a4752</t>
  </si>
  <si>
    <t xml:space="preserve">2024-04-29 15:27:49-05:00</t>
  </si>
  <si>
    <t xml:space="preserve">2024:04:29 15:27:49-05:00</t>
  </si>
  <si>
    <t xml:space="preserve">[0 - 249528], [265914 - 274401]</t>
  </si>
  <si>
    <t xml:space="preserve">Signature_014af734-e0bb-480c-a62c-6005a2828e71</t>
  </si>
  <si>
    <t xml:space="preserve">2024-04-29 15:28:03-05:00</t>
  </si>
  <si>
    <t xml:space="preserve">2024:04:29 15:28:03-05:00</t>
  </si>
  <si>
    <t xml:space="preserve">[0 - 674011], [690397 - 695861]</t>
  </si>
  <si>
    <t xml:space="preserve">235 0 obj</t>
  </si>
  <si>
    <t xml:space="preserve">Signature_3e3348c6-f333-4ef6-b7b2-4258c8378c6e</t>
  </si>
  <si>
    <t xml:space="preserve">2024-04-29 15:30:03-05:00</t>
  </si>
  <si>
    <t xml:space="preserve">2024:04:29 15:30:04-05:00</t>
  </si>
  <si>
    <t xml:space="preserve">[0 - 482895], [499281 - 502073]</t>
  </si>
  <si>
    <t xml:space="preserve">Signature_874602c3-1141-4e06-9739-23cd8597cc96</t>
  </si>
  <si>
    <t xml:space="preserve">2024-04-29 15:29:48-05:00</t>
  </si>
  <si>
    <t xml:space="preserve">2024:04:29 15:29:48-05:00</t>
  </si>
  <si>
    <t xml:space="preserve">[0 - 904981], [921367 - 926610]</t>
  </si>
  <si>
    <t xml:space="preserve">Signature_a236e9e6-d6de-4911-9243-b691c5ef07d3</t>
  </si>
  <si>
    <t xml:space="preserve">2024-04-29 15:29:59-05:00</t>
  </si>
  <si>
    <t xml:space="preserve">2024:04:29 15:29:59-05:00</t>
  </si>
  <si>
    <t xml:space="preserve">[0 - 246552], [262938 - 268327]</t>
  </si>
  <si>
    <t xml:space="preserve">Signature_a1771ac9-3ca9-4747-9961-0cd1f7b29dd4</t>
  </si>
  <si>
    <t xml:space="preserve">2024-04-29 15:29:58-05:00</t>
  </si>
  <si>
    <t xml:space="preserve">2024:04:29 15:29:58-05:00</t>
  </si>
  <si>
    <t xml:space="preserve">[0 - 93938], [110324 - 114988]</t>
  </si>
  <si>
    <t xml:space="preserve">Signature_080893b2-edad-4706-ac9e-004c1049d191</t>
  </si>
  <si>
    <t xml:space="preserve">2024-04-29 15:29:56-05:00</t>
  </si>
  <si>
    <t xml:space="preserve">2024:04:29 15:29:56-05:00</t>
  </si>
  <si>
    <t xml:space="preserve">[0 - 236056], [252442 - 257927]</t>
  </si>
  <si>
    <t xml:space="preserve">Signature_2ee4902c-a83b-4a5d-b9a0-0e4db312ec9d</t>
  </si>
  <si>
    <t xml:space="preserve">2024-04-29 15:29:52-05:00</t>
  </si>
  <si>
    <t xml:space="preserve">2024:04:29 15:29:52-05:00</t>
  </si>
  <si>
    <t xml:space="preserve">[0 - 822223], [838609 - 844180]</t>
  </si>
  <si>
    <t xml:space="preserve">Signature_1bb5d995-71e5-4ca5-b1c0-3808e0dfa5a4</t>
  </si>
  <si>
    <t xml:space="preserve">2024-04-29 15:29:50-05:00</t>
  </si>
  <si>
    <t xml:space="preserve">2024:04:29 15:29:50-05:00</t>
  </si>
  <si>
    <t xml:space="preserve">[0 - 821903], [838289 - 843861]</t>
  </si>
  <si>
    <t xml:space="preserve">Signature_73ed22c9-3779-40e3-a62d-74ee085b92b7</t>
  </si>
  <si>
    <t xml:space="preserve">2024-04-29 15:29:49-05:00</t>
  </si>
  <si>
    <t xml:space="preserve">2024:04:29 15:29:49-05:00</t>
  </si>
  <si>
    <t xml:space="preserve">[0 - 833791], [850177 - 854773]</t>
  </si>
  <si>
    <t xml:space="preserve">Signature_9ecc1e58-9915-483c-a21d-6ebbb790f3bf</t>
  </si>
  <si>
    <t xml:space="preserve">2024-04-29 15:29:47-05:00</t>
  </si>
  <si>
    <t xml:space="preserve">2024:04:29 15:29:47-05:00</t>
  </si>
  <si>
    <t xml:space="preserve">[0 - 248712], [265098 - 269707]</t>
  </si>
  <si>
    <t xml:space="preserve">Signature_99fdfac7-fa54-4669-bf31-ef24ce1a6b79</t>
  </si>
  <si>
    <t xml:space="preserve">2024-04-29 15:30:00-05:00</t>
  </si>
  <si>
    <t xml:space="preserve">2024:04:29 15:30:00-05:00</t>
  </si>
  <si>
    <t xml:space="preserve">[0 - 433501], [449887 - 454551]</t>
  </si>
  <si>
    <t xml:space="preserve">Signature_00526008-aa31-4efc-bf50-5442194ffd10</t>
  </si>
  <si>
    <t xml:space="preserve">2024-04-29 15:29:57-05:00</t>
  </si>
  <si>
    <t xml:space="preserve">2024:04:29 15:29:57-05:00</t>
  </si>
  <si>
    <t xml:space="preserve">[0 - 872037], [888423 - 893399]</t>
  </si>
  <si>
    <t xml:space="preserve">Signature_81f9cbc3-ee58-43ff-bfd6-c026b051dda8</t>
  </si>
  <si>
    <t xml:space="preserve">2024-04-29 15:29:54-05:00</t>
  </si>
  <si>
    <t xml:space="preserve">2024:04:29 15:29:54-05:00</t>
  </si>
  <si>
    <t xml:space="preserve">[0 - 896083], [912469 - 917466]</t>
  </si>
  <si>
    <t xml:space="preserve">Signature_627e7860-1820-42b0-8d6b-d35a06ee48bf</t>
  </si>
  <si>
    <t xml:space="preserve">2024-04-29 15:29:45-05:00</t>
  </si>
  <si>
    <t xml:space="preserve">2024:04:29 15:29:45-05:00</t>
  </si>
  <si>
    <t xml:space="preserve">[0 - 191768], [208154 - 212781]</t>
  </si>
  <si>
    <t xml:space="preserve">Signature_0ccc9f88-152b-4589-ac01-dfb55587dd37</t>
  </si>
  <si>
    <t xml:space="preserve">2024-04-29 15:29:55-05:00</t>
  </si>
  <si>
    <t xml:space="preserve">2024:04:29 15:29:55-05:00</t>
  </si>
  <si>
    <t xml:space="preserve">[0 - 156968], [173354 - 178702]</t>
  </si>
  <si>
    <t xml:space="preserve">Signature_3bbdbcc7-c7a1-49bb-95c8-6790bc9b155c</t>
  </si>
  <si>
    <t xml:space="preserve">2024-04-29 15:29:51-05:00</t>
  </si>
  <si>
    <t xml:space="preserve">2024:04:29 15:29:51-05:00</t>
  </si>
  <si>
    <t xml:space="preserve">[0 - 71305], [87691 - 96185]</t>
  </si>
  <si>
    <t xml:space="preserve">Signature_f59af05f-6789-4027-8c71-6aa12bc523dc</t>
  </si>
  <si>
    <t xml:space="preserve">2024-04-29 15:29:46-05:00</t>
  </si>
  <si>
    <t xml:space="preserve">2024:04:29 15:29:46-05:00</t>
  </si>
  <si>
    <t xml:space="preserve">[0 - 72687], [89073 - 97564]</t>
  </si>
  <si>
    <t xml:space="preserve">Signature_061a7679-f7f9-4e15-8eaf-521ac5fa3c28</t>
  </si>
  <si>
    <t xml:space="preserve">2024-04-29 15:30:02-05:00</t>
  </si>
  <si>
    <t xml:space="preserve">2024:04:29 15:30:02-05:00</t>
  </si>
  <si>
    <t xml:space="preserve">[0 - 859406], [875792 - 881131]</t>
  </si>
  <si>
    <t xml:space="preserve">Signature_74be8e40-11ba-4ad2-bca9-d54c5e4ddbbd</t>
  </si>
  <si>
    <t xml:space="preserve">2024-04-29 15:30:01-05:00</t>
  </si>
  <si>
    <t xml:space="preserve">2024:04:29 15:30:01-05:00</t>
  </si>
  <si>
    <t xml:space="preserve">[0 - 624578], [640964 - 646143]</t>
  </si>
  <si>
    <t xml:space="preserve">Signature_9f50b380-b9d1-4aac-a560-07c6120cfbd6</t>
  </si>
  <si>
    <t xml:space="preserve">2024-04-29 03:04:31-05:00</t>
  </si>
  <si>
    <t xml:space="preserve">2024:04:29 03:04:31-05:00</t>
  </si>
  <si>
    <t xml:space="preserve">[0 - 189491], [205877 - 211258]</t>
  </si>
  <si>
    <t xml:space="preserve">Signature_413920b0-8625-4f9b-a532-2ea8fe5d4877</t>
  </si>
  <si>
    <t xml:space="preserve">2024-04-29 03:04:37-05:00</t>
  </si>
  <si>
    <t xml:space="preserve">2024:04:29 03:04:37-05:00</t>
  </si>
  <si>
    <t xml:space="preserve">[0 - 386029], [402415 - 407032]</t>
  </si>
  <si>
    <t xml:space="preserve">Signature_806e0f53-49b2-4f6d-80a8-907611d49ebc</t>
  </si>
  <si>
    <t xml:space="preserve">2024-04-29 03:04:41-05:00</t>
  </si>
  <si>
    <t xml:space="preserve">2024:04:29 03:04:41-05:00</t>
  </si>
  <si>
    <t xml:space="preserve">[0 - 479868], [496254 - 499046]</t>
  </si>
  <si>
    <t xml:space="preserve">Signature_fc388159-e538-4a0c-be4f-97a198796acf</t>
  </si>
  <si>
    <t xml:space="preserve">2024-04-29 03:04:24-05:00</t>
  </si>
  <si>
    <t xml:space="preserve">2024:04:29 03:04:24-05:00</t>
  </si>
  <si>
    <t xml:space="preserve">Signature_4b2050af-1ecd-462d-b493-6646d5f31d76</t>
  </si>
  <si>
    <t xml:space="preserve">2024-04-29 03:04:36-05:00</t>
  </si>
  <si>
    <t xml:space="preserve">2024:04:29 03:04:36-05:00</t>
  </si>
  <si>
    <t xml:space="preserve">[0 - 319006], [335392 - 340926]</t>
  </si>
  <si>
    <t xml:space="preserve">Signature_ccc914de-c858-4fe2-a32f-5c27b21164b6</t>
  </si>
  <si>
    <t xml:space="preserve">2024-04-29 03:04:35-05:00</t>
  </si>
  <si>
    <t xml:space="preserve">2024:04:29 03:04:35-05:00</t>
  </si>
  <si>
    <t xml:space="preserve">Signature_966a82a7-d94f-420c-8599-31146b4b4167</t>
  </si>
  <si>
    <t xml:space="preserve">2024-04-29 03:04:22-05:00</t>
  </si>
  <si>
    <t xml:space="preserve">2024:04:29 03:04:22-05:00</t>
  </si>
  <si>
    <t xml:space="preserve">Signature_4f637f45-8b88-42e5-9624-9231e3b5181f</t>
  </si>
  <si>
    <t xml:space="preserve">2024-04-29 03:04:38-05:00</t>
  </si>
  <si>
    <t xml:space="preserve">2024:04:29 03:04:38-05:00</t>
  </si>
  <si>
    <t xml:space="preserve">[0 - 321263], [337649 - 342642]</t>
  </si>
  <si>
    <t xml:space="preserve">Signature_b8efcb3f-6949-4c4e-8c18-c8b18d9d0c25</t>
  </si>
  <si>
    <t xml:space="preserve">2024-04-29 03:04:39-05:00</t>
  </si>
  <si>
    <t xml:space="preserve">2024:04:29 03:04:39-05:00</t>
  </si>
  <si>
    <t xml:space="preserve">[0 - 319305], [335691 - 340684]</t>
  </si>
  <si>
    <t xml:space="preserve">Signature_0b9686ee-42ab-4bb3-b4ce-aefb7b16b324</t>
  </si>
  <si>
    <t xml:space="preserve">2024-04-29 03:04:27-05:00</t>
  </si>
  <si>
    <t xml:space="preserve">2024:04:29 03:04:27-05:00</t>
  </si>
  <si>
    <t xml:space="preserve">[0 - 822701], [839087 - 844619]</t>
  </si>
  <si>
    <t xml:space="preserve">Signature_b4ff8613-4d05-4afd-835e-e35964a9ceb6</t>
  </si>
  <si>
    <t xml:space="preserve">2024-04-29 03:04:25-05:00</t>
  </si>
  <si>
    <t xml:space="preserve">2024:04:29 03:04:25-05:00</t>
  </si>
  <si>
    <t xml:space="preserve">[0 - 234666], [251052 - 255665]</t>
  </si>
  <si>
    <t xml:space="preserve">Signature_4993f548-d487-4939-88a3-22953d27640d</t>
  </si>
  <si>
    <t xml:space="preserve">2024-04-29 03:04:23-05:00</t>
  </si>
  <si>
    <t xml:space="preserve">2024:04:29 03:04:23-05:00</t>
  </si>
  <si>
    <t xml:space="preserve">[0 - 234644], [251030 - 255641]</t>
  </si>
  <si>
    <t xml:space="preserve">Signature_ef5b8528-8523-4591-8bc5-34657fd497ed</t>
  </si>
  <si>
    <t xml:space="preserve">2024-04-29 03:04:32-05:00</t>
  </si>
  <si>
    <t xml:space="preserve">2024:04:29 03:04:32-05:00</t>
  </si>
  <si>
    <t xml:space="preserve">Signature_32f6b10b-06b9-477b-9ab3-5290f4e2a1d8</t>
  </si>
  <si>
    <t xml:space="preserve">2024-04-29 03:04:29-05:00</t>
  </si>
  <si>
    <t xml:space="preserve">2024:04:29 03:04:29-05:00</t>
  </si>
  <si>
    <t xml:space="preserve">[0 - 802150], [818536 - 823507]</t>
  </si>
  <si>
    <t xml:space="preserve">Signature_d21416fb-32bb-4bdd-b7f4-a130ec13cc3c</t>
  </si>
  <si>
    <t xml:space="preserve">2024-04-29 03:04:28-05:00</t>
  </si>
  <si>
    <t xml:space="preserve">2024:04:29 03:04:28-05:00</t>
  </si>
  <si>
    <t xml:space="preserve">[0 - 891708], [908094 - 913100]</t>
  </si>
  <si>
    <t xml:space="preserve">Signature_9fbde696-3ca9-4dad-b3c2-fd3152f64856</t>
  </si>
  <si>
    <t xml:space="preserve">2024-04-29 03:04:26-05:00</t>
  </si>
  <si>
    <t xml:space="preserve">2024:04:29 03:04:26-05:00</t>
  </si>
  <si>
    <t xml:space="preserve">Signature_fc64957a-bd8f-4d84-b1ef-f1594f1752ad</t>
  </si>
  <si>
    <t xml:space="preserve">2024-04-29 03:04:40-05:00</t>
  </si>
  <si>
    <t xml:space="preserve">2024:04:29 03:04:40-05:00</t>
  </si>
  <si>
    <t xml:space="preserve">[0 - 386395], [402781 - 410326]</t>
  </si>
  <si>
    <t xml:space="preserve">439 0 obj</t>
  </si>
  <si>
    <t xml:space="preserve">Signature_8353b0c1-3f57-4954-a7e6-88de26de22d1</t>
  </si>
  <si>
    <t xml:space="preserve">2024-04-29 03:04:33-05:00</t>
  </si>
  <si>
    <t xml:space="preserve">2024:04:29 03:04:33-05:00</t>
  </si>
  <si>
    <t xml:space="preserve">[0 - 172507], [188893 - 194379]</t>
  </si>
  <si>
    <t xml:space="preserve">Signature_c8d4175a-5564-493c-83d6-43ca009b86cd</t>
  </si>
  <si>
    <t xml:space="preserve">2024-04-29 03:04:30-05:00</t>
  </si>
  <si>
    <t xml:space="preserve">2024:04:29 03:04:30-05:00</t>
  </si>
  <si>
    <t xml:space="preserve">[0 - 156968], [173354 - 178713]</t>
  </si>
  <si>
    <t xml:space="preserve">Signature_f5ac1601-4fce-46d8-a0f1-b91c764e40b8</t>
  </si>
  <si>
    <t xml:space="preserve">2024-04-29 03:04:20-05:00</t>
  </si>
  <si>
    <t xml:space="preserve">2024:04:29 03:04:20-05:00</t>
  </si>
  <si>
    <t xml:space="preserve">[0 - 63378], [79764 - 88249]</t>
  </si>
  <si>
    <t xml:space="preserve">Signature_f0ebcfaf-1b6f-44ae-b40c-b81d5fa03f70</t>
  </si>
  <si>
    <t xml:space="preserve">2024-04-29 15:31:56-05:00</t>
  </si>
  <si>
    <t xml:space="preserve">2024:04:29 15:31:56-05:00</t>
  </si>
  <si>
    <t xml:space="preserve">[0 - 180731], [197117 - 201648]</t>
  </si>
  <si>
    <t xml:space="preserve">Signature_9868b565-4227-493b-9f8d-3ed2bc50bc25</t>
  </si>
  <si>
    <t xml:space="preserve">2024-04-29 15:32:05-05:00</t>
  </si>
  <si>
    <t xml:space="preserve">2024:04:29 15:32:05-05:00</t>
  </si>
  <si>
    <t xml:space="preserve">[0 - 94955], [111341 - 112598]</t>
  </si>
  <si>
    <t xml:space="preserve">Signature_9eb5d4ef-f19b-4f15-8124-ed23f5050f26</t>
  </si>
  <si>
    <t xml:space="preserve">2024-04-29 15:31:45-05:00</t>
  </si>
  <si>
    <t xml:space="preserve">2024:04:29 15:31:45-05:00</t>
  </si>
  <si>
    <t xml:space="preserve">[0 - 754324], [770710 - 775867]</t>
  </si>
  <si>
    <t xml:space="preserve">Signature_597cec3d-8254-4de3-8635-dc6e7fd7afc0</t>
  </si>
  <si>
    <t xml:space="preserve">2024-04-29 15:32:03-05:00</t>
  </si>
  <si>
    <t xml:space="preserve">2024:04:29 15:32:03-05:00</t>
  </si>
  <si>
    <t xml:space="preserve">[0 - 105381], [121767 - 130254]</t>
  </si>
  <si>
    <t xml:space="preserve">Signature_1c16d1dc-946c-41b1-92cc-9e51d4044089</t>
  </si>
  <si>
    <t xml:space="preserve">2024-04-29 15:32:01-05:00</t>
  </si>
  <si>
    <t xml:space="preserve">2024:04:29 15:32:01-05:00</t>
  </si>
  <si>
    <t xml:space="preserve">[0 - 88447], [104833 - 113319]</t>
  </si>
  <si>
    <t xml:space="preserve">Signature_47d53125-df1f-41f7-a4f5-8cd475085564</t>
  </si>
  <si>
    <t xml:space="preserve">2024-04-29 15:32:02-05:00</t>
  </si>
  <si>
    <t xml:space="preserve">2024:04:29 15:32:02-05:00</t>
  </si>
  <si>
    <t xml:space="preserve">[0 - 73846], [90232 - 98717]</t>
  </si>
  <si>
    <t xml:space="preserve">Signature_f23298db-b29b-44e8-9379-a6f635fee700</t>
  </si>
  <si>
    <t xml:space="preserve">2024-04-29 15:32:00-05:00</t>
  </si>
  <si>
    <t xml:space="preserve">2024:04:29 15:32:00-05:00</t>
  </si>
  <si>
    <t xml:space="preserve">[0 - 73474], [89860 - 98345]</t>
  </si>
  <si>
    <t xml:space="preserve">Signature_4c61b071-3562-4473-a792-282e6529e2e7</t>
  </si>
  <si>
    <t xml:space="preserve">2024-04-29 15:31:58-05:00</t>
  </si>
  <si>
    <t xml:space="preserve">2024:04:29 15:31:58-05:00</t>
  </si>
  <si>
    <t xml:space="preserve">[0 - 425024], [441410 - 449897]</t>
  </si>
  <si>
    <t xml:space="preserve">Signature_2a6a847c-64c8-48b7-b95d-2dea3e2ef6ce</t>
  </si>
  <si>
    <t xml:space="preserve">2024-04-29 15:31:52-05:00</t>
  </si>
  <si>
    <t xml:space="preserve">2024:04:29 15:31:52-05:00</t>
  </si>
  <si>
    <t xml:space="preserve">[0 - 442735], [459121 - 467608]</t>
  </si>
  <si>
    <t xml:space="preserve">Signature_8265384b-8978-47ec-bd96-2c54edcb813f</t>
  </si>
  <si>
    <t xml:space="preserve">2024-04-29 15:31:53-05:00</t>
  </si>
  <si>
    <t xml:space="preserve">2024:04:29 15:31:53-05:00</t>
  </si>
  <si>
    <t xml:space="preserve">[0 - 408104], [424490 - 432977]</t>
  </si>
  <si>
    <t xml:space="preserve">Signature_1181152a-dce2-448a-9958-d60e0ca16056</t>
  </si>
  <si>
    <t xml:space="preserve">2024-04-29 15:32:04-05:00</t>
  </si>
  <si>
    <t xml:space="preserve">2024:04:29 15:32:04-05:00</t>
  </si>
  <si>
    <t xml:space="preserve">[0 - 247866], [264252 - 269731]</t>
  </si>
  <si>
    <t xml:space="preserve">Signature_42eab9ce-b06e-409c-8bb2-74a6c65e788d</t>
  </si>
  <si>
    <t xml:space="preserve">2024-04-29 15:31:55-05:00</t>
  </si>
  <si>
    <t xml:space="preserve">2024:04:29 15:31:55-05:00</t>
  </si>
  <si>
    <t xml:space="preserve">[0 - 825913], [842299 - 847842]</t>
  </si>
  <si>
    <t xml:space="preserve">Signature_e5b8f4c3-d974-49af-a594-d48e9bdf602d</t>
  </si>
  <si>
    <t xml:space="preserve">2024-04-29 15:31:50-05:00</t>
  </si>
  <si>
    <t xml:space="preserve">2024:04:29 15:31:50-05:00</t>
  </si>
  <si>
    <t xml:space="preserve">[0 - 237277], [253663 - 259150]</t>
  </si>
  <si>
    <t xml:space="preserve">Signature_dc72a7f7-1422-4495-b6a2-87db9b889e33</t>
  </si>
  <si>
    <t xml:space="preserve">2024-04-29 15:31:49-05:00</t>
  </si>
  <si>
    <t xml:space="preserve">2024:04:29 15:31:49-05:00</t>
  </si>
  <si>
    <t xml:space="preserve">[0 - 821659], [838045 - 843616]</t>
  </si>
  <si>
    <t xml:space="preserve">Signature_868c7b36-f435-4b26-bc7c-ad20e2411f65</t>
  </si>
  <si>
    <t xml:space="preserve">2024-04-29 15:31:48-05:00</t>
  </si>
  <si>
    <t xml:space="preserve">2024:04:29 15:31:48-05:00</t>
  </si>
  <si>
    <t xml:space="preserve">[0 - 889381], [905767 - 910364]</t>
  </si>
  <si>
    <t xml:space="preserve">Signature_e1c7d9d2-fc7d-4b8b-9784-dcff0048c7ba</t>
  </si>
  <si>
    <t xml:space="preserve">2024-04-29 15:31:47-05:00</t>
  </si>
  <si>
    <t xml:space="preserve">2024:04:29 15:31:47-05:00</t>
  </si>
  <si>
    <t xml:space="preserve">[0 - 810742], [827128 - 832283]</t>
  </si>
  <si>
    <t xml:space="preserve">Signature_288e2dbf-4902-49f5-96d2-6882eb52e5ea</t>
  </si>
  <si>
    <t xml:space="preserve">2024-04-29 15:31:46-05:00</t>
  </si>
  <si>
    <t xml:space="preserve">2024:04:29 15:31:46-05:00</t>
  </si>
  <si>
    <t xml:space="preserve">[0 - 862419], [878805 - 885880]</t>
  </si>
  <si>
    <t xml:space="preserve">Signature_14edcbec-99f6-4bb5-924c-2fb4086dada3</t>
  </si>
  <si>
    <t xml:space="preserve">2024-04-29 15:31:51-05:00</t>
  </si>
  <si>
    <t xml:space="preserve">2024:04:29 15:31:51-05:00</t>
  </si>
  <si>
    <t xml:space="preserve">[0 - 964406], [980792 - 989323]</t>
  </si>
  <si>
    <t xml:space="preserve">Signature_b3e035ef-7e82-40cf-b120-eb06b1237734</t>
  </si>
  <si>
    <t xml:space="preserve">2024-04-29 15:31:57-05:00</t>
  </si>
  <si>
    <t xml:space="preserve">2024:04:29 15:31:57-05:00</t>
  </si>
  <si>
    <t xml:space="preserve">[0 - 282468], [298854 - 307341]</t>
  </si>
  <si>
    <t xml:space="preserve">Signature_9ec9adb7-2c5d-41ec-898f-eb18747d077d</t>
  </si>
  <si>
    <t xml:space="preserve">2024-04-29 15:31:54-05:00</t>
  </si>
  <si>
    <t xml:space="preserve">2024:04:29 15:31:54-05:00</t>
  </si>
  <si>
    <t xml:space="preserve">[0 - 247432], [263818 - 272305]</t>
  </si>
  <si>
    <t xml:space="preserve">Signature_5ab7b65a-9524-472b-846e-0d728d7e0cb4</t>
  </si>
  <si>
    <t xml:space="preserve">2024-04-29 16:12:11-05:00</t>
  </si>
  <si>
    <t xml:space="preserve">2024:04:29 16:12:12-05:00</t>
  </si>
  <si>
    <t xml:space="preserve">[0 - 467527], [483913 - 487042]</t>
  </si>
  <si>
    <t xml:space="preserve">Signature_e104627a-315a-45d0-a42a-5e4cc7986ef6</t>
  </si>
  <si>
    <t xml:space="preserve">2024-04-29 16:11:43-05:00</t>
  </si>
  <si>
    <t xml:space="preserve">2024:04:29 16:11:43-05:00</t>
  </si>
  <si>
    <t xml:space="preserve">[0 - 887806], [904192 - 909477]</t>
  </si>
  <si>
    <t xml:space="preserve">241 0 obj</t>
  </si>
  <si>
    <t xml:space="preserve">Signature_61d258aa-e7c5-4a63-b0aa-b7896cca77ed</t>
  </si>
  <si>
    <t xml:space="preserve">2024-04-29 16:12:05-05:00</t>
  </si>
  <si>
    <t xml:space="preserve">2024:04:29 16:12:05-05:00</t>
  </si>
  <si>
    <t xml:space="preserve">[0 - 728018], [744404 - 748984]</t>
  </si>
  <si>
    <t xml:space="preserve">Signature_10b3484a-4383-4166-95d9-f268955d594f</t>
  </si>
  <si>
    <t xml:space="preserve">2024-04-29 16:12:03-05:00</t>
  </si>
  <si>
    <t xml:space="preserve">2024:04:29 16:12:03-05:00</t>
  </si>
  <si>
    <t xml:space="preserve">[0 - 76081], [92467 - 100953]</t>
  </si>
  <si>
    <t xml:space="preserve">Signature_7d8efbc1-8139-4285-bd08-3fc1cd537943</t>
  </si>
  <si>
    <t xml:space="preserve">2024-04-29 16:12:00-05:00</t>
  </si>
  <si>
    <t xml:space="preserve">2024:04:29 16:12:00-05:00</t>
  </si>
  <si>
    <t xml:space="preserve">[0 - 77578], [93964 - 102450]</t>
  </si>
  <si>
    <t xml:space="preserve">Signature_36c3b9eb-7622-4126-b3ee-0ceaa4eac3e8</t>
  </si>
  <si>
    <t xml:space="preserve">2024-04-29 16:11:59-05:00</t>
  </si>
  <si>
    <t xml:space="preserve">2024:04:29 16:11:59-05:00</t>
  </si>
  <si>
    <t xml:space="preserve">[0 - 543838], [560224 - 568755]</t>
  </si>
  <si>
    <t xml:space="preserve">Signature_5b12466b-a53a-418d-82a5-2483d48b69ae</t>
  </si>
  <si>
    <t xml:space="preserve">2024-04-29 16:11:58-05:00</t>
  </si>
  <si>
    <t xml:space="preserve">2024:04:29 16:11:58-05:00</t>
  </si>
  <si>
    <t xml:space="preserve">[0 - 78514], [94900 - 103386]</t>
  </si>
  <si>
    <t xml:space="preserve">Signature_056c4305-3a0a-44d9-8dc8-ce2fa6ad0112</t>
  </si>
  <si>
    <t xml:space="preserve">2024-04-29 16:11:56-05:00</t>
  </si>
  <si>
    <t xml:space="preserve">2024:04:29 16:11:56-05:00</t>
  </si>
  <si>
    <t xml:space="preserve">[0 - 465161], [481547 - 490034]</t>
  </si>
  <si>
    <t xml:space="preserve">Signature_49f4571c-2f78-48aa-a22b-5b9cef683e05</t>
  </si>
  <si>
    <t xml:space="preserve">2024-04-29 16:11:55-05:00</t>
  </si>
  <si>
    <t xml:space="preserve">2024:04:29 16:11:55-05:00</t>
  </si>
  <si>
    <t xml:space="preserve">[0 - 439890], [456276 - 464763]</t>
  </si>
  <si>
    <t xml:space="preserve">Signature_649353b1-f785-473a-9c2e-bd0b0feea2e6</t>
  </si>
  <si>
    <t xml:space="preserve">2024-04-29 16:11:52-05:00</t>
  </si>
  <si>
    <t xml:space="preserve">2024:04:29 16:11:52-05:00</t>
  </si>
  <si>
    <t xml:space="preserve">[0 - 76979], [93365 - 101851]</t>
  </si>
  <si>
    <t xml:space="preserve">Signature_b6febf1e-53f5-4cef-abe9-e1195db52514</t>
  </si>
  <si>
    <t xml:space="preserve">2024-04-29 16:11:53-05:00</t>
  </si>
  <si>
    <t xml:space="preserve">2024:04:29 16:11:53-05:00</t>
  </si>
  <si>
    <t xml:space="preserve">[0 - 76574], [92960 - 101446]</t>
  </si>
  <si>
    <t xml:space="preserve">Signature_f51fbb2b-86bf-4cb7-8848-2ab8f02410a3</t>
  </si>
  <si>
    <t xml:space="preserve">2024-04-29 16:11:49-05:00</t>
  </si>
  <si>
    <t xml:space="preserve">2024:04:29 16:11:49-05:00</t>
  </si>
  <si>
    <t xml:space="preserve">[0 - 75084], [91470 - 99955]</t>
  </si>
  <si>
    <t xml:space="preserve">Signature_ce3f8975-eed6-4cfd-b58f-86670f7ffa5e</t>
  </si>
  <si>
    <t xml:space="preserve">2024-04-29 16:11:47-05:00</t>
  </si>
  <si>
    <t xml:space="preserve">2024:04:29 16:11:47-05:00</t>
  </si>
  <si>
    <t xml:space="preserve">[0 - 80095], [96481 - 104967]</t>
  </si>
  <si>
    <t xml:space="preserve">Signature_5db7153e-098b-4aa7-b0a4-15e134164ec2</t>
  </si>
  <si>
    <t xml:space="preserve">2024-04-29 16:11:48-05:00</t>
  </si>
  <si>
    <t xml:space="preserve">2024:04:29 16:11:48-05:00</t>
  </si>
  <si>
    <t xml:space="preserve">[0 - 78760], [95146 - 103632]</t>
  </si>
  <si>
    <t xml:space="preserve">Signature_b5c34c4e-37a0-4284-b417-f9029fc2a70d</t>
  </si>
  <si>
    <t xml:space="preserve">2024-04-29 16:11:37-05:00</t>
  </si>
  <si>
    <t xml:space="preserve">2024:04:29 16:11:37-05:00</t>
  </si>
  <si>
    <t xml:space="preserve">[0 - 718695], [735081 - 740597]</t>
  </si>
  <si>
    <t xml:space="preserve">Signature_1a244676-9601-4a4c-837d-4454625e6c84</t>
  </si>
  <si>
    <t xml:space="preserve">2024-04-29 16:11:44-05:00</t>
  </si>
  <si>
    <t xml:space="preserve">2024:04:29 16:11:44-05:00</t>
  </si>
  <si>
    <t xml:space="preserve">[0 - 114727], [131113 - 136753]</t>
  </si>
  <si>
    <t xml:space="preserve">Signature_bda5c386-bb42-4147-be03-4b2aae4c22e9</t>
  </si>
  <si>
    <t xml:space="preserve">2024-04-29 16:12:10-05:00</t>
  </si>
  <si>
    <t xml:space="preserve">2024:04:29 16:12:10-05:00</t>
  </si>
  <si>
    <t xml:space="preserve">[0 - 135509], [151895 - 160428]</t>
  </si>
  <si>
    <t xml:space="preserve">Signature_a59baeb9-1fb5-41bb-87be-ff789839956c</t>
  </si>
  <si>
    <t xml:space="preserve">2024-04-29 16:12:08-05:00</t>
  </si>
  <si>
    <t xml:space="preserve">2024:04:29 16:12:08-05:00</t>
  </si>
  <si>
    <t xml:space="preserve">[0 - 314323], [330709 - 335295]</t>
  </si>
  <si>
    <t xml:space="preserve">Signature_473110c0-1978-428a-94ef-9d692343d75c</t>
  </si>
  <si>
    <t xml:space="preserve">2024-04-29 16:12:06-05:00</t>
  </si>
  <si>
    <t xml:space="preserve">2024:04:29 16:12:06-05:00</t>
  </si>
  <si>
    <t xml:space="preserve">[0 - 133720], [150106 - 158639]</t>
  </si>
  <si>
    <t xml:space="preserve">Signature_974a4808-a1cb-4892-b304-729b87a478ac</t>
  </si>
  <si>
    <t xml:space="preserve">2024-04-29 16:11:51-05:00</t>
  </si>
  <si>
    <t xml:space="preserve">2024:04:29 16:11:51-05:00</t>
  </si>
  <si>
    <t xml:space="preserve">[0 - 108533], [124919 - 133450]</t>
  </si>
  <si>
    <t xml:space="preserve">Signature_3837055e-04b9-4984-812e-89ce3982ceed</t>
  </si>
  <si>
    <t xml:space="preserve">2024-04-29 16:11:50-05:00</t>
  </si>
  <si>
    <t xml:space="preserve">2024:04:29 16:11:50-05:00</t>
  </si>
  <si>
    <t xml:space="preserve">[0 - 108121], [124507 - 133038]</t>
  </si>
  <si>
    <t xml:space="preserve">Signature_1dd1ba78-6972-4c62-8a74-19f9426f984e</t>
  </si>
  <si>
    <t xml:space="preserve">2024-04-29 16:11:40-05:00</t>
  </si>
  <si>
    <t xml:space="preserve">2024:04:29 16:11:40-05:00</t>
  </si>
  <si>
    <t xml:space="preserve">[0 - 822918], [839304 - 844877]</t>
  </si>
  <si>
    <t xml:space="preserve">Signature_acfa84d1-fed7-4165-aed7-1859c40e912e</t>
  </si>
  <si>
    <t xml:space="preserve">2024-04-29 16:11:42-05:00</t>
  </si>
  <si>
    <t xml:space="preserve">2024:04:29 16:11:42-05:00</t>
  </si>
  <si>
    <t xml:space="preserve">[0 - 398801], [415187 - 420752]</t>
  </si>
  <si>
    <t xml:space="preserve">Signature_feb15b2e-8787-42eb-9c24-f440d921fe69</t>
  </si>
  <si>
    <t xml:space="preserve">2024-04-29 16:11:54-05:00</t>
  </si>
  <si>
    <t xml:space="preserve">2024:04:29 16:11:54-05:00</t>
  </si>
  <si>
    <t xml:space="preserve">[0 - 129039], [145425 - 153956]</t>
  </si>
  <si>
    <t xml:space="preserve">Signature_896b9f7e-dae3-4e42-9bda-8f51674eddea</t>
  </si>
  <si>
    <t xml:space="preserve">2024-04-29 16:11:45-05:00</t>
  </si>
  <si>
    <t xml:space="preserve">2024:04:29 16:11:45-05:00</t>
  </si>
  <si>
    <t xml:space="preserve">[0 - 113211], [129597 - 138128]</t>
  </si>
  <si>
    <t xml:space="preserve">Signature_90fe0f4b-e392-4cf0-8398-12ad13c6188e</t>
  </si>
  <si>
    <t xml:space="preserve">2024-04-29 16:11:38-05:00</t>
  </si>
  <si>
    <t xml:space="preserve">2024:04:29 16:11:38-05:00</t>
  </si>
  <si>
    <t xml:space="preserve">[0 - 739911], [756297 - 760888]</t>
  </si>
  <si>
    <t xml:space="preserve">Signature_5f06f295-2a2a-4189-acac-6d2227e78b9d</t>
  </si>
  <si>
    <t xml:space="preserve">2024-04-29 16:12:09-05:00</t>
  </si>
  <si>
    <t xml:space="preserve">2024:04:29 16:12:09-05:00</t>
  </si>
  <si>
    <t xml:space="preserve">[0 - 114398], [130784 - 139273]</t>
  </si>
  <si>
    <t xml:space="preserve">Signature_bb9d9469-c816-43c3-b703-5d526db98c31</t>
  </si>
  <si>
    <t xml:space="preserve">2024-04-29 16:12:07-05:00</t>
  </si>
  <si>
    <t xml:space="preserve">2024:04:29 16:12:07-05:00</t>
  </si>
  <si>
    <t xml:space="preserve">[0 - 113694], [130080 - 138569]</t>
  </si>
  <si>
    <t xml:space="preserve">Signature_171628cd-b3bc-400c-8bd3-a635c8e13446</t>
  </si>
  <si>
    <t xml:space="preserve">2024-04-29 16:12:02-05:00</t>
  </si>
  <si>
    <t xml:space="preserve">2024:04:29 16:12:02-05:00</t>
  </si>
  <si>
    <t xml:space="preserve">[0 - 121967], [138353 - 146884]</t>
  </si>
  <si>
    <t xml:space="preserve">Signature_a7eef67a-e4f0-4dfb-8e50-dde2a1469f08</t>
  </si>
  <si>
    <t xml:space="preserve">2024-04-29 16:11:46-05:00</t>
  </si>
  <si>
    <t xml:space="preserve">2024:04:29 16:11:46-05:00</t>
  </si>
  <si>
    <t xml:space="preserve">[0 - 82927], [99313 - 107799]</t>
  </si>
  <si>
    <t xml:space="preserve">Signature_cfe14b44-d698-400d-a98f-306c1fba64a7</t>
  </si>
  <si>
    <t xml:space="preserve">2024-04-29 16:11:41-05:00</t>
  </si>
  <si>
    <t xml:space="preserve">2024:04:29 16:11:41-05:00</t>
  </si>
  <si>
    <t xml:space="preserve">[0 - 857949], [874335 - 880365]</t>
  </si>
  <si>
    <t xml:space="preserve">Signature_9f25b5dc-13de-4cf0-b550-780d29ce2d9a</t>
  </si>
  <si>
    <t xml:space="preserve">2024-04-29 16:11:36-05:00</t>
  </si>
  <si>
    <t xml:space="preserve">2024:04:29 16:11:36-05:00</t>
  </si>
  <si>
    <t xml:space="preserve">[0 - 1621687], [1638073 - 1646656]</t>
  </si>
  <si>
    <t xml:space="preserve">Signature_3b932afb-5171-4935-8ec7-df51778e4750</t>
  </si>
  <si>
    <t xml:space="preserve">2024-04-29 16:12:04-05:00</t>
  </si>
  <si>
    <t xml:space="preserve">2024:04:29 16:12:04-05:00</t>
  </si>
  <si>
    <t xml:space="preserve">[0 - 192247], [208633 - 213153]</t>
  </si>
  <si>
    <t xml:space="preserve">Signature_e3405d8b-fdc8-493e-8c74-80df072bdaf1</t>
  </si>
  <si>
    <t xml:space="preserve">2024-04-29 16:13:20-05:00</t>
  </si>
  <si>
    <t xml:space="preserve">2024:04:29 16:13:20-05:00</t>
  </si>
  <si>
    <t xml:space="preserve">[0 - 111964], [128350 - 133738]</t>
  </si>
  <si>
    <t xml:space="preserve">Signature_48f77406-6fc7-46ae-a9fa-0912a2decbf7</t>
  </si>
  <si>
    <t xml:space="preserve">2024-04-29 16:13:06-05:00</t>
  </si>
  <si>
    <t xml:space="preserve">2024:04:29 16:13:06-05:00</t>
  </si>
  <si>
    <t xml:space="preserve">[0 - 207469], [223855 - 229114]</t>
  </si>
  <si>
    <t xml:space="preserve">Signature_44cad477-580a-4621-9f7e-8861dba294bc</t>
  </si>
  <si>
    <t xml:space="preserve">[0 - 347964], [364350 - 370456]</t>
  </si>
  <si>
    <t xml:space="preserve">Signature_203df45c-118c-429b-a090-775161d8ba9b</t>
  </si>
  <si>
    <t xml:space="preserve">2024-04-29 16:13:22-05:00</t>
  </si>
  <si>
    <t xml:space="preserve">2024:04:29 16:13:23-05:00</t>
  </si>
  <si>
    <t xml:space="preserve">[0 - 441641], [458027 - 461062]</t>
  </si>
  <si>
    <t xml:space="preserve">Signature_b8f54f23-e584-4267-b1b8-09ea75f0afc0</t>
  </si>
  <si>
    <t xml:space="preserve">2024-04-29 16:13:12-05:00</t>
  </si>
  <si>
    <t xml:space="preserve">2024:04:29 16:13:12-05:00</t>
  </si>
  <si>
    <t xml:space="preserve">[0 - 797509], [813895 - 819125]</t>
  </si>
  <si>
    <t xml:space="preserve">Signature_59905410-c80b-4297-a81d-e508284b9752</t>
  </si>
  <si>
    <t xml:space="preserve">2024-04-29 16:13:13-05:00</t>
  </si>
  <si>
    <t xml:space="preserve">2024:04:29 16:13:13-05:00</t>
  </si>
  <si>
    <t xml:space="preserve">[0 - 413980], [430366 - 438853]</t>
  </si>
  <si>
    <t xml:space="preserve">Signature_866360f1-94b3-4327-9391-d246175d459f</t>
  </si>
  <si>
    <t xml:space="preserve">2024-04-29 16:13:04-05:00</t>
  </si>
  <si>
    <t xml:space="preserve">2024:04:29 16:13:04-05:00</t>
  </si>
  <si>
    <t xml:space="preserve">[0 - 81124], [97510 - 101955]</t>
  </si>
  <si>
    <t xml:space="preserve">Signature_49465f0a-138f-4f64-8826-7137112b49c9</t>
  </si>
  <si>
    <t xml:space="preserve">2024-04-29 16:13:03-05:00</t>
  </si>
  <si>
    <t xml:space="preserve">2024:04:29 16:13:03-05:00</t>
  </si>
  <si>
    <t xml:space="preserve">[0 - 30567], [46953 - 51334]</t>
  </si>
  <si>
    <t xml:space="preserve">20 0 obj</t>
  </si>
  <si>
    <t xml:space="preserve">Signature_7941d043-cf90-464c-9f04-0a7b30c132a0</t>
  </si>
  <si>
    <t xml:space="preserve">2024-04-29 16:13:01-05:00</t>
  </si>
  <si>
    <t xml:space="preserve">2024:04:29 16:13:01-05:00</t>
  </si>
  <si>
    <t xml:space="preserve">[0 - 82862], [99248 - 103693]</t>
  </si>
  <si>
    <t xml:space="preserve">Signature_970195eb-ca50-4ebf-8c9c-d77c7be449b8</t>
  </si>
  <si>
    <t xml:space="preserve">2024-04-29 16:13:00-05:00</t>
  </si>
  <si>
    <t xml:space="preserve">2024:04:29 16:13:00-05:00</t>
  </si>
  <si>
    <t xml:space="preserve">[0 - 82309], [98695 - 103140]</t>
  </si>
  <si>
    <t xml:space="preserve">Signature_e5895dcf-6b69-41f5-a0b4-219c84d2493c</t>
  </si>
  <si>
    <t xml:space="preserve">2024-04-29 16:13:11-05:00</t>
  </si>
  <si>
    <t xml:space="preserve">2024:04:29 16:13:11-05:00</t>
  </si>
  <si>
    <t xml:space="preserve">[0 - 97792], [114178 - 118679]</t>
  </si>
  <si>
    <t xml:space="preserve">Signature_d05bcb40-5781-4dba-94a7-6c731009c94c</t>
  </si>
  <si>
    <t xml:space="preserve">2024-04-29 16:13:21-05:00</t>
  </si>
  <si>
    <t xml:space="preserve">2024:04:29 16:13:21-05:00</t>
  </si>
  <si>
    <t xml:space="preserve">[0 - 133296], [149682 - 158215]</t>
  </si>
  <si>
    <t xml:space="preserve">Signature_fc6b44d2-3b55-4665-a040-d419bebf455c</t>
  </si>
  <si>
    <t xml:space="preserve">[0 - 933924], [950310 - 958841]</t>
  </si>
  <si>
    <t xml:space="preserve">Signature_431de666-5277-47dd-aa7a-a399e309d350</t>
  </si>
  <si>
    <t xml:space="preserve">2024-04-29 16:13:08-05:00</t>
  </si>
  <si>
    <t xml:space="preserve">2024:04:29 16:13:08-05:00</t>
  </si>
  <si>
    <t xml:space="preserve">[0 - 833663], [850049 - 854644]</t>
  </si>
  <si>
    <t xml:space="preserve">Signature_4d8003c6-cd0a-453f-b72a-963cc7f2df5b</t>
  </si>
  <si>
    <t xml:space="preserve">2024-04-29 16:13:05-05:00</t>
  </si>
  <si>
    <t xml:space="preserve">2024:04:29 16:13:05-05:00</t>
  </si>
  <si>
    <t xml:space="preserve">[0 - 248394], [264780 - 269390]</t>
  </si>
  <si>
    <t xml:space="preserve">Signature_67b35383-4580-4d20-8322-9d648eeeafe4</t>
  </si>
  <si>
    <t xml:space="preserve">2024-04-29 16:13:02-05:00</t>
  </si>
  <si>
    <t xml:space="preserve">2024:04:29 16:13:02-05:00</t>
  </si>
  <si>
    <t xml:space="preserve">[0 - 145139], [161525 - 165965]</t>
  </si>
  <si>
    <t xml:space="preserve">Signature_5412f8be-c97c-4329-a525-21c2ea77d862</t>
  </si>
  <si>
    <t xml:space="preserve">2024-04-29 16:12:59-05:00</t>
  </si>
  <si>
    <t xml:space="preserve">2024:04:29 16:12:59-05:00</t>
  </si>
  <si>
    <t xml:space="preserve">[0 - 147797], [164183 - 168629]</t>
  </si>
  <si>
    <t xml:space="preserve">Signature_25861187-a14e-411e-91aa-290dbd946b05</t>
  </si>
  <si>
    <t xml:space="preserve">2024-04-29 16:13:14-05:00</t>
  </si>
  <si>
    <t xml:space="preserve">2024:04:29 16:13:14-05:00</t>
  </si>
  <si>
    <t xml:space="preserve">[0 - 917835], [934221 - 938791]</t>
  </si>
  <si>
    <t xml:space="preserve">Signature_974c7e01-951a-4a40-8c41-b50e443d25a0</t>
  </si>
  <si>
    <t xml:space="preserve">2024-04-29 16:13:10-05:00</t>
  </si>
  <si>
    <t xml:space="preserve">2024:04:29 16:13:10-05:00</t>
  </si>
  <si>
    <t xml:space="preserve">[0 - 844805], [861191 - 866160]</t>
  </si>
  <si>
    <t xml:space="preserve">Signature_72dc356c-39d4-48e5-94cd-d82fdeeca0ac</t>
  </si>
  <si>
    <t xml:space="preserve">2024-04-29 16:13:15-05:00</t>
  </si>
  <si>
    <t xml:space="preserve">2024:04:29 16:13:15-05:00</t>
  </si>
  <si>
    <t xml:space="preserve">[0 - 283067], [299453 - 305304]</t>
  </si>
  <si>
    <t xml:space="preserve">355 0 obj</t>
  </si>
  <si>
    <t xml:space="preserve">Signature_e3e78f3c-617e-4d54-886c-7d1ee2443f5d</t>
  </si>
  <si>
    <t xml:space="preserve">2024-04-29 16:13:17-05:00</t>
  </si>
  <si>
    <t xml:space="preserve">2024:04:29 16:13:17-05:00</t>
  </si>
  <si>
    <t xml:space="preserve">[0 - 747065], [763451 - 768032]</t>
  </si>
  <si>
    <t xml:space="preserve">Signature_e95aab0f-611a-4891-8e47-cf6de831ce22</t>
  </si>
  <si>
    <t xml:space="preserve">2024-04-29 16:13:09-05:00</t>
  </si>
  <si>
    <t xml:space="preserve">2024:04:29 16:13:09-05:00</t>
  </si>
  <si>
    <t xml:space="preserve">[0 - 696815], [713201 - 718375]</t>
  </si>
  <si>
    <t xml:space="preserve">Signature_38410bc4-76ff-4ed7-bcc2-746c2409669e</t>
  </si>
  <si>
    <t xml:space="preserve">2024-04-29 16:13:19-05:00</t>
  </si>
  <si>
    <t xml:space="preserve">2024:04:29 16:13:19-05:00</t>
  </si>
  <si>
    <t xml:space="preserve">[0 - 386071], [402457 - 407918]</t>
  </si>
  <si>
    <t xml:space="preserve">Signature_5d5a49e7-64a9-41e5-947c-b520c68e5d92</t>
  </si>
  <si>
    <t xml:space="preserve">2024-04-29 16:15:36-05:00</t>
  </si>
  <si>
    <t xml:space="preserve">2024:04:29 16:15:36-05:00</t>
  </si>
  <si>
    <t xml:space="preserve">[0 - 423402], [439788 - 442447]</t>
  </si>
  <si>
    <t xml:space="preserve">Signature_eadc8b4e-934e-466f-aa92-ace455e49bc7</t>
  </si>
  <si>
    <t xml:space="preserve">2024-04-29 16:15:27-05:00</t>
  </si>
  <si>
    <t xml:space="preserve">2024:04:29 16:15:27-05:00</t>
  </si>
  <si>
    <t xml:space="preserve">[0 - 806627], [823013 - 828275]</t>
  </si>
  <si>
    <t xml:space="preserve">Signature_0c59732a-3957-4233-8d02-0dd80bd989dd</t>
  </si>
  <si>
    <t xml:space="preserve">2024-04-29 16:15:32-05:00</t>
  </si>
  <si>
    <t xml:space="preserve">2024:04:29 16:15:32-05:00</t>
  </si>
  <si>
    <t xml:space="preserve">[0 - 73963], [90349 - 98834]</t>
  </si>
  <si>
    <t xml:space="preserve">Signature_81fbd9d8-bc3f-4726-8080-09a799b03809</t>
  </si>
  <si>
    <t xml:space="preserve">2024-04-29 16:15:30-05:00</t>
  </si>
  <si>
    <t xml:space="preserve">2024:04:29 16:15:30-05:00</t>
  </si>
  <si>
    <t xml:space="preserve">[0 - 824140], [840526 - 846097]</t>
  </si>
  <si>
    <t xml:space="preserve">Signature_29e0a7b5-7ee5-4509-86f2-41374a369830</t>
  </si>
  <si>
    <t xml:space="preserve">2024-04-29 16:15:31-05:00</t>
  </si>
  <si>
    <t xml:space="preserve">2024:04:29 16:15:31-05:00</t>
  </si>
  <si>
    <t xml:space="preserve">[0 - 966419], [982805 - 987375]</t>
  </si>
  <si>
    <t xml:space="preserve">Signature_801999e2-0441-445a-80ce-2f5e1cc5cbf3</t>
  </si>
  <si>
    <t xml:space="preserve">2024-04-29 16:15:28-05:00</t>
  </si>
  <si>
    <t xml:space="preserve">2024:04:29 16:15:28-05:00</t>
  </si>
  <si>
    <t xml:space="preserve">[0 - 896020], [912406 - 916982]</t>
  </si>
  <si>
    <t xml:space="preserve">Signature_b4c06c2d-d311-486e-910e-5229b0b0c9b2</t>
  </si>
  <si>
    <t xml:space="preserve">2024-04-29 16:15:29-05:00</t>
  </si>
  <si>
    <t xml:space="preserve">2024:04:29 16:15:29-05:00</t>
  </si>
  <si>
    <t xml:space="preserve">[0 - 44753], [61139 - 66481]</t>
  </si>
  <si>
    <t xml:space="preserve">Signature_00f86bbd-f638-40ce-a800-42f1916d9932</t>
  </si>
  <si>
    <t xml:space="preserve">2024-04-29 16:15:35-05:00</t>
  </si>
  <si>
    <t xml:space="preserve">2024:04:29 16:15:35-05:00</t>
  </si>
  <si>
    <t xml:space="preserve">[0 - 679159], [695545 - 701041]</t>
  </si>
  <si>
    <t xml:space="preserve">Signature_89823540-a61d-4c87-9dc5-e04f8c2a119f</t>
  </si>
  <si>
    <t xml:space="preserve">2024-04-29 16:15:34-05:00</t>
  </si>
  <si>
    <t xml:space="preserve">2024:04:29 16:15:34-05:00</t>
  </si>
  <si>
    <t xml:space="preserve">[0 - 726778], [743164 - 747739]</t>
  </si>
  <si>
    <t xml:space="preserve">71 0 obj</t>
  </si>
  <si>
    <t xml:space="preserve">Signature_3e979b11-5379-4815-8d5f-1b09093fb90b</t>
  </si>
  <si>
    <t xml:space="preserve">2024-04-29 16:16:34-05:00</t>
  </si>
  <si>
    <t xml:space="preserve">2024:04:29 16:16:34-05:00</t>
  </si>
  <si>
    <t xml:space="preserve">[0 - 149409], [165795 - 170327]</t>
  </si>
  <si>
    <t xml:space="preserve">Signature_e02318c2-7b22-4efd-86eb-bdf6774a1cc4</t>
  </si>
  <si>
    <t xml:space="preserve">2024-04-29 16:16:42-05:00</t>
  </si>
  <si>
    <t xml:space="preserve">2024:04:29 16:16:42-05:00</t>
  </si>
  <si>
    <t xml:space="preserve">[0 - 428873], [445259 - 448294]</t>
  </si>
  <si>
    <t xml:space="preserve">Signature_a1a54c3e-6804-4d0d-96c8-ed1b1a1f24f2</t>
  </si>
  <si>
    <t xml:space="preserve">2024-04-29 16:16:37-05:00</t>
  </si>
  <si>
    <t xml:space="preserve">2024:04:29 16:16:37-05:00</t>
  </si>
  <si>
    <t xml:space="preserve">[0 - 307643], [324029 - 329078]</t>
  </si>
  <si>
    <t xml:space="preserve">Signature_be7228d8-9591-471b-b4a6-7f330ff1d1b1</t>
  </si>
  <si>
    <t xml:space="preserve">2024-04-29 16:16:39-05:00</t>
  </si>
  <si>
    <t xml:space="preserve">2024:04:29 16:16:39-05:00</t>
  </si>
  <si>
    <t xml:space="preserve">[0 - 493684], [510070 - 518559]</t>
  </si>
  <si>
    <t xml:space="preserve">Signature_db7a650d-0347-4efe-a6dc-fbc315f99c74</t>
  </si>
  <si>
    <t xml:space="preserve">[0 - 113310], [129696 - 135349]</t>
  </si>
  <si>
    <t xml:space="preserve">Signature_29973f8a-5ce2-468a-8f4c-c91c34c7fee2</t>
  </si>
  <si>
    <t xml:space="preserve">2024-04-29 16:16:40-05:00</t>
  </si>
  <si>
    <t xml:space="preserve">2024:04:29 16:16:40-05:00</t>
  </si>
  <si>
    <t xml:space="preserve">[0 - 133997], [150383 - 158916]</t>
  </si>
  <si>
    <t xml:space="preserve">Signature_642961aa-3c7c-490a-986f-fa0307a0f071</t>
  </si>
  <si>
    <t xml:space="preserve">2024-04-29 16:16:31-05:00</t>
  </si>
  <si>
    <t xml:space="preserve">2024:04:29 16:16:31-05:00</t>
  </si>
  <si>
    <t xml:space="preserve">[0 - 822792], [839178 - 844749]</t>
  </si>
  <si>
    <t xml:space="preserve">Signature_9d5c93a6-5562-461d-9e8d-ad377beef6eb</t>
  </si>
  <si>
    <t xml:space="preserve">2024-04-29 16:16:28-05:00</t>
  </si>
  <si>
    <t xml:space="preserve">2024:04:29 16:16:28-05:00</t>
  </si>
  <si>
    <t xml:space="preserve">[0 - 235263], [251649 - 256262]</t>
  </si>
  <si>
    <t xml:space="preserve">Signature_506e98be-196e-4f0d-a7ab-f6b6d79015ba</t>
  </si>
  <si>
    <t xml:space="preserve">2024-04-29 16:16:25-05:00</t>
  </si>
  <si>
    <t xml:space="preserve">2024:04:29 16:16:25-05:00</t>
  </si>
  <si>
    <t xml:space="preserve">[0 - 234975], [251361 - 255973]</t>
  </si>
  <si>
    <t xml:space="preserve">Signature_59eeb59f-50d7-43b5-ab37-eacb8fee2112</t>
  </si>
  <si>
    <t xml:space="preserve">2024-04-29 16:16:35-05:00</t>
  </si>
  <si>
    <t xml:space="preserve">2024:04:29 16:16:35-05:00</t>
  </si>
  <si>
    <t xml:space="preserve">[0 - 789100], [805486 - 810564]</t>
  </si>
  <si>
    <t xml:space="preserve">Signature_c7976a09-a43b-4449-8281-921fd3bfaee2</t>
  </si>
  <si>
    <t xml:space="preserve">2024-04-29 16:16:32-05:00</t>
  </si>
  <si>
    <t xml:space="preserve">2024:04:29 16:16:32-05:00</t>
  </si>
  <si>
    <t xml:space="preserve">[0 - 863434], [879820 - 884795]</t>
  </si>
  <si>
    <t xml:space="preserve">Signature_d391956e-819c-4fc2-a772-1c64c6dc98ac</t>
  </si>
  <si>
    <t xml:space="preserve">2024-04-29 16:16:29-05:00</t>
  </si>
  <si>
    <t xml:space="preserve">2024:04:29 16:16:29-05:00</t>
  </si>
  <si>
    <t xml:space="preserve">Signature_452c6829-e9a2-4c52-b7a8-57da527be177</t>
  </si>
  <si>
    <t xml:space="preserve">2024-04-29 16:16:26-05:00</t>
  </si>
  <si>
    <t xml:space="preserve">2024:04:29 16:16:26-05:00</t>
  </si>
  <si>
    <t xml:space="preserve">Signature_9d73868c-60c4-4a53-b321-715cda5c484d</t>
  </si>
  <si>
    <t xml:space="preserve">2024-04-29 16:16:41-05:00</t>
  </si>
  <si>
    <t xml:space="preserve">2024:04:29 16:16:41-05:00</t>
  </si>
  <si>
    <t xml:space="preserve">[0 - 111149], [127535 - 136024]</t>
  </si>
  <si>
    <t xml:space="preserve">Signature_8d6b95c4-5df5-4f53-aefc-810814054a87</t>
  </si>
  <si>
    <t xml:space="preserve">2024-04-29 16:16:33-05:00</t>
  </si>
  <si>
    <t xml:space="preserve">2024:04:29 16:16:33-05:00</t>
  </si>
  <si>
    <t xml:space="preserve">[0 - 157600], [173986 - 179341]</t>
  </si>
  <si>
    <t xml:space="preserve">145 0 obj</t>
  </si>
  <si>
    <t xml:space="preserve">Signature_224885e1-bb01-46ef-9f0e-9e252d90e3d4</t>
  </si>
  <si>
    <t xml:space="preserve">2024-04-29 16:16:30-05:00</t>
  </si>
  <si>
    <t xml:space="preserve">2024:04:29 16:16:30-05:00</t>
  </si>
  <si>
    <t xml:space="preserve">[0 - 95669], [112055 - 116534]</t>
  </si>
  <si>
    <t xml:space="preserve">Signature_c8f01adf-18ea-4321-8686-bbb312dbb4c7</t>
  </si>
  <si>
    <t xml:space="preserve">2024-04-29 16:16:27-05:00</t>
  </si>
  <si>
    <t xml:space="preserve">2024:04:29 16:16:27-05:00</t>
  </si>
  <si>
    <t xml:space="preserve">[0 - 261411], [277797 - 286284]</t>
  </si>
  <si>
    <t xml:space="preserve">Signature_26882418-ff36-400f-9c7a-a2b89189ce16</t>
  </si>
  <si>
    <t xml:space="preserve">2024-04-29 16:17:28-05:00</t>
  </si>
  <si>
    <t xml:space="preserve">2024:04:29 16:17:28-05:00</t>
  </si>
  <si>
    <t xml:space="preserve">[0 - 149407], [165793 - 170325]</t>
  </si>
  <si>
    <t xml:space="preserve">Signature_e3903b5c-77a6-4699-a0fd-24fdc71c6243</t>
  </si>
  <si>
    <t xml:space="preserve">2024-04-29 16:17:27-05:00</t>
  </si>
  <si>
    <t xml:space="preserve">2024:04:29 16:17:27-05:00</t>
  </si>
  <si>
    <t xml:space="preserve">[0 - 234235], [250621 - 256076]</t>
  </si>
  <si>
    <t xml:space="preserve">Signature_c4e34539-97d2-4d6e-a0f1-c76e6517c56b</t>
  </si>
  <si>
    <t xml:space="preserve">2024-04-29 16:17:32-05:00</t>
  </si>
  <si>
    <t xml:space="preserve">2024:04:29 16:17:33-05:00</t>
  </si>
  <si>
    <t xml:space="preserve">[0 - 464446], [480832 - 483867]</t>
  </si>
  <si>
    <t xml:space="preserve">Signature_795195ec-50d3-44b2-9de2-eb6c2f314c5b</t>
  </si>
  <si>
    <t xml:space="preserve">2024-04-29 16:17:30-05:00</t>
  </si>
  <si>
    <t xml:space="preserve">2024:04:29 16:17:30-05:00</t>
  </si>
  <si>
    <t xml:space="preserve">[0 - 307644], [324030 - 329080]</t>
  </si>
  <si>
    <t xml:space="preserve">Signature_d9da410e-81b2-433f-96b0-e503adf051b4</t>
  </si>
  <si>
    <t xml:space="preserve">2024-04-29 16:17:31-05:00</t>
  </si>
  <si>
    <t xml:space="preserve">2024:04:29 16:17:31-05:00</t>
  </si>
  <si>
    <t xml:space="preserve">[0 - 103165], [119551 - 124169]</t>
  </si>
  <si>
    <t xml:space="preserve">Signature_41093b52-9212-4444-bfb5-e6b0a4ff79d9</t>
  </si>
  <si>
    <t xml:space="preserve">2024-04-29 16:17:25-05:00</t>
  </si>
  <si>
    <t xml:space="preserve">2024:04:29 16:17:25-05:00</t>
  </si>
  <si>
    <t xml:space="preserve">[0 - 822793], [839179 - 844751]</t>
  </si>
  <si>
    <t xml:space="preserve">Signature_171a6c65-4237-4e21-9823-b8e1ed2be375</t>
  </si>
  <si>
    <t xml:space="preserve">2024-04-29 16:17:21-05:00</t>
  </si>
  <si>
    <t xml:space="preserve">2024:04:29 16:17:21-05:00</t>
  </si>
  <si>
    <t xml:space="preserve">[0 - 235263], [251649 - 256260]</t>
  </si>
  <si>
    <t xml:space="preserve">Signature_1a33d174-56ed-4e3f-9961-2c9b568f7b5b</t>
  </si>
  <si>
    <t xml:space="preserve">2024-04-29 16:17:18-05:00</t>
  </si>
  <si>
    <t xml:space="preserve">2024:04:29 16:17:18-05:00</t>
  </si>
  <si>
    <t xml:space="preserve">[0 - 234976], [251362 - 255975]</t>
  </si>
  <si>
    <t xml:space="preserve">Signature_491f2a5b-c984-4502-82a7-0251bde81117</t>
  </si>
  <si>
    <t xml:space="preserve">2024-04-29 16:17:29-05:00</t>
  </si>
  <si>
    <t xml:space="preserve">2024:04:29 16:17:29-05:00</t>
  </si>
  <si>
    <t xml:space="preserve">[0 - 789104], [805490 - 810566]</t>
  </si>
  <si>
    <t xml:space="preserve">Signature_3a5f6687-4ff3-4186-97cb-3e75f81d7e69</t>
  </si>
  <si>
    <t xml:space="preserve">2024-04-29 16:17:26-05:00</t>
  </si>
  <si>
    <t xml:space="preserve">2024:04:29 16:17:26-05:00</t>
  </si>
  <si>
    <t xml:space="preserve">[0 - 863442], [879828 - 884803]</t>
  </si>
  <si>
    <t xml:space="preserve">Signature_1ce74583-a9d3-4c8e-8c18-f4573edf8155</t>
  </si>
  <si>
    <t xml:space="preserve">2024-04-29 16:17:23-05:00</t>
  </si>
  <si>
    <t xml:space="preserve">2024:04:29 16:17:23-05:00</t>
  </si>
  <si>
    <t xml:space="preserve">[0 - 739777], [756163 - 760754]</t>
  </si>
  <si>
    <t xml:space="preserve">Signature_549f47fb-f2e9-4ba1-91e2-998f37620887</t>
  </si>
  <si>
    <t xml:space="preserve">2024-04-29 16:17:19-05:00</t>
  </si>
  <si>
    <t xml:space="preserve">2024:04:29 16:17:19-05:00</t>
  </si>
  <si>
    <t xml:space="preserve">Signature_515c2f04-6683-4fd5-ac48-b4f2cb31bf87</t>
  </si>
  <si>
    <t xml:space="preserve">Signature_6c375425-8324-4a51-b297-7558824ff078</t>
  </si>
  <si>
    <t xml:space="preserve">2024-04-29 16:17:20-05:00</t>
  </si>
  <si>
    <t xml:space="preserve">2024:04:29 16:17:20-05:00</t>
  </si>
  <si>
    <t xml:space="preserve">[0 - 283465], [299851 - 308338]</t>
  </si>
  <si>
    <t xml:space="preserve">Signature_cf0960b7-7db6-4fe9-b30e-bfded91bf872</t>
  </si>
  <si>
    <t xml:space="preserve">2024-04-29 16:18:18-05:00</t>
  </si>
  <si>
    <t xml:space="preserve">2024:04:29 16:18:18-05:00</t>
  </si>
  <si>
    <t xml:space="preserve">[0 - 430425], [446811 - 449470]</t>
  </si>
  <si>
    <t xml:space="preserve">Signature_4542d7f0-25ea-4df1-95f4-b913f9278092</t>
  </si>
  <si>
    <t xml:space="preserve">2024-04-29 16:18:16-05:00</t>
  </si>
  <si>
    <t xml:space="preserve">2024:04:29 16:18:16-05:00</t>
  </si>
  <si>
    <t xml:space="preserve">[0 - 221376], [237762 - 243111]</t>
  </si>
  <si>
    <t xml:space="preserve">Signature_d425737a-ca25-48cc-9577-abe0ede7bc9d</t>
  </si>
  <si>
    <t xml:space="preserve">2024-04-29 16:18:11-05:00</t>
  </si>
  <si>
    <t xml:space="preserve">2024:04:29 16:18:11-05:00</t>
  </si>
  <si>
    <t xml:space="preserve">[0 - 88088], [104474 - 108919]</t>
  </si>
  <si>
    <t xml:space="preserve">Signature_91632eac-866f-4ec1-b57f-67f2fb07b3d7</t>
  </si>
  <si>
    <t xml:space="preserve">2024-04-29 16:18:09-05:00</t>
  </si>
  <si>
    <t xml:space="preserve">2024:04:29 16:18:09-05:00</t>
  </si>
  <si>
    <t xml:space="preserve">[0 - 666312], [682698 - 687158]</t>
  </si>
  <si>
    <t xml:space="preserve">Signature_570ad36b-d333-4afe-906d-ccdc584fb6a0</t>
  </si>
  <si>
    <t xml:space="preserve">[0 - 93893], [110279 - 114943]</t>
  </si>
  <si>
    <t xml:space="preserve">Signature_d0499484-82a8-4d1d-808e-a242ea3c4e35</t>
  </si>
  <si>
    <t xml:space="preserve">2024-04-29 16:18:12-05:00</t>
  </si>
  <si>
    <t xml:space="preserve">2024:04:29 16:18:12-05:00</t>
  </si>
  <si>
    <t xml:space="preserve">[0 - 824711], [841097 - 846671]</t>
  </si>
  <si>
    <t xml:space="preserve">Signature_9bcaefea-e27d-4ff2-9d6f-2c9153385e1c</t>
  </si>
  <si>
    <t xml:space="preserve">[0 - 819119], [835505 - 841076]</t>
  </si>
  <si>
    <t xml:space="preserve">Signature_4a4df3f0-879e-4cd5-b39e-3e002afa8280</t>
  </si>
  <si>
    <t xml:space="preserve">[0 - 900167], [916553 - 921528]</t>
  </si>
  <si>
    <t xml:space="preserve">Signature_4e3e9fc3-80c7-49be-8b70-632304c4f923</t>
  </si>
  <si>
    <t xml:space="preserve">2024-04-29 16:18:13-05:00</t>
  </si>
  <si>
    <t xml:space="preserve">2024:04:29 16:18:13-05:00</t>
  </si>
  <si>
    <t xml:space="preserve">[0 - 901136], [917522 - 922520]</t>
  </si>
  <si>
    <t xml:space="preserve">Signature_e902e2aa-6255-488f-996b-a0943ecefc1e</t>
  </si>
  <si>
    <t xml:space="preserve">2024-04-29 16:19:25-05:00</t>
  </si>
  <si>
    <t xml:space="preserve">2024:04:29 16:19:25-05:00</t>
  </si>
  <si>
    <t xml:space="preserve">[0 - 691369], [707755 - 713604]</t>
  </si>
  <si>
    <t xml:space="preserve">1123 0 obj</t>
  </si>
  <si>
    <t xml:space="preserve">Signature_a32e0b1a-4325-4271-aaf3-f266733d270e</t>
  </si>
  <si>
    <t xml:space="preserve">2024-04-29 16:19:26-05:00</t>
  </si>
  <si>
    <t xml:space="preserve">2024:04:29 16:19:26-05:00</t>
  </si>
  <si>
    <t xml:space="preserve">[0 - 472444], [488830 - 491912]</t>
  </si>
  <si>
    <t xml:space="preserve">422 0 obj</t>
  </si>
  <si>
    <t xml:space="preserve">Signature_c47b29c3-ca06-4f36-a1ee-fd9cc4b92d1e</t>
  </si>
  <si>
    <t xml:space="preserve">2024-04-29 16:19:11-05:00</t>
  </si>
  <si>
    <t xml:space="preserve">2024:04:29 16:19:11-05:00</t>
  </si>
  <si>
    <t xml:space="preserve">[0 - 906109], [922495 - 927759]</t>
  </si>
  <si>
    <t xml:space="preserve">Signature_fa012199-a760-41f6-b4a8-bf8fd61a7345</t>
  </si>
  <si>
    <t xml:space="preserve">2024-04-29 16:19:24-05:00</t>
  </si>
  <si>
    <t xml:space="preserve">2024:04:29 16:19:24-05:00</t>
  </si>
  <si>
    <t xml:space="preserve">[0 - 307326], [323712 - 328771]</t>
  </si>
  <si>
    <t xml:space="preserve">Signature_8e2048ce-e645-42da-aad8-f03aff60e0e5</t>
  </si>
  <si>
    <t xml:space="preserve">2024-04-29 16:19:07-05:00</t>
  </si>
  <si>
    <t xml:space="preserve">2024:04:29 16:19:07-05:00</t>
  </si>
  <si>
    <t xml:space="preserve">[0 - 429732], [446118 - 454605]</t>
  </si>
  <si>
    <t xml:space="preserve">Signature_da0a88ee-9d20-4475-bd00-8c3f97c704e1</t>
  </si>
  <si>
    <t xml:space="preserve">2024-04-29 16:19:10-05:00</t>
  </si>
  <si>
    <t xml:space="preserve">2024:04:29 16:19:10-05:00</t>
  </si>
  <si>
    <t xml:space="preserve">[0 - 830414], [846800 - 852341]</t>
  </si>
  <si>
    <t xml:space="preserve">Signature_3941c1ff-1554-456e-92cc-77d64fe76bc8</t>
  </si>
  <si>
    <t xml:space="preserve">2024-04-29 16:19:05-05:00</t>
  </si>
  <si>
    <t xml:space="preserve">2024:04:29 16:19:05-05:00</t>
  </si>
  <si>
    <t xml:space="preserve">[0 - 776735], [793121 - 801652]</t>
  </si>
  <si>
    <t xml:space="preserve">Signature_e2f8f64d-78d2-4648-a0e2-97463c840b9e</t>
  </si>
  <si>
    <t xml:space="preserve">2024-04-29 16:19:20-05:00</t>
  </si>
  <si>
    <t xml:space="preserve">2024:04:29 16:19:20-05:00</t>
  </si>
  <si>
    <t xml:space="preserve">[0 - 789676], [806062 - 811138]</t>
  </si>
  <si>
    <t xml:space="preserve">Signature_e995ad9b-576c-4e8b-95fe-14837306c7e7</t>
  </si>
  <si>
    <t xml:space="preserve">2024-04-29 16:19:17-05:00</t>
  </si>
  <si>
    <t xml:space="preserve">2024:04:29 16:19:17-05:00</t>
  </si>
  <si>
    <t xml:space="preserve">[0 - 1078190], [1094576 - 1103109]</t>
  </si>
  <si>
    <t xml:space="preserve">Signature_2c459a83-48d0-4eb8-b957-cf40a235a835</t>
  </si>
  <si>
    <t xml:space="preserve">2024-04-29 16:19:16-05:00</t>
  </si>
  <si>
    <t xml:space="preserve">2024:04:29 16:19:16-05:00</t>
  </si>
  <si>
    <t xml:space="preserve">[0 - 1017836], [1034222 - 1042755]</t>
  </si>
  <si>
    <t xml:space="preserve">Signature_73701725-2a1e-4e19-b9de-fa00a826721b</t>
  </si>
  <si>
    <t xml:space="preserve">2024-04-29 16:19:09-05:00</t>
  </si>
  <si>
    <t xml:space="preserve">2024:04:29 16:19:09-05:00</t>
  </si>
  <si>
    <t xml:space="preserve">[0 - 848712], [865098 - 870068]</t>
  </si>
  <si>
    <t xml:space="preserve">Signature_81bc414e-f9c2-4301-9359-b9714961d586</t>
  </si>
  <si>
    <t xml:space="preserve">2024-04-29 16:19:08-05:00</t>
  </si>
  <si>
    <t xml:space="preserve">2024:04:29 16:19:08-05:00</t>
  </si>
  <si>
    <t xml:space="preserve">[0 - 118446], [134832 - 143363]</t>
  </si>
  <si>
    <t xml:space="preserve">Signature_168429f8-6dc0-40bc-9866-c92ab7d4cd67</t>
  </si>
  <si>
    <t xml:space="preserve">2024-04-29 16:19:23-05:00</t>
  </si>
  <si>
    <t xml:space="preserve">2024:04:29 16:19:23-05:00</t>
  </si>
  <si>
    <t xml:space="preserve">[0 - 768398], [784784 - 790738]</t>
  </si>
  <si>
    <t xml:space="preserve">Signature_68965096-bd54-4fbf-9e98-2dd843a2618b</t>
  </si>
  <si>
    <t xml:space="preserve">2024-04-29 16:19:18-05:00</t>
  </si>
  <si>
    <t xml:space="preserve">2024:04:29 16:19:18-05:00</t>
  </si>
  <si>
    <t xml:space="preserve">[0 - 836311], [852697 - 861184]</t>
  </si>
  <si>
    <t xml:space="preserve">Signature_b0651ba2-2aec-4895-8f78-69405a7cb094</t>
  </si>
  <si>
    <t xml:space="preserve">2024-04-29 16:19:14-05:00</t>
  </si>
  <si>
    <t xml:space="preserve">2024:04:29 16:19:14-05:00</t>
  </si>
  <si>
    <t xml:space="preserve">[0 - 883188], [899574 - 908061]</t>
  </si>
  <si>
    <t xml:space="preserve">Signature_e0ae05fb-58b6-4510-a4ea-2338ec7d995a</t>
  </si>
  <si>
    <t xml:space="preserve">2024-04-29 16:19:12-05:00</t>
  </si>
  <si>
    <t xml:space="preserve">2024:04:29 16:19:12-05:00</t>
  </si>
  <si>
    <t xml:space="preserve">[0 - 651574], [667960 - 672433]</t>
  </si>
  <si>
    <t xml:space="preserve">Signature_dc0c7416-89eb-4732-8d7f-926a0ef9c02a</t>
  </si>
  <si>
    <t xml:space="preserve">2024-04-29 16:19:06-05:00</t>
  </si>
  <si>
    <t xml:space="preserve">2024:04:29 16:19:06-05:00</t>
  </si>
  <si>
    <t xml:space="preserve">[0 - 97079], [113465 - 121951]</t>
  </si>
  <si>
    <t xml:space="preserve">Signature_ba4b3d4f-8238-4c26-9e1f-1e499b9e5e73</t>
  </si>
  <si>
    <t xml:space="preserve">[0 - 788868], [805254 - 810647]</t>
  </si>
  <si>
    <t xml:space="preserve">Signature_ab86ee87-4b49-454b-99a8-3b20491b1574</t>
  </si>
  <si>
    <t xml:space="preserve">2024-04-29 16:19:19-05:00</t>
  </si>
  <si>
    <t xml:space="preserve">2024:04:29 16:19:19-05:00</t>
  </si>
  <si>
    <t xml:space="preserve">[0 - 373965], [390351 - 396331]</t>
  </si>
  <si>
    <t xml:space="preserve">Signature_f3529435-273b-4be4-866b-20899315d531</t>
  </si>
  <si>
    <t xml:space="preserve">[0 - 157221], [173607 - 178953]</t>
  </si>
  <si>
    <t xml:space="preserve">Signature_bfda202f-6d44-4a55-8be0-b3c7f8576351</t>
  </si>
  <si>
    <t xml:space="preserve">[0 - 189545], [205931 - 212307]</t>
  </si>
  <si>
    <t xml:space="preserve">Signature_438b53a7-9b5d-4420-ba12-2a3c6afee4c7</t>
  </si>
  <si>
    <t xml:space="preserve">2024-04-29 16:19:03-05:00</t>
  </si>
  <si>
    <t xml:space="preserve">2024:04:29 16:19:03-05:00</t>
  </si>
  <si>
    <t xml:space="preserve">[0 - 183223], [199609 - 204129]</t>
  </si>
  <si>
    <t xml:space="preserve">Signature_bbd15980-2e09-4925-ab14-42d24541a580</t>
  </si>
  <si>
    <t xml:space="preserve">2024-04-29 16:20:10-05:00</t>
  </si>
  <si>
    <t xml:space="preserve">2024:04:29 16:20:10-05:00</t>
  </si>
  <si>
    <t xml:space="preserve">[0 - 428291], [444677 - 447336]</t>
  </si>
  <si>
    <t xml:space="preserve">339 0 obj</t>
  </si>
  <si>
    <t xml:space="preserve">Signature_bb80be1e-e1f1-4fae-b54d-4ebd158f9181</t>
  </si>
  <si>
    <t xml:space="preserve">2024-04-29 16:20:02-05:00</t>
  </si>
  <si>
    <t xml:space="preserve">2024:04:29 16:20:02-05:00</t>
  </si>
  <si>
    <t xml:space="preserve">Signature_17c6bdf5-6caa-43e4-a50d-af5368c7ec89</t>
  </si>
  <si>
    <t xml:space="preserve">2024-04-29 16:19:59-05:00</t>
  </si>
  <si>
    <t xml:space="preserve">2024:04:29 16:19:59-05:00</t>
  </si>
  <si>
    <t xml:space="preserve">[0 - 902826], [919212 - 924942]</t>
  </si>
  <si>
    <t xml:space="preserve">Signature_f267cb39-d517-47d9-839a-b054379c8abd</t>
  </si>
  <si>
    <t xml:space="preserve">2024-04-29 16:19:57-05:00</t>
  </si>
  <si>
    <t xml:space="preserve">2024:04:29 16:19:57-05:00</t>
  </si>
  <si>
    <t xml:space="preserve">[0 - 272021], [288407 - 296894]</t>
  </si>
  <si>
    <t xml:space="preserve">Signature_6d7652b1-4999-4b69-9a77-ab80339882d0</t>
  </si>
  <si>
    <t xml:space="preserve">2024-04-29 16:20:07-05:00</t>
  </si>
  <si>
    <t xml:space="preserve">2024:04:29 16:20:07-05:00</t>
  </si>
  <si>
    <t xml:space="preserve">[0 - 112454], [128840 - 137371]</t>
  </si>
  <si>
    <t xml:space="preserve">Signature_e606079a-7c83-486a-9845-58fb1310bd06</t>
  </si>
  <si>
    <t xml:space="preserve">2024-04-29 16:20:06-05:00</t>
  </si>
  <si>
    <t xml:space="preserve">2024:04:29 16:20:06-05:00</t>
  </si>
  <si>
    <t xml:space="preserve">[0 - 770786], [787172 - 791759]</t>
  </si>
  <si>
    <t xml:space="preserve">Signature_de56e206-ab93-4551-b211-250ec6600c86</t>
  </si>
  <si>
    <t xml:space="preserve">2024-04-29 16:20:05-05:00</t>
  </si>
  <si>
    <t xml:space="preserve">2024:04:29 16:20:05-05:00</t>
  </si>
  <si>
    <t xml:space="preserve">Signature_18e80560-5be0-467d-bab6-38ef556a7f34</t>
  </si>
  <si>
    <t xml:space="preserve">2024-04-29 16:20:03-05:00</t>
  </si>
  <si>
    <t xml:space="preserve">2024:04:29 16:20:03-05:00</t>
  </si>
  <si>
    <t xml:space="preserve">[0 - 867065], [883451 - 888435]</t>
  </si>
  <si>
    <t xml:space="preserve">Signature_2f41e92f-3883-4f12-94cd-00854eef40cc</t>
  </si>
  <si>
    <t xml:space="preserve">2024-04-29 16:20:00-05:00</t>
  </si>
  <si>
    <t xml:space="preserve">2024:04:29 16:20:00-05:00</t>
  </si>
  <si>
    <t xml:space="preserve">[0 - 856091], [872477 - 877449]</t>
  </si>
  <si>
    <t xml:space="preserve">Signature_00375fa2-9d75-4eac-a37f-28efe0b1efef</t>
  </si>
  <si>
    <t xml:space="preserve">2024-04-29 16:19:56-05:00</t>
  </si>
  <si>
    <t xml:space="preserve">2024:04:29 16:19:56-05:00</t>
  </si>
  <si>
    <t xml:space="preserve">Signature_72dc2202-4a94-4e16-94c4-c16a5d38d5d7</t>
  </si>
  <si>
    <t xml:space="preserve">2024-04-29 16:20:04-05:00</t>
  </si>
  <si>
    <t xml:space="preserve">2024:04:29 16:20:04-05:00</t>
  </si>
  <si>
    <t xml:space="preserve">[0 - 990589], [1006975 - 1015507]</t>
  </si>
  <si>
    <t xml:space="preserve">Signature_618dd00a-d07c-48be-aa01-07dec076aa12</t>
  </si>
  <si>
    <t xml:space="preserve">2024-04-29 16:20:01-05:00</t>
  </si>
  <si>
    <t xml:space="preserve">2024:04:29 16:20:01-05:00</t>
  </si>
  <si>
    <t xml:space="preserve">[0 - 854386], [870772 - 876651]</t>
  </si>
  <si>
    <t xml:space="preserve">Signature_d38f470b-892e-4677-a2f8-854550f15334</t>
  </si>
  <si>
    <t xml:space="preserve">2024-04-29 16:20:08-05:00</t>
  </si>
  <si>
    <t xml:space="preserve">2024:04:29 16:20:08-05:00</t>
  </si>
  <si>
    <t xml:space="preserve">[0 - 349148], [365534 - 374021]</t>
  </si>
  <si>
    <t xml:space="preserve">Signature_8bedd850-5c62-4dcc-aced-72c67364ba51</t>
  </si>
  <si>
    <t xml:space="preserve">2024-04-29 16:20:09-05:00</t>
  </si>
  <si>
    <t xml:space="preserve">2024:04:29 16:20:09-05:00</t>
  </si>
  <si>
    <t xml:space="preserve">[0 - 681680], [698066 - 703560]</t>
  </si>
  <si>
    <t xml:space="preserve">Signature_093b25d1-ed03-40df-8d32-f2814dd1a39f</t>
  </si>
  <si>
    <t xml:space="preserve">2024-04-29 16:21:08-05:00</t>
  </si>
  <si>
    <t xml:space="preserve">2024:04:29 16:21:08-05:00</t>
  </si>
  <si>
    <t xml:space="preserve">[0 - 76188], [92574 - 97015]</t>
  </si>
  <si>
    <t xml:space="preserve">Signature_08f98bfe-a147-4bbb-9af8-3c4c685a755b</t>
  </si>
  <si>
    <t xml:space="preserve">2024-04-29 16:20:58-05:00</t>
  </si>
  <si>
    <t xml:space="preserve">2024:04:29 16:20:58-05:00</t>
  </si>
  <si>
    <t xml:space="preserve">[0 - 330744], [347130 - 352674]</t>
  </si>
  <si>
    <t xml:space="preserve">Signature_08cb4497-434a-4291-9ae6-ba58249971ae</t>
  </si>
  <si>
    <t xml:space="preserve">2024-04-29 16:21:14-05:00</t>
  </si>
  <si>
    <t xml:space="preserve">2024:04:29 16:21:14-05:00</t>
  </si>
  <si>
    <t xml:space="preserve">[0 - 388521], [404907 - 409535]</t>
  </si>
  <si>
    <t xml:space="preserve">Signature_5158a8a7-33ea-4644-9185-a976ab5476fa</t>
  </si>
  <si>
    <t xml:space="preserve">2024-04-29 16:21:16-05:00</t>
  </si>
  <si>
    <t xml:space="preserve">2024:04:29 16:21:16-05:00</t>
  </si>
  <si>
    <t xml:space="preserve">[0 - 427161], [443547 - 446206]</t>
  </si>
  <si>
    <t xml:space="preserve">338 0 obj</t>
  </si>
  <si>
    <t xml:space="preserve">Signature_4616b1e5-81c0-4f21-acc0-738789a1873c</t>
  </si>
  <si>
    <t xml:space="preserve">2024-04-29 16:21:03-05:00</t>
  </si>
  <si>
    <t xml:space="preserve">2024:04:29 16:21:03-05:00</t>
  </si>
  <si>
    <t xml:space="preserve">[0 - 875881], [892267 - 897978]</t>
  </si>
  <si>
    <t xml:space="preserve">Signature_356fb013-2a73-4714-a79f-7e749f4389e8</t>
  </si>
  <si>
    <t xml:space="preserve">2024-04-29 16:21:15-05:00</t>
  </si>
  <si>
    <t xml:space="preserve">2024:04:29 16:21:15-05:00</t>
  </si>
  <si>
    <t xml:space="preserve">[0 - 87444], [103830 - 112318]</t>
  </si>
  <si>
    <t xml:space="preserve">Signature_145ce66f-641f-47db-bc86-6d47a2c68958</t>
  </si>
  <si>
    <t xml:space="preserve">2024-04-29 16:21:13-05:00</t>
  </si>
  <si>
    <t xml:space="preserve">2024:04:29 16:21:13-05:00</t>
  </si>
  <si>
    <t xml:space="preserve">[0 - 295179], [311565 - 320052]</t>
  </si>
  <si>
    <t xml:space="preserve">Signature_07ab7ede-692a-4680-820a-968e26ac835e</t>
  </si>
  <si>
    <t xml:space="preserve">2024-04-29 16:21:02-05:00</t>
  </si>
  <si>
    <t xml:space="preserve">2024:04:29 16:21:02-05:00</t>
  </si>
  <si>
    <t xml:space="preserve">[0 - 97347], [113733 - 118234]</t>
  </si>
  <si>
    <t xml:space="preserve">Signature_842ba0fb-de03-457a-a09b-9f45b14c3d08</t>
  </si>
  <si>
    <t xml:space="preserve">2024-04-29 16:21:07-05:00</t>
  </si>
  <si>
    <t xml:space="preserve">2024:04:29 16:21:07-05:00</t>
  </si>
  <si>
    <t xml:space="preserve">[0 - 242363], [258749 - 264269]</t>
  </si>
  <si>
    <t xml:space="preserve">Signature_4cafe444-ba5e-4909-a8f0-c1dad91e5d44</t>
  </si>
  <si>
    <t xml:space="preserve">2024-04-29 16:20:55-05:00</t>
  </si>
  <si>
    <t xml:space="preserve">2024:04:29 16:20:55-05:00</t>
  </si>
  <si>
    <t xml:space="preserve">[0 - 821110], [837496 - 843065]</t>
  </si>
  <si>
    <t xml:space="preserve">Signature_b72e1eda-2a00-4d09-a486-37eed277788c</t>
  </si>
  <si>
    <t xml:space="preserve">2024-04-29 16:20:52-05:00</t>
  </si>
  <si>
    <t xml:space="preserve">2024:04:29 16:20:52-05:00</t>
  </si>
  <si>
    <t xml:space="preserve">[0 - 248757], [265143 - 269750]</t>
  </si>
  <si>
    <t xml:space="preserve">Signature_4990c994-b394-4373-99e8-ad8308398c87</t>
  </si>
  <si>
    <t xml:space="preserve">2024-04-29 16:20:51-05:00</t>
  </si>
  <si>
    <t xml:space="preserve">2024:04:29 16:20:51-05:00</t>
  </si>
  <si>
    <t xml:space="preserve">[0 - 235765], [252151 - 257632]</t>
  </si>
  <si>
    <t xml:space="preserve">Signature_a76d2f9c-6303-4255-b131-e9f9929d4f30</t>
  </si>
  <si>
    <t xml:space="preserve">2024-04-29 16:20:50-05:00</t>
  </si>
  <si>
    <t xml:space="preserve">2024:04:29 16:20:50-05:00</t>
  </si>
  <si>
    <t xml:space="preserve">[0 - 234689], [251075 - 255684]</t>
  </si>
  <si>
    <t xml:space="preserve">Signature_af1f8a13-1008-4892-a9b0-a3314b8063d1</t>
  </si>
  <si>
    <t xml:space="preserve">2024-04-29 16:21:10-05:00</t>
  </si>
  <si>
    <t xml:space="preserve">2024:04:29 16:21:10-05:00</t>
  </si>
  <si>
    <t xml:space="preserve">[0 - 952142], [968528 - 973839]</t>
  </si>
  <si>
    <t xml:space="preserve">Signature_37746252-26ad-4c6d-a09c-85ad4a7871e9</t>
  </si>
  <si>
    <t xml:space="preserve">2024-04-29 16:20:54-05:00</t>
  </si>
  <si>
    <t xml:space="preserve">2024:04:29 16:20:54-05:00</t>
  </si>
  <si>
    <t xml:space="preserve">[0 - 841066], [857452 - 862422]</t>
  </si>
  <si>
    <t xml:space="preserve">Signature_cb22d0df-c2f0-4a90-97bd-9f8c510c98ef</t>
  </si>
  <si>
    <t xml:space="preserve">2024-04-29 16:21:01-05:00</t>
  </si>
  <si>
    <t xml:space="preserve">2024:04:29 16:21:01-05:00</t>
  </si>
  <si>
    <t xml:space="preserve">[0 - 874956], [891342 - 896752]</t>
  </si>
  <si>
    <t xml:space="preserve">Signature_ed5d5484-d082-473e-bc46-7ff9c4c39298</t>
  </si>
  <si>
    <t xml:space="preserve">2024-04-29 16:20:59-05:00</t>
  </si>
  <si>
    <t xml:space="preserve">2024:04:29 16:20:59-05:00</t>
  </si>
  <si>
    <t xml:space="preserve">[0 - 304539], [320925 - 325877]</t>
  </si>
  <si>
    <t xml:space="preserve">Signature_821c7d14-62e7-4419-9b6a-998edac11276</t>
  </si>
  <si>
    <t xml:space="preserve">2024-04-29 16:20:56-05:00</t>
  </si>
  <si>
    <t xml:space="preserve">2024:04:29 16:20:56-05:00</t>
  </si>
  <si>
    <t xml:space="preserve">[0 - 305533], [321919 - 326907]</t>
  </si>
  <si>
    <t xml:space="preserve">Signature_6395e7a6-1869-43c5-b093-4dc66d17d68e</t>
  </si>
  <si>
    <t xml:space="preserve">[0 - 324281], [340667 - 345559]</t>
  </si>
  <si>
    <t xml:space="preserve">Signature_0e3a3436-15a7-485d-a2c4-4a5bf4ae972a</t>
  </si>
  <si>
    <t xml:space="preserve">2024-04-29 16:21:05-05:00</t>
  </si>
  <si>
    <t xml:space="preserve">2024:04:29 16:21:05-05:00</t>
  </si>
  <si>
    <t xml:space="preserve">[0 - 306560], [322946 - 327840]</t>
  </si>
  <si>
    <t xml:space="preserve">Signature_911acef5-fb2a-4d2a-ae4d-7a330cd61e4e</t>
  </si>
  <si>
    <t xml:space="preserve">[0 - 151231], [167617 - 172772]</t>
  </si>
  <si>
    <t xml:space="preserve">Signature_1048a2ad-514a-499e-a9cb-df5cbee53126</t>
  </si>
  <si>
    <t xml:space="preserve">2024-04-29 16:21:06-05:00</t>
  </si>
  <si>
    <t xml:space="preserve">2024:04:29 16:21:06-05:00</t>
  </si>
  <si>
    <t xml:space="preserve">[0 - 151140], [167526 - 172681]</t>
  </si>
  <si>
    <t xml:space="preserve">Signature_93b6ee6f-73b6-479d-a6d3-ffb59ea88eab</t>
  </si>
  <si>
    <t xml:space="preserve">2024-04-29 16:21:00-05:00</t>
  </si>
  <si>
    <t xml:space="preserve">2024:04:29 16:21:00-05:00</t>
  </si>
  <si>
    <t xml:space="preserve">[0 - 152565], [168951 - 174259]</t>
  </si>
  <si>
    <t xml:space="preserve">Signature_413bb2d2-de50-49bf-b1fd-1e7b5ced68d5</t>
  </si>
  <si>
    <t xml:space="preserve">2024-04-29 16:20:57-05:00</t>
  </si>
  <si>
    <t xml:space="preserve">2024:04:29 16:20:57-05:00</t>
  </si>
  <si>
    <t xml:space="preserve">[0 - 157720], [174106 - 179455]</t>
  </si>
  <si>
    <t xml:space="preserve">Signature_41f8c238-d628-4722-bef1-dfa48113c62f</t>
  </si>
  <si>
    <t xml:space="preserve">2024-04-29 16:21:04-05:00</t>
  </si>
  <si>
    <t xml:space="preserve">2024:04:29 16:21:04-05:00</t>
  </si>
  <si>
    <t xml:space="preserve">[0 - 76716], [93102 - 101588]</t>
  </si>
  <si>
    <t xml:space="preserve">Signature_dca002f2-bca6-4409-a5a1-8f395687a297</t>
  </si>
  <si>
    <t xml:space="preserve">2024-04-29 16:22:00-05:00</t>
  </si>
  <si>
    <t xml:space="preserve">2024:04:29 16:22:00-05:00</t>
  </si>
  <si>
    <t xml:space="preserve">[0 - 243169], [259555 - 264600]</t>
  </si>
  <si>
    <t xml:space="preserve">Signature_2071b886-8317-410c-a91a-ca804c3663da</t>
  </si>
  <si>
    <t xml:space="preserve">2024-04-29 16:21:54-05:00</t>
  </si>
  <si>
    <t xml:space="preserve">2024:04:29 16:21:54-05:00</t>
  </si>
  <si>
    <t xml:space="preserve">[0 - 602817], [619203 - 623881]</t>
  </si>
  <si>
    <t xml:space="preserve">Signature_db8d87d1-53bf-4c70-970e-68f7b464bb4b</t>
  </si>
  <si>
    <t xml:space="preserve">2024-04-29 16:22:06-05:00</t>
  </si>
  <si>
    <t xml:space="preserve">2024:04:29 16:22:06-05:00</t>
  </si>
  <si>
    <t xml:space="preserve">[0 - 427250], [443636 - 446295]</t>
  </si>
  <si>
    <t xml:space="preserve">347 0 obj</t>
  </si>
  <si>
    <t xml:space="preserve">Signature_f9716455-861d-4ac7-a5f6-f5a565a858f1</t>
  </si>
  <si>
    <t xml:space="preserve">2024-04-29 16:21:51-05:00</t>
  </si>
  <si>
    <t xml:space="preserve">2024:04:29 16:21:51-05:00</t>
  </si>
  <si>
    <t xml:space="preserve">[0 - 93199], [109585 - 114139]</t>
  </si>
  <si>
    <t xml:space="preserve">Signature_8884734b-931b-4654-a282-3b67e4623e7a</t>
  </si>
  <si>
    <t xml:space="preserve">2024-04-29 16:22:01-05:00</t>
  </si>
  <si>
    <t xml:space="preserve">2024:04:29 16:22:01-05:00</t>
  </si>
  <si>
    <t xml:space="preserve">[0 - 691986], [708372 - 713653]</t>
  </si>
  <si>
    <t xml:space="preserve">Signature_e204411a-d9fc-4996-8ba8-c67b9d7d4ea3</t>
  </si>
  <si>
    <t xml:space="preserve">2024-04-29 16:21:58-05:00</t>
  </si>
  <si>
    <t xml:space="preserve">2024:04:29 16:21:58-05:00</t>
  </si>
  <si>
    <t xml:space="preserve">[0 - 408117], [424503 - 432990]</t>
  </si>
  <si>
    <t xml:space="preserve">Signature_d24865ae-3e6b-489d-8e46-b7eec7c8253f</t>
  </si>
  <si>
    <t xml:space="preserve">2024-04-29 16:21:56-05:00</t>
  </si>
  <si>
    <t xml:space="preserve">2024:04:29 16:21:56-05:00</t>
  </si>
  <si>
    <t xml:space="preserve">[0 - 96753], [113139 - 121669]</t>
  </si>
  <si>
    <t xml:space="preserve">Signature_20df2656-66a0-4243-8d2d-c4ef141acdbc</t>
  </si>
  <si>
    <t xml:space="preserve">2024-04-29 16:21:52-05:00</t>
  </si>
  <si>
    <t xml:space="preserve">2024:04:29 16:21:52-05:00</t>
  </si>
  <si>
    <t xml:space="preserve">[0 - 697688], [714074 - 719372]</t>
  </si>
  <si>
    <t xml:space="preserve">Signature_c48092af-9589-43f9-a087-c3b2735d5005</t>
  </si>
  <si>
    <t xml:space="preserve">2024-04-29 16:21:53-05:00</t>
  </si>
  <si>
    <t xml:space="preserve">2024:04:29 16:21:53-05:00</t>
  </si>
  <si>
    <t xml:space="preserve">[0 - 704721], [721107 - 726384]</t>
  </si>
  <si>
    <t xml:space="preserve">Signature_0c7bda4c-d453-498b-94d8-b21ad02b9717</t>
  </si>
  <si>
    <t xml:space="preserve">2024-04-29 16:21:46-05:00</t>
  </si>
  <si>
    <t xml:space="preserve">2024:04:29 16:21:46-05:00</t>
  </si>
  <si>
    <t xml:space="preserve">[0 - 73345], [89731 - 98216]</t>
  </si>
  <si>
    <t xml:space="preserve">Signature_965e8d60-cc6d-40f8-b73d-754120e8fb89</t>
  </si>
  <si>
    <t xml:space="preserve">2024-04-29 16:21:50-05:00</t>
  </si>
  <si>
    <t xml:space="preserve">2024:04:29 16:21:50-05:00</t>
  </si>
  <si>
    <t xml:space="preserve">[0 - 824757], [841143 - 846713]</t>
  </si>
  <si>
    <t xml:space="preserve">Signature_358e8085-1ee6-4db7-8425-127bdebf9594</t>
  </si>
  <si>
    <t xml:space="preserve">2024-04-29 16:21:49-05:00</t>
  </si>
  <si>
    <t xml:space="preserve">2024:04:29 16:21:49-05:00</t>
  </si>
  <si>
    <t xml:space="preserve">[0 - 838700], [855086 - 859680]</t>
  </si>
  <si>
    <t xml:space="preserve">Signature_2ceda749-e1fd-4166-bafb-593f4b69c89a</t>
  </si>
  <si>
    <t xml:space="preserve">2024-04-29 16:21:48-05:00</t>
  </si>
  <si>
    <t xml:space="preserve">2024:04:29 16:21:48-05:00</t>
  </si>
  <si>
    <t xml:space="preserve">[0 - 823350], [839736 - 845308]</t>
  </si>
  <si>
    <t xml:space="preserve">Signature_dc457e90-20da-4d24-91c1-0ea1dc3659e5</t>
  </si>
  <si>
    <t xml:space="preserve">2024-04-29 16:21:55-05:00</t>
  </si>
  <si>
    <t xml:space="preserve">2024:04:29 16:21:55-05:00</t>
  </si>
  <si>
    <t xml:space="preserve">[0 - 116566], [132952 - 141483]</t>
  </si>
  <si>
    <t xml:space="preserve">Signature_8a693294-3690-40dc-bf1d-796ea3768f68</t>
  </si>
  <si>
    <t xml:space="preserve">2024-04-29 16:22:03-05:00</t>
  </si>
  <si>
    <t xml:space="preserve">2024:04:29 16:22:03-05:00</t>
  </si>
  <si>
    <t xml:space="preserve">[0 - 184713], [201099 - 205551]</t>
  </si>
  <si>
    <t xml:space="preserve">Signature_0c5d4302-865a-46f4-aae8-ff1addf5ee52</t>
  </si>
  <si>
    <t xml:space="preserve">2024-04-29 16:21:59-05:00</t>
  </si>
  <si>
    <t xml:space="preserve">2024:04:29 16:21:59-05:00</t>
  </si>
  <si>
    <t xml:space="preserve">[0 - 206493], [222879 - 231366]</t>
  </si>
  <si>
    <t xml:space="preserve">Signature_7b2dc1a6-c3ce-497e-90ea-fb0b03d0ad8f</t>
  </si>
  <si>
    <t xml:space="preserve">2024-04-29 16:21:57-05:00</t>
  </si>
  <si>
    <t xml:space="preserve">2024:04:29 16:21:57-05:00</t>
  </si>
  <si>
    <t xml:space="preserve">[0 - 218422], [234808 - 243295]</t>
  </si>
  <si>
    <t xml:space="preserve">Signature_9f32bc5b-2974-4824-afa5-15d80bfe76b0</t>
  </si>
  <si>
    <t xml:space="preserve">2024-04-29 16:22:05-05:00</t>
  </si>
  <si>
    <t xml:space="preserve">2024:04:29 16:22:05-05:00</t>
  </si>
  <si>
    <t xml:space="preserve">[0 - 681163], [697549 - 703045]</t>
  </si>
  <si>
    <t xml:space="preserve">Signature_1a8902af-ab83-4a75-8e64-d1c738250251</t>
  </si>
  <si>
    <t xml:space="preserve">[0 - 218433], [234819 - 239502]</t>
  </si>
  <si>
    <t xml:space="preserve">Signature_ad762590-feed-446a-894d-c48ef32485d2</t>
  </si>
  <si>
    <t xml:space="preserve">2024-04-29 16:22:56-05:00</t>
  </si>
  <si>
    <t xml:space="preserve">2024:04:29 16:22:56-05:00</t>
  </si>
  <si>
    <t xml:space="preserve">[0 - 293934], [310320 - 316316]</t>
  </si>
  <si>
    <t xml:space="preserve">Signature_4ac619a5-bc41-4056-9d4c-57504273e2f1</t>
  </si>
  <si>
    <t xml:space="preserve">2024-04-29 16:22:58-05:00</t>
  </si>
  <si>
    <t xml:space="preserve">2024:04:29 16:22:58-05:00</t>
  </si>
  <si>
    <t xml:space="preserve">[0 - 426317], [442703 - 445362]</t>
  </si>
  <si>
    <t xml:space="preserve">Signature_2361c421-84f7-447c-afcd-921d6c105e3e</t>
  </si>
  <si>
    <t xml:space="preserve">2024-04-29 16:22:51-05:00</t>
  </si>
  <si>
    <t xml:space="preserve">2024:04:29 16:22:51-05:00</t>
  </si>
  <si>
    <t xml:space="preserve">[0 - 913887], [930273 - 935521]</t>
  </si>
  <si>
    <t xml:space="preserve">Signature_75b315f6-1952-4c2f-b0fe-7b303bc5a722</t>
  </si>
  <si>
    <t xml:space="preserve">2024-04-29 16:22:53-05:00</t>
  </si>
  <si>
    <t xml:space="preserve">2024:04:29 16:22:53-05:00</t>
  </si>
  <si>
    <t xml:space="preserve">[0 - 90918], [107304 - 111891]</t>
  </si>
  <si>
    <t xml:space="preserve">Signature_2ca80a98-105f-4c26-a5af-e424a564d377</t>
  </si>
  <si>
    <t xml:space="preserve">2024-04-29 16:22:57-05:00</t>
  </si>
  <si>
    <t xml:space="preserve">2024:04:29 16:22:57-05:00</t>
  </si>
  <si>
    <t xml:space="preserve">[0 - 75064], [91450 - 99935]</t>
  </si>
  <si>
    <t xml:space="preserve">Signature_3b95dc12-24a4-4158-99c5-ab29aa669aa5</t>
  </si>
  <si>
    <t xml:space="preserve">2024-04-29 16:22:55-05:00</t>
  </si>
  <si>
    <t xml:space="preserve">2024:04:29 16:22:55-05:00</t>
  </si>
  <si>
    <t xml:space="preserve">[0 - 69857], [86243 - 90715]</t>
  </si>
  <si>
    <t xml:space="preserve">Signature_f59a8a2a-d5e1-411c-9f6f-b6e8e38054b8</t>
  </si>
  <si>
    <t xml:space="preserve">2024-04-29 16:22:44-05:00</t>
  </si>
  <si>
    <t xml:space="preserve">2024:04:29 16:22:44-05:00</t>
  </si>
  <si>
    <t xml:space="preserve">[0 - 131717], [148103 - 152611]</t>
  </si>
  <si>
    <t xml:space="preserve">57 0 obj</t>
  </si>
  <si>
    <t xml:space="preserve">Signature_e750dd71-4507-488f-9d4d-0fe38e3e68a1</t>
  </si>
  <si>
    <t xml:space="preserve">2024-04-29 16:22:49-05:00</t>
  </si>
  <si>
    <t xml:space="preserve">2024:04:29 16:22:49-05:00</t>
  </si>
  <si>
    <t xml:space="preserve">[0 - 824556], [840942 - 846510]</t>
  </si>
  <si>
    <t xml:space="preserve">Signature_0c94d6fd-7830-4850-bb66-ae316875f5ec</t>
  </si>
  <si>
    <t xml:space="preserve">2024-04-29 16:22:48-05:00</t>
  </si>
  <si>
    <t xml:space="preserve">2024:04:29 16:22:48-05:00</t>
  </si>
  <si>
    <t xml:space="preserve">[0 - 838799], [855185 - 859780]</t>
  </si>
  <si>
    <t xml:space="preserve">Signature_c7aecb18-59e3-4b95-aa8b-9d2578ce0de0</t>
  </si>
  <si>
    <t xml:space="preserve">2024-04-29 16:22:46-05:00</t>
  </si>
  <si>
    <t xml:space="preserve">2024:04:29 16:22:46-05:00</t>
  </si>
  <si>
    <t xml:space="preserve">[0 - 834366], [850752 - 855349]</t>
  </si>
  <si>
    <t xml:space="preserve">Signature_244a64b3-60f4-440c-bb38-e27a0bdff4b6</t>
  </si>
  <si>
    <t xml:space="preserve">2024-04-29 16:22:45-05:00</t>
  </si>
  <si>
    <t xml:space="preserve">2024:04:29 16:22:45-05:00</t>
  </si>
  <si>
    <t xml:space="preserve">[0 - 821447], [837833 - 843404]</t>
  </si>
  <si>
    <t xml:space="preserve">Signature_1e1ae23f-63d9-483d-be10-f3801417cba7</t>
  </si>
  <si>
    <t xml:space="preserve">2024-04-29 16:22:43-05:00</t>
  </si>
  <si>
    <t xml:space="preserve">2024:04:29 16:22:43-05:00</t>
  </si>
  <si>
    <t xml:space="preserve">[0 - 235056], [251442 - 256051]</t>
  </si>
  <si>
    <t xml:space="preserve">Signature_950b6e5d-e4d6-477b-bb3a-7684c7fcf50a</t>
  </si>
  <si>
    <t xml:space="preserve">2024-04-29 16:22:54-05:00</t>
  </si>
  <si>
    <t xml:space="preserve">2024:04:29 16:22:54-05:00</t>
  </si>
  <si>
    <t xml:space="preserve">[0 - 791742], [808128 - 813326]</t>
  </si>
  <si>
    <t xml:space="preserve">Signature_f0b4fda2-fb7b-486b-83b8-2a9ade7957bc</t>
  </si>
  <si>
    <t xml:space="preserve">2024-04-29 16:22:52-05:00</t>
  </si>
  <si>
    <t xml:space="preserve">2024:04:29 16:22:52-05:00</t>
  </si>
  <si>
    <t xml:space="preserve">[0 - 253416], [269802 - 275189]</t>
  </si>
  <si>
    <t xml:space="preserve">Signature_80c38b55-4e36-4d39-ba51-7a2b2e3ec31f</t>
  </si>
  <si>
    <t xml:space="preserve">2024-04-29 16:22:50-05:00</t>
  </si>
  <si>
    <t xml:space="preserve">2024:04:29 16:22:50-05:00</t>
  </si>
  <si>
    <t xml:space="preserve">[0 - 869894], [886280 - 891255]</t>
  </si>
  <si>
    <t xml:space="preserve">Signature_9164e044-7dc4-4da8-9bcc-ab4758c523f4</t>
  </si>
  <si>
    <t xml:space="preserve">2024-04-29 16:22:42-05:00</t>
  </si>
  <si>
    <t xml:space="preserve">2024:04:29 16:22:42-05:00</t>
  </si>
  <si>
    <t xml:space="preserve">[0 - 744096], [760482 - 765073]</t>
  </si>
  <si>
    <t xml:space="preserve">Signature_722813b3-83c9-4a32-82e1-6b431b15d342</t>
  </si>
  <si>
    <t xml:space="preserve">2024-04-29 16:23:50-05:00</t>
  </si>
  <si>
    <t xml:space="preserve">2024:04:29 16:23:51-05:00</t>
  </si>
  <si>
    <t xml:space="preserve">[0 - 430733], [447119 - 449778]</t>
  </si>
  <si>
    <t xml:space="preserve">Signature_ec208eef-2b89-448b-9027-2187c6c16819</t>
  </si>
  <si>
    <t xml:space="preserve">2024-04-29 16:23:43-05:00</t>
  </si>
  <si>
    <t xml:space="preserve">2024:04:29 16:23:43-05:00</t>
  </si>
  <si>
    <t xml:space="preserve">[0 - 234970], [251356 - 256701]</t>
  </si>
  <si>
    <t xml:space="preserve">Signature_0f381100-9031-4fde-9b50-b09927ff89a3</t>
  </si>
  <si>
    <t xml:space="preserve">2024-04-29 16:23:42-05:00</t>
  </si>
  <si>
    <t xml:space="preserve">2024:04:29 16:23:42-05:00</t>
  </si>
  <si>
    <t xml:space="preserve">[0 - 275076], [291462 - 299949]</t>
  </si>
  <si>
    <t xml:space="preserve">Signature_a99653dc-2b9a-42d7-bb81-bebf85e7a459</t>
  </si>
  <si>
    <t xml:space="preserve">2024-04-29 16:23:41-05:00</t>
  </si>
  <si>
    <t xml:space="preserve">2024:04:29 16:23:41-05:00</t>
  </si>
  <si>
    <t xml:space="preserve">[0 - 92687], [109073 - 113627]</t>
  </si>
  <si>
    <t xml:space="preserve">Signature_39b74ac7-81bd-4a40-9dba-54d36881a455</t>
  </si>
  <si>
    <t xml:space="preserve">2024-04-29 16:23:29-05:00</t>
  </si>
  <si>
    <t xml:space="preserve">2024:04:29 16:23:29-05:00</t>
  </si>
  <si>
    <t xml:space="preserve">[0 - 70234], [86620 - 91092]</t>
  </si>
  <si>
    <t xml:space="preserve">Signature_85d3ae6d-83b5-46f8-8280-e9402286cd00</t>
  </si>
  <si>
    <t xml:space="preserve">2024-04-29 16:23:45-05:00</t>
  </si>
  <si>
    <t xml:space="preserve">2024:04:29 16:23:45-05:00</t>
  </si>
  <si>
    <t xml:space="preserve">[0 - 136834], [153220 - 161801]</t>
  </si>
  <si>
    <t xml:space="preserve">Signature_e4fae332-d4bf-4b87-85a5-b44a7edce958</t>
  </si>
  <si>
    <t xml:space="preserve">2024-04-29 16:23:37-05:00</t>
  </si>
  <si>
    <t xml:space="preserve">2024:04:29 16:23:37-05:00</t>
  </si>
  <si>
    <t xml:space="preserve">[0 - 110412], [126798 - 135329]</t>
  </si>
  <si>
    <t xml:space="preserve">Signature_38337c41-b774-4a9d-8734-1f2aa5d177a9</t>
  </si>
  <si>
    <t xml:space="preserve">2024-04-29 16:23:36-05:00</t>
  </si>
  <si>
    <t xml:space="preserve">2024:04:29 16:23:36-05:00</t>
  </si>
  <si>
    <t xml:space="preserve">[0 - 822572], [838958 - 844525]</t>
  </si>
  <si>
    <t xml:space="preserve">Signature_bc2a20bb-f471-4b80-878b-7c2eca07201a</t>
  </si>
  <si>
    <t xml:space="preserve">2024-04-29 16:23:27-05:00</t>
  </si>
  <si>
    <t xml:space="preserve">2024:04:29 16:23:27-05:00</t>
  </si>
  <si>
    <t xml:space="preserve">[0 - 248589], [264975 - 269583]</t>
  </si>
  <si>
    <t xml:space="preserve">Signature_7a175a75-33b4-4405-a3c6-f652b95487c5</t>
  </si>
  <si>
    <t xml:space="preserve">2024-04-29 16:23:38-05:00</t>
  </si>
  <si>
    <t xml:space="preserve">2024:04:29 16:23:38-05:00</t>
  </si>
  <si>
    <t xml:space="preserve">[0 - 842117], [858503 - 863475]</t>
  </si>
  <si>
    <t xml:space="preserve">Signature_052d1911-4fbd-4c1b-a543-f57f439a6641</t>
  </si>
  <si>
    <t xml:space="preserve">2024-04-29 16:23:35-05:00</t>
  </si>
  <si>
    <t xml:space="preserve">2024:04:29 16:23:35-05:00</t>
  </si>
  <si>
    <t xml:space="preserve">[0 - 905233], [921619 - 926702]</t>
  </si>
  <si>
    <t xml:space="preserve">Signature_7b276c06-4fff-41b2-9e6c-13e3075ecf0f</t>
  </si>
  <si>
    <t xml:space="preserve">2024-04-29 16:23:31-05:00</t>
  </si>
  <si>
    <t xml:space="preserve">2024:04:29 16:23:31-05:00</t>
  </si>
  <si>
    <t xml:space="preserve">[0 - 112418], [128804 - 137335]</t>
  </si>
  <si>
    <t xml:space="preserve">Signature_6dc13002-48c7-4da7-8259-5d7c5bf531b4</t>
  </si>
  <si>
    <t xml:space="preserve">2024-04-29 16:23:30-05:00</t>
  </si>
  <si>
    <t xml:space="preserve">2024:04:29 16:23:30-05:00</t>
  </si>
  <si>
    <t xml:space="preserve">[0 - 287504], [303890 - 309147]</t>
  </si>
  <si>
    <t xml:space="preserve">Signature_6b5da20a-d58b-416e-b10f-cd3ac576507f</t>
  </si>
  <si>
    <t xml:space="preserve">2024-04-29 16:23:46-05:00</t>
  </si>
  <si>
    <t xml:space="preserve">2024:04:29 16:23:46-05:00</t>
  </si>
  <si>
    <t xml:space="preserve">[0 - 117679], [134065 - 142596]</t>
  </si>
  <si>
    <t xml:space="preserve">Signature_002f064b-7393-478b-869d-c8044b183d67</t>
  </si>
  <si>
    <t xml:space="preserve">2024-04-29 16:23:44-05:00</t>
  </si>
  <si>
    <t xml:space="preserve">2024:04:29 16:23:44-05:00</t>
  </si>
  <si>
    <t xml:space="preserve">[0 - 131870], [148256 - 152731]</t>
  </si>
  <si>
    <t xml:space="preserve">Signature_ec0c4ca7-03ce-4912-ba6c-103646208f1e</t>
  </si>
  <si>
    <t xml:space="preserve">2024-04-29 16:23:32-05:00</t>
  </si>
  <si>
    <t xml:space="preserve">2024:04:29 16:23:32-05:00</t>
  </si>
  <si>
    <t xml:space="preserve">[0 - 87427], [103813 - 112299]</t>
  </si>
  <si>
    <t xml:space="preserve">Signature_259763e2-4552-4eaf-a5af-1512eccda373</t>
  </si>
  <si>
    <t xml:space="preserve">2024-04-29 16:23:39-05:00</t>
  </si>
  <si>
    <t xml:space="preserve">2024:04:29 16:23:39-05:00</t>
  </si>
  <si>
    <t xml:space="preserve">[0 - 318322], [334708 - 339695]</t>
  </si>
  <si>
    <t xml:space="preserve">Signature_ddc14a41-06cf-44cb-8416-faab4b9439a6</t>
  </si>
  <si>
    <t xml:space="preserve">2024-04-29 16:23:40-05:00</t>
  </si>
  <si>
    <t xml:space="preserve">2024:04:29 16:23:40-05:00</t>
  </si>
  <si>
    <t xml:space="preserve">[0 - 157139], [173525 - 178872]</t>
  </si>
  <si>
    <t xml:space="preserve">Signature_18840a35-8aa6-4cf1-a84d-ee2a031a1509</t>
  </si>
  <si>
    <t xml:space="preserve">2024-04-29 16:23:34-05:00</t>
  </si>
  <si>
    <t xml:space="preserve">2024:04:29 16:23:34-05:00</t>
  </si>
  <si>
    <t xml:space="preserve">[0 - 1003516], [1019902 - 1028435]</t>
  </si>
  <si>
    <t xml:space="preserve">Signature_d0f58f42-e975-4029-92ef-7333a08d139a</t>
  </si>
  <si>
    <t xml:space="preserve">2024-04-29 16:23:28-05:00</t>
  </si>
  <si>
    <t xml:space="preserve">2024:04:29 16:23:28-05:00</t>
  </si>
  <si>
    <t xml:space="preserve">[0 - 246871], [263257 - 271744]</t>
  </si>
  <si>
    <t xml:space="preserve">Signature_8d14310d-5761-4bac-b9cf-b308f08808ee</t>
  </si>
  <si>
    <t xml:space="preserve">2024-04-29 16:23:49-05:00</t>
  </si>
  <si>
    <t xml:space="preserve">2024:04:29 16:23:49-05:00</t>
  </si>
  <si>
    <t xml:space="preserve">[0 - 679828], [696214 - 701617]</t>
  </si>
  <si>
    <t xml:space="preserve">Signature_69a82864-297b-4134-9631-430f9226a486</t>
  </si>
  <si>
    <t xml:space="preserve">2024-04-29 16:23:48-05:00</t>
  </si>
  <si>
    <t xml:space="preserve">2024:04:29 16:23:48-05:00</t>
  </si>
  <si>
    <t xml:space="preserve">[0 - 717721], [734107 - 738688]</t>
  </si>
  <si>
    <t xml:space="preserve">Signature_c233def2-9ce9-4961-bd01-aa42702b9e38</t>
  </si>
  <si>
    <t xml:space="preserve">2024-04-29 16:24:46-05:00</t>
  </si>
  <si>
    <t xml:space="preserve">2024:04:29 16:24:46-05:00</t>
  </si>
  <si>
    <t xml:space="preserve">[0 - 77887], [94273 - 102759]</t>
  </si>
  <si>
    <t xml:space="preserve">Signature_5bb445e1-1d75-47eb-afe8-76ab663792d8</t>
  </si>
  <si>
    <t xml:space="preserve">2024-04-29 16:24:47-05:00</t>
  </si>
  <si>
    <t xml:space="preserve">2024:04:29 16:24:47-05:00</t>
  </si>
  <si>
    <t xml:space="preserve">[0 - 472761], [489147 - 492135]</t>
  </si>
  <si>
    <t xml:space="preserve">Signature_6af0f332-531a-4e73-b3ee-328ba71fd3ff</t>
  </si>
  <si>
    <t xml:space="preserve">2024-04-29 16:24:43-05:00</t>
  </si>
  <si>
    <t xml:space="preserve">2024:04:29 16:24:43-05:00</t>
  </si>
  <si>
    <t xml:space="preserve">[0 - 911016], [927402 - 933116]</t>
  </si>
  <si>
    <t xml:space="preserve">Signature_94e2d21a-68e2-4e3c-8bbc-5030e3976ae5</t>
  </si>
  <si>
    <t xml:space="preserve">2024-04-29 16:24:39-05:00</t>
  </si>
  <si>
    <t xml:space="preserve">2024:04:29 16:24:39-05:00</t>
  </si>
  <si>
    <t xml:space="preserve">[0 - 783386], [799772 - 804976]</t>
  </si>
  <si>
    <t xml:space="preserve">Signature_bec65b4d-b0e3-4488-8931-25e1548ffb61</t>
  </si>
  <si>
    <t xml:space="preserve">2024-04-29 16:24:40-05:00</t>
  </si>
  <si>
    <t xml:space="preserve">2024:04:29 16:24:40-05:00</t>
  </si>
  <si>
    <t xml:space="preserve">[0 - 824293], [840679 - 846247]</t>
  </si>
  <si>
    <t xml:space="preserve">Signature_1ac0a5ba-0064-4f6b-9acb-0434ece2cfa1</t>
  </si>
  <si>
    <t xml:space="preserve">2024-04-29 16:24:37-05:00</t>
  </si>
  <si>
    <t xml:space="preserve">2024:04:29 16:24:37-05:00</t>
  </si>
  <si>
    <t xml:space="preserve">[0 - 234959], [251345 - 255954]</t>
  </si>
  <si>
    <t xml:space="preserve">Signature_e3b226c3-623a-495d-8ca7-0eafaf43c48d</t>
  </si>
  <si>
    <t xml:space="preserve">2024-04-29 16:24:45-05:00</t>
  </si>
  <si>
    <t xml:space="preserve">2024:04:29 16:24:45-05:00</t>
  </si>
  <si>
    <t xml:space="preserve">[0 - 115464], [131850 - 140381]</t>
  </si>
  <si>
    <t xml:space="preserve">Signature_c174523d-d72a-4a62-abe4-6a3f2afbfca3</t>
  </si>
  <si>
    <t xml:space="preserve">2024-04-29 16:24:42-05:00</t>
  </si>
  <si>
    <t xml:space="preserve">2024:04:29 16:24:42-05:00</t>
  </si>
  <si>
    <t xml:space="preserve">[0 - 869997], [886383 - 891361]</t>
  </si>
  <si>
    <t xml:space="preserve">Signature_b84cbd96-0585-4bc2-b52c-a23064c23720</t>
  </si>
  <si>
    <t xml:space="preserve">2024-04-29 16:24:41-05:00</t>
  </si>
  <si>
    <t xml:space="preserve">2024:04:29 16:24:41-05:00</t>
  </si>
  <si>
    <t xml:space="preserve">[0 - 845732], [862118 - 867094]</t>
  </si>
  <si>
    <t xml:space="preserve">Signature_cf4b8fd9-d8df-44e0-928e-136c8e9a1c08</t>
  </si>
  <si>
    <t xml:space="preserve">2024-04-29 16:24:44-05:00</t>
  </si>
  <si>
    <t xml:space="preserve">2024:04:29 16:24:44-05:00</t>
  </si>
  <si>
    <t xml:space="preserve">[0 - 76743], [93129 - 101615]</t>
  </si>
  <si>
    <t xml:space="preserve">Signature_c7468d2d-92e3-4dd6-a4af-986da37bf9a5</t>
  </si>
  <si>
    <t xml:space="preserve">2024-04-29 16:25:47-05:00</t>
  </si>
  <si>
    <t xml:space="preserve">2024:04:29 16:25:47-05:00</t>
  </si>
  <si>
    <t xml:space="preserve">[0 - 211569], [227955 - 232499]</t>
  </si>
  <si>
    <t xml:space="preserve">Signature_e8e5b15e-148b-476e-a0f2-44982b3f7958</t>
  </si>
  <si>
    <t xml:space="preserve">2024-04-29 16:25:44-05:00</t>
  </si>
  <si>
    <t xml:space="preserve">2024:04:29 16:25:44-05:00</t>
  </si>
  <si>
    <t xml:space="preserve">[0 - 222550], [238936 - 243480]</t>
  </si>
  <si>
    <t xml:space="preserve">Signature_52ee03a3-db9d-4047-a6ab-e0f799159424</t>
  </si>
  <si>
    <t xml:space="preserve">2024-04-29 16:25:45-05:00</t>
  </si>
  <si>
    <t xml:space="preserve">2024:04:29 16:25:45-05:00</t>
  </si>
  <si>
    <t xml:space="preserve">[0 - 77283], [93669 - 98200]</t>
  </si>
  <si>
    <t xml:space="preserve">Signature_2602baae-96c4-41aa-bb95-10716f607027</t>
  </si>
  <si>
    <t xml:space="preserve">2024-04-29 16:25:58-05:00</t>
  </si>
  <si>
    <t xml:space="preserve">2024:04:29 16:25:58-05:00</t>
  </si>
  <si>
    <t xml:space="preserve">[0 - 2109604], [2125990 - 2130925]</t>
  </si>
  <si>
    <t xml:space="preserve">Signature_de35a6dd-5762-4fe2-b996-e933649758b0</t>
  </si>
  <si>
    <t xml:space="preserve">2024-04-29 16:25:59-05:00</t>
  </si>
  <si>
    <t xml:space="preserve">2024:04:29 16:25:59-05:00</t>
  </si>
  <si>
    <t xml:space="preserve">[0 - 251702], [268088 - 273474]</t>
  </si>
  <si>
    <t xml:space="preserve">Signature_3ab4f0c4-347b-4d98-8557-4e237ec3d715</t>
  </si>
  <si>
    <t xml:space="preserve">2024-04-29 16:26:01-05:00</t>
  </si>
  <si>
    <t xml:space="preserve">2024:04:29 16:26:01-05:00</t>
  </si>
  <si>
    <t xml:space="preserve">[0 - 430828], [447214 - 449873]</t>
  </si>
  <si>
    <t xml:space="preserve">Signature_be4976be-d807-47ff-89e0-ca3b7270fa64</t>
  </si>
  <si>
    <t xml:space="preserve">2024-04-29 16:25:50-05:00</t>
  </si>
  <si>
    <t xml:space="preserve">2024:04:29 16:25:50-05:00</t>
  </si>
  <si>
    <t xml:space="preserve">[0 - 873992], [890378 - 895656]</t>
  </si>
  <si>
    <t xml:space="preserve">Signature_891dc606-7246-41a9-b5a1-05b284c979a9</t>
  </si>
  <si>
    <t xml:space="preserve">2024-04-29 16:25:37-05:00</t>
  </si>
  <si>
    <t xml:space="preserve">2024:04:29 16:25:37-05:00</t>
  </si>
  <si>
    <t xml:space="preserve">[0 - 901734], [918120 - 923370]</t>
  </si>
  <si>
    <t xml:space="preserve">221 0 obj</t>
  </si>
  <si>
    <t xml:space="preserve">Signature_41d63559-69e8-4107-8d83-6df86b8a8e7d</t>
  </si>
  <si>
    <t xml:space="preserve">2024-04-29 16:25:42-05:00</t>
  </si>
  <si>
    <t xml:space="preserve">2024:04:29 16:25:42-05:00</t>
  </si>
  <si>
    <t xml:space="preserve">[0 - 60826], [77212 - 78862]</t>
  </si>
  <si>
    <t xml:space="preserve">Signature_bd083135-95ca-4988-a521-3c0933243920</t>
  </si>
  <si>
    <t xml:space="preserve">2024-04-29 16:25:55-05:00</t>
  </si>
  <si>
    <t xml:space="preserve">2024:04:29 16:25:56-05:00</t>
  </si>
  <si>
    <t xml:space="preserve">[0 - 65994], [82380 - 83650]</t>
  </si>
  <si>
    <t xml:space="preserve">22 0 obj</t>
  </si>
  <si>
    <t xml:space="preserve">Signature_b408a0a7-16de-496a-8f2d-ca723efd3b25</t>
  </si>
  <si>
    <t xml:space="preserve">2024-04-29 16:25:54-05:00</t>
  </si>
  <si>
    <t xml:space="preserve">2024:04:29 16:25:54-05:00</t>
  </si>
  <si>
    <t xml:space="preserve">[0 - 111989], [128375 - 132849]</t>
  </si>
  <si>
    <t xml:space="preserve">Signature_6dfc1a69-10b5-402d-b237-398d24e4865b</t>
  </si>
  <si>
    <t xml:space="preserve">2024-04-29 16:25:52-05:00</t>
  </si>
  <si>
    <t xml:space="preserve">2024:04:29 16:25:52-05:00</t>
  </si>
  <si>
    <t xml:space="preserve">[0 - 118723], [135109 - 140578]</t>
  </si>
  <si>
    <t xml:space="preserve">236 0 obj</t>
  </si>
  <si>
    <t xml:space="preserve">Signature_76a582c3-93cf-40ca-aa34-4c95ac06d5b2</t>
  </si>
  <si>
    <t xml:space="preserve">2024-04-29 16:25:40-05:00</t>
  </si>
  <si>
    <t xml:space="preserve">2024:04:29 16:25:40-05:00</t>
  </si>
  <si>
    <t xml:space="preserve">[0 - 824621], [841007 - 846579]</t>
  </si>
  <si>
    <t xml:space="preserve">Signature_92ae00d0-ce44-4499-9dca-2f0139b9da43</t>
  </si>
  <si>
    <t xml:space="preserve">2024-04-29 16:25:39-05:00</t>
  </si>
  <si>
    <t xml:space="preserve">2024:04:29 16:25:39-05:00</t>
  </si>
  <si>
    <t xml:space="preserve">[0 - 237909], [254295 - 259772]</t>
  </si>
  <si>
    <t xml:space="preserve">Signature_eb3bfb91-9b33-42df-bb33-f29d90c1ec0f</t>
  </si>
  <si>
    <t xml:space="preserve">2024-04-29 16:25:36-05:00</t>
  </si>
  <si>
    <t xml:space="preserve">2024:04:29 16:25:36-05:00</t>
  </si>
  <si>
    <t xml:space="preserve">[0 - 236361], [252747 - 258227]</t>
  </si>
  <si>
    <t xml:space="preserve">Signature_5454065c-98ab-4967-8be2-a5e0602fe824</t>
  </si>
  <si>
    <t xml:space="preserve">2024-04-29 16:25:48-05:00</t>
  </si>
  <si>
    <t xml:space="preserve">2024:04:29 16:25:48-05:00</t>
  </si>
  <si>
    <t xml:space="preserve">[0 - 689466], [705852 - 711009]</t>
  </si>
  <si>
    <t xml:space="preserve">Signature_59c4ce3c-b36d-4e8c-83fc-e6992193fe33</t>
  </si>
  <si>
    <t xml:space="preserve">2024-04-29 16:25:53-05:00</t>
  </si>
  <si>
    <t xml:space="preserve">2024:04:29 16:25:53-05:00</t>
  </si>
  <si>
    <t xml:space="preserve">[0 - 182141], [198527 - 203059]</t>
  </si>
  <si>
    <t xml:space="preserve">Signature_6aaa6fbc-d8e0-46a3-b393-4187ebcc9258</t>
  </si>
  <si>
    <t xml:space="preserve">2024-04-29 16:25:41-05:00</t>
  </si>
  <si>
    <t xml:space="preserve">2024:04:29 16:25:41-05:00</t>
  </si>
  <si>
    <t xml:space="preserve">[0 - 843733], [860119 - 865090]</t>
  </si>
  <si>
    <t xml:space="preserve">Signature_fa84d2d5-930f-4e30-bf08-90057ffaa966</t>
  </si>
  <si>
    <t xml:space="preserve">2024-04-29 16:26:00-05:00</t>
  </si>
  <si>
    <t xml:space="preserve">2024:04:29 16:26:00-05:00</t>
  </si>
  <si>
    <t xml:space="preserve">[0 - 90760], [107146 - 115632]</t>
  </si>
  <si>
    <t xml:space="preserve">Signature_b4d34a85-c6fe-4c32-af5b-0fd06bd87893</t>
  </si>
  <si>
    <t xml:space="preserve">2024-04-29 16:25:43-05:00</t>
  </si>
  <si>
    <t xml:space="preserve">2024:04:29 16:25:43-05:00</t>
  </si>
  <si>
    <t xml:space="preserve">[0 - 156545], [172931 - 177463]</t>
  </si>
  <si>
    <t xml:space="preserve">Signature_647e3f32-e0ee-4e1e-9f89-212b23b42653</t>
  </si>
  <si>
    <t xml:space="preserve">2024-04-29 16:25:51-05:00</t>
  </si>
  <si>
    <t xml:space="preserve">2024:04:29 16:25:51-05:00</t>
  </si>
  <si>
    <t xml:space="preserve">[0 - 112065], [128451 - 136982]</t>
  </si>
  <si>
    <t xml:space="preserve">Signature_3dba99be-ea09-4137-a58a-68171571799d</t>
  </si>
  <si>
    <t xml:space="preserve">2024-04-29 16:25:49-05:00</t>
  </si>
  <si>
    <t xml:space="preserve">2024:04:29 16:25:49-05:00</t>
  </si>
  <si>
    <t xml:space="preserve">[0 - 335983], [352369 - 356913]</t>
  </si>
  <si>
    <t xml:space="preserve">80 0 obj</t>
  </si>
  <si>
    <t xml:space="preserve">Signature_66b92cd6-8bb4-49d5-be28-70d790dc4996</t>
  </si>
  <si>
    <t xml:space="preserve">2024-04-29 16:25:46-05:00</t>
  </si>
  <si>
    <t xml:space="preserve">2024:04:29 16:25:46-05:00</t>
  </si>
  <si>
    <t xml:space="preserve">[0 - 66566], [82952 - 87450]</t>
  </si>
  <si>
    <t xml:space="preserve">Signature_70093208-49f2-491f-a9b4-2361ba118756</t>
  </si>
  <si>
    <t xml:space="preserve">2024-04-29 16:26:53-05:00</t>
  </si>
  <si>
    <t xml:space="preserve">2024:04:29 16:26:53-05:00</t>
  </si>
  <si>
    <t xml:space="preserve">[0 - 958389], [974775 - 979722]</t>
  </si>
  <si>
    <t xml:space="preserve">467 0 obj</t>
  </si>
  <si>
    <t xml:space="preserve">Signature_2d9fcd86-a05a-4699-bcd1-7e6792870d57</t>
  </si>
  <si>
    <t xml:space="preserve">2024-04-29 16:27:00-05:00</t>
  </si>
  <si>
    <t xml:space="preserve">2024:04:29 16:27:00-05:00</t>
  </si>
  <si>
    <t xml:space="preserve">[0 - 431073], [447459 - 450118]</t>
  </si>
  <si>
    <t xml:space="preserve">351 0 obj</t>
  </si>
  <si>
    <t xml:space="preserve">Signature_848c550f-5adc-43d2-8732-f55dd5d50cea</t>
  </si>
  <si>
    <t xml:space="preserve">2024-04-29 16:26:56-05:00</t>
  </si>
  <si>
    <t xml:space="preserve">2024:04:29 16:26:56-05:00</t>
  </si>
  <si>
    <t xml:space="preserve">[0 - 331126], [347512 - 351993]</t>
  </si>
  <si>
    <t xml:space="preserve">Signature_3732dfac-1dd9-4c92-835c-0d8e162cfc3d</t>
  </si>
  <si>
    <t xml:space="preserve">2024-04-29 16:26:58-05:00</t>
  </si>
  <si>
    <t xml:space="preserve">2024:04:29 16:26:58-05:00</t>
  </si>
  <si>
    <t xml:space="preserve">Signature_d21c20ab-cb8c-48fe-b927-52f5211fde94</t>
  </si>
  <si>
    <t xml:space="preserve">2024-04-29 16:26:52-05:00</t>
  </si>
  <si>
    <t xml:space="preserve">2024:04:29 16:26:52-05:00</t>
  </si>
  <si>
    <t xml:space="preserve">Signature_b7d31b4c-ab26-4c8c-b8fe-46fe329167c8</t>
  </si>
  <si>
    <t xml:space="preserve">2024-04-29 16:26:51-05:00</t>
  </si>
  <si>
    <t xml:space="preserve">2024:04:29 16:26:51-05:00</t>
  </si>
  <si>
    <t xml:space="preserve">Signature_74d16d3d-854d-4cf5-af8b-f9741fc35ae0</t>
  </si>
  <si>
    <t xml:space="preserve">2024-04-29 16:26:48-05:00</t>
  </si>
  <si>
    <t xml:space="preserve">2024:04:29 16:26:48-05:00</t>
  </si>
  <si>
    <t xml:space="preserve">[0 - 725976], [742362 - 747861]</t>
  </si>
  <si>
    <t xml:space="preserve">Signature_fa8760de-5f9b-446b-8feb-1e36984c1272</t>
  </si>
  <si>
    <t xml:space="preserve">2024-04-29 16:26:44-05:00</t>
  </si>
  <si>
    <t xml:space="preserve">2024:04:29 16:26:44-05:00</t>
  </si>
  <si>
    <t xml:space="preserve">Signature_faee1ae4-4868-49bb-9055-e375e87a92bb</t>
  </si>
  <si>
    <t xml:space="preserve">2024-04-29 16:26:43-05:00</t>
  </si>
  <si>
    <t xml:space="preserve">2024:04:29 16:26:43-05:00</t>
  </si>
  <si>
    <t xml:space="preserve">[0 - 709318], [725704 - 730277]</t>
  </si>
  <si>
    <t xml:space="preserve">Signature_381318b2-39b4-48b8-8962-b6043c0f8a12</t>
  </si>
  <si>
    <t xml:space="preserve">2024-04-29 16:26:49-05:00</t>
  </si>
  <si>
    <t xml:space="preserve">2024:04:29 16:26:49-05:00</t>
  </si>
  <si>
    <t xml:space="preserve">[0 - 226497], [242883 - 248577]</t>
  </si>
  <si>
    <t xml:space="preserve">Signature_10b1a24b-817e-4f01-bbea-119815e5ee3a</t>
  </si>
  <si>
    <t xml:space="preserve">2024-04-29 16:26:45-05:00</t>
  </si>
  <si>
    <t xml:space="preserve">2024:04:29 16:26:45-05:00</t>
  </si>
  <si>
    <t xml:space="preserve">Signature_7b146c54-f3b3-4dcf-86e9-dd91272965f9</t>
  </si>
  <si>
    <t xml:space="preserve">2024-04-29 16:26:54-05:00</t>
  </si>
  <si>
    <t xml:space="preserve">2024:04:29 16:26:54-05:00</t>
  </si>
  <si>
    <t xml:space="preserve">[0 - 795263], [811649 - 816725]</t>
  </si>
  <si>
    <t xml:space="preserve">Signature_63cfd256-e4f2-44b2-8df7-c057a44cb253</t>
  </si>
  <si>
    <t xml:space="preserve">2024-04-29 16:26:47-05:00</t>
  </si>
  <si>
    <t xml:space="preserve">2024:04:29 16:26:47-05:00</t>
  </si>
  <si>
    <t xml:space="preserve">[0 - 147499], [163885 - 168417]</t>
  </si>
  <si>
    <t xml:space="preserve">Signature_15a174e3-0178-4183-8b14-62702c1a8d01</t>
  </si>
  <si>
    <t xml:space="preserve">2024-04-29 16:26:57-05:00</t>
  </si>
  <si>
    <t xml:space="preserve">2024:04:29 16:26:57-05:00</t>
  </si>
  <si>
    <t xml:space="preserve">[0 - 721362], [737748 - 742208]</t>
  </si>
  <si>
    <t xml:space="preserve">Signature_67506948-200b-4a7a-90ae-10c01f27f302</t>
  </si>
  <si>
    <t xml:space="preserve">2024-04-29 16:26:39-05:00</t>
  </si>
  <si>
    <t xml:space="preserve">2024:04:29 16:26:39-05:00</t>
  </si>
  <si>
    <t xml:space="preserve">[0 - 1967759], [1984145 - 1992728]</t>
  </si>
  <si>
    <t xml:space="preserve">Signature_caca9490-59f3-458c-8747-4ff5ce984cba</t>
  </si>
  <si>
    <t xml:space="preserve">2024-04-29 16:26:38-05:00</t>
  </si>
  <si>
    <t xml:space="preserve">2024:04:29 16:26:38-05:00</t>
  </si>
  <si>
    <t xml:space="preserve">[0 - 2701419], [2717805 - 2726525]</t>
  </si>
  <si>
    <t xml:space="preserve">Signature_1378d465-550e-461c-9c49-04dd3daf5fa0</t>
  </si>
  <si>
    <t xml:space="preserve">2024-04-29 16:26:50-05:00</t>
  </si>
  <si>
    <t xml:space="preserve">2024:04:29 16:26:50-05:00</t>
  </si>
  <si>
    <t xml:space="preserve">[0 - 286715], [303101 - 311588]</t>
  </si>
  <si>
    <t xml:space="preserve">Signature_e44e1f73-d2ae-4045-91d9-bb4b640cd564</t>
  </si>
  <si>
    <t xml:space="preserve">2024-04-29 16:26:46-05:00</t>
  </si>
  <si>
    <t xml:space="preserve">2024:04:29 16:26:46-05:00</t>
  </si>
  <si>
    <t xml:space="preserve">Signature_45210cb3-fd88-45c6-8a8c-6b42c28d37b8</t>
  </si>
  <si>
    <t xml:space="preserve">2024-04-29 16:26:42-05:00</t>
  </si>
  <si>
    <t xml:space="preserve">2024:04:29 16:26:42-05:00</t>
  </si>
  <si>
    <t xml:space="preserve">Signature_f1a6e3c0-beee-4ddf-af69-e548c18ac725</t>
  </si>
  <si>
    <t xml:space="preserve">2024-04-29 16:26:40-05:00</t>
  </si>
  <si>
    <t xml:space="preserve">2024:04:29 16:26:40-05:00</t>
  </si>
  <si>
    <t xml:space="preserve">[0 - 77248], [93634 - 102129]</t>
  </si>
  <si>
    <t xml:space="preserve">Signature_89336c9b-2d8b-462b-aeca-cd3a0de92f92</t>
  </si>
  <si>
    <t xml:space="preserve">2024-04-29 16:26:37-05:00</t>
  </si>
  <si>
    <t xml:space="preserve">2024:04:29 16:26:37-05:00</t>
  </si>
  <si>
    <t xml:space="preserve">[0 - 255944], [272330 - 277470]</t>
  </si>
  <si>
    <t xml:space="preserve">529 0 obj</t>
  </si>
  <si>
    <t xml:space="preserve">Signature_5012f12d-86ec-47d6-9856-9cb41769c038</t>
  </si>
  <si>
    <t xml:space="preserve">2024-04-29 16:26:59-05:00</t>
  </si>
  <si>
    <t xml:space="preserve">2024:04:29 16:26:59-05:00</t>
  </si>
  <si>
    <t xml:space="preserve">[0 - 679252], [695638 - 701134]</t>
  </si>
  <si>
    <t xml:space="preserve">Signature_39ccbd94-0fe6-48c0-aed7-5afc09aaac36</t>
  </si>
  <si>
    <t xml:space="preserve">2024-04-29 16:28:01-05:00</t>
  </si>
  <si>
    <t xml:space="preserve">2024:04:29 16:28:02-05:00</t>
  </si>
  <si>
    <t xml:space="preserve">[0 - 444333], [460719 - 463754]</t>
  </si>
  <si>
    <t xml:space="preserve">Signature_4fb34a6d-daac-4cc4-8e40-e3403bd08568</t>
  </si>
  <si>
    <t xml:space="preserve">2024-04-29 16:27:57-05:00</t>
  </si>
  <si>
    <t xml:space="preserve">2024:04:29 16:27:57-05:00</t>
  </si>
  <si>
    <t xml:space="preserve">[0 - 240924], [257310 - 262701]</t>
  </si>
  <si>
    <t xml:space="preserve">Signature_0afc46b1-ff47-4463-b29d-5c4a608c1101</t>
  </si>
  <si>
    <t xml:space="preserve">2024-04-29 16:27:53-05:00</t>
  </si>
  <si>
    <t xml:space="preserve">2024:04:29 16:27:53-05:00</t>
  </si>
  <si>
    <t xml:space="preserve">[0 - 887348], [903734 - 909210]</t>
  </si>
  <si>
    <t xml:space="preserve">621 0 obj</t>
  </si>
  <si>
    <t xml:space="preserve">Signature_fc37b7fa-fbb0-41e2-8ce7-48e111e4a619</t>
  </si>
  <si>
    <t xml:space="preserve">2024-04-29 16:27:50-05:00</t>
  </si>
  <si>
    <t xml:space="preserve">2024:04:29 16:27:50-05:00</t>
  </si>
  <si>
    <t xml:space="preserve">[0 - 1167908], [1184294 - 1193218]</t>
  </si>
  <si>
    <t xml:space="preserve">637 0 obj</t>
  </si>
  <si>
    <t xml:space="preserve">Signature_fc2dcab9-15bd-4cdb-a1e3-6c01f3c5845e</t>
  </si>
  <si>
    <t xml:space="preserve">2024-04-29 16:27:47-05:00</t>
  </si>
  <si>
    <t xml:space="preserve">2024:04:29 16:27:47-05:00</t>
  </si>
  <si>
    <t xml:space="preserve">[0 - 369052], [385438 - 391457]</t>
  </si>
  <si>
    <t xml:space="preserve">Signature_28ee42c9-d48c-4858-891d-e207eaf31f90</t>
  </si>
  <si>
    <t xml:space="preserve">2024-04-29 16:27:58-05:00</t>
  </si>
  <si>
    <t xml:space="preserve">2024:04:29 16:27:58-05:00</t>
  </si>
  <si>
    <t xml:space="preserve">[0 - 73001], [89387 - 93874]</t>
  </si>
  <si>
    <t xml:space="preserve">Signature_494a4615-f96b-4aad-94d9-6e199b3538d7</t>
  </si>
  <si>
    <t xml:space="preserve">2024-04-29 16:27:52-05:00</t>
  </si>
  <si>
    <t xml:space="preserve">2024:04:29 16:27:52-05:00</t>
  </si>
  <si>
    <t xml:space="preserve">[0 - 716813], [733199 - 738707]</t>
  </si>
  <si>
    <t xml:space="preserve">Signature_5cfb3e82-3fd3-4ede-abcf-ec53dce0919c</t>
  </si>
  <si>
    <t xml:space="preserve">2024-04-29 16:27:54-05:00</t>
  </si>
  <si>
    <t xml:space="preserve">2024:04:29 16:27:54-05:00</t>
  </si>
  <si>
    <t xml:space="preserve">[0 - 283488], [299874 - 305640]</t>
  </si>
  <si>
    <t xml:space="preserve">Signature_2ea91af0-6a62-4fa3-a965-dc86ad3a1955</t>
  </si>
  <si>
    <t xml:space="preserve">2024-04-29 16:27:59-05:00</t>
  </si>
  <si>
    <t xml:space="preserve">2024:04:29 16:27:59-05:00</t>
  </si>
  <si>
    <t xml:space="preserve">[0 - 119876], [136262 - 140751]</t>
  </si>
  <si>
    <t xml:space="preserve">Signature_3e04a9e0-3eef-4883-8575-84edb7a2aa53</t>
  </si>
  <si>
    <t xml:space="preserve">2024-04-29 16:27:51-05:00</t>
  </si>
  <si>
    <t xml:space="preserve">2024:04:29 16:27:51-05:00</t>
  </si>
  <si>
    <t xml:space="preserve">[0 - 827513], [843899 - 849515]</t>
  </si>
  <si>
    <t xml:space="preserve">Signature_c0714bfc-4be3-47c0-8868-42f067ce54e1</t>
  </si>
  <si>
    <t xml:space="preserve">2024-04-29 16:27:48-05:00</t>
  </si>
  <si>
    <t xml:space="preserve">2024:04:29 16:27:48-05:00</t>
  </si>
  <si>
    <t xml:space="preserve">[0 - 822386], [838772 - 844342]</t>
  </si>
  <si>
    <t xml:space="preserve">Signature_fb2f766d-edfe-4436-906d-ec857918ea35</t>
  </si>
  <si>
    <t xml:space="preserve">2024-04-29 16:27:46-05:00</t>
  </si>
  <si>
    <t xml:space="preserve">2024:04:29 16:27:46-05:00</t>
  </si>
  <si>
    <t xml:space="preserve">[0 - 543417], [559803 - 565190]</t>
  </si>
  <si>
    <t xml:space="preserve">Signature_1fe578c3-d8bd-4bda-890b-a4f1405d22fd</t>
  </si>
  <si>
    <t xml:space="preserve">2024-04-29 16:28:00-05:00</t>
  </si>
  <si>
    <t xml:space="preserve">2024:04:29 16:28:00-05:00</t>
  </si>
  <si>
    <t xml:space="preserve">[0 - 140142], [156528 - 161002]</t>
  </si>
  <si>
    <t xml:space="preserve">Signature_bd3509c0-8452-4abf-a622-86fe18c650d1</t>
  </si>
  <si>
    <t xml:space="preserve">2024-04-29 16:27:55-05:00</t>
  </si>
  <si>
    <t xml:space="preserve">2024:04:29 16:27:55-05:00</t>
  </si>
  <si>
    <t xml:space="preserve">[0 - 272089], [288475 - 293426]</t>
  </si>
  <si>
    <t xml:space="preserve">150 0 obj</t>
  </si>
  <si>
    <t xml:space="preserve">Signature_ce5c5de5-765f-4a4f-a2f9-37fadc1f8182</t>
  </si>
  <si>
    <t xml:space="preserve">2024-04-29 16:27:56-05:00</t>
  </si>
  <si>
    <t xml:space="preserve">2024:04:29 16:27:56-05:00</t>
  </si>
  <si>
    <t xml:space="preserve">[0 - 121492], [137878 - 143178]</t>
  </si>
  <si>
    <t xml:space="preserve">Signature_6aae532c-edf0-4be0-a86a-b49e84096027</t>
  </si>
  <si>
    <t xml:space="preserve">2024-04-29 16:29:04-05:00</t>
  </si>
  <si>
    <t xml:space="preserve">2024:04:29 16:29:04-05:00</t>
  </si>
  <si>
    <t xml:space="preserve">[0 - 84857], [101243 - 102528]</t>
  </si>
  <si>
    <t xml:space="preserve">Signature_bea99ea1-681d-4b1c-bada-840351c87e29</t>
  </si>
  <si>
    <t xml:space="preserve">2024-04-29 16:28:58-05:00</t>
  </si>
  <si>
    <t xml:space="preserve">2024:04:29 16:28:58-05:00</t>
  </si>
  <si>
    <t xml:space="preserve">Signature_4667e350-e944-4a3d-b732-31a350c02b60</t>
  </si>
  <si>
    <t xml:space="preserve">2024-04-29 16:29:02-05:00</t>
  </si>
  <si>
    <t xml:space="preserve">2024:04:29 16:29:02-05:00</t>
  </si>
  <si>
    <t xml:space="preserve">[0 - 75407], [91793 - 100278]</t>
  </si>
  <si>
    <t xml:space="preserve">Signature_15c60f1c-6615-414c-8717-581d1061ebf5</t>
  </si>
  <si>
    <t xml:space="preserve">2024-04-29 16:29:00-05:00</t>
  </si>
  <si>
    <t xml:space="preserve">2024:04:29 16:29:00-05:00</t>
  </si>
  <si>
    <t xml:space="preserve">[0 - 171258], [187644 - 192384]</t>
  </si>
  <si>
    <t xml:space="preserve">Signature_7ccfb4a9-b909-4a74-b38e-53947579d905</t>
  </si>
  <si>
    <t xml:space="preserve">2024-04-29 16:28:59-05:00</t>
  </si>
  <si>
    <t xml:space="preserve">2024:04:29 16:28:59-05:00</t>
  </si>
  <si>
    <t xml:space="preserve">[0 - 867065], [883451 - 888436]</t>
  </si>
  <si>
    <t xml:space="preserve">Signature_00579b56-4778-435d-a2a2-736eced23c8e</t>
  </si>
  <si>
    <t xml:space="preserve">2024-04-29 16:29:01-05:00</t>
  </si>
  <si>
    <t xml:space="preserve">2024:04:29 16:29:01-05:00</t>
  </si>
  <si>
    <t xml:space="preserve">[0 - 198768], [215154 - 223641]</t>
  </si>
  <si>
    <t xml:space="preserve">Signature_7dda374a-c894-40c5-acbb-375d324386f3</t>
  </si>
  <si>
    <t xml:space="preserve">2024-04-29 16:29:03-05:00</t>
  </si>
  <si>
    <t xml:space="preserve">2024:04:29 16:29:03-05:00</t>
  </si>
  <si>
    <t xml:space="preserve">[0 - 672159], [688545 - 694010]</t>
  </si>
  <si>
    <t xml:space="preserve">Signature_c56a32d0-3e88-47a0-8ca0-da9583657c3d</t>
  </si>
  <si>
    <t xml:space="preserve">2024-04-29 16:30:03-05:00</t>
  </si>
  <si>
    <t xml:space="preserve">2024:04:29 16:30:04-05:00</t>
  </si>
  <si>
    <t xml:space="preserve">[0 - 459671], [476057 - 479045]</t>
  </si>
  <si>
    <t xml:space="preserve">Signature_c5b6ba11-d41b-4a6d-b383-ab9be4905b7b</t>
  </si>
  <si>
    <t xml:space="preserve">2024-04-29 16:29:56-05:00</t>
  </si>
  <si>
    <t xml:space="preserve">2024:04:29 16:29:56-05:00</t>
  </si>
  <si>
    <t xml:space="preserve">[0 - 944884], [961270 - 967030]</t>
  </si>
  <si>
    <t xml:space="preserve">Signature_54c8b54e-57ac-4f6b-b4b1-c19abcac1630</t>
  </si>
  <si>
    <t xml:space="preserve">2024-04-29 16:29:59-05:00</t>
  </si>
  <si>
    <t xml:space="preserve">2024:04:29 16:29:59-05:00</t>
  </si>
  <si>
    <t xml:space="preserve">[0 - 96397], [112783 - 121313]</t>
  </si>
  <si>
    <t xml:space="preserve">Signature_ece490d9-b408-4ed7-933d-b9623699f5ab</t>
  </si>
  <si>
    <t xml:space="preserve">2024-04-29 16:30:00-05:00</t>
  </si>
  <si>
    <t xml:space="preserve">2024:04:29 16:30:00-05:00</t>
  </si>
  <si>
    <t xml:space="preserve">[0 - 96623], [113009 - 121539]</t>
  </si>
  <si>
    <t xml:space="preserve">Signature_85c60399-9f6d-43c7-a818-0ba794b4ce9f</t>
  </si>
  <si>
    <t xml:space="preserve">2024-04-29 16:29:57-05:00</t>
  </si>
  <si>
    <t xml:space="preserve">2024:04:29 16:29:57-05:00</t>
  </si>
  <si>
    <t xml:space="preserve">[0 - 114810], [131196 - 139727]</t>
  </si>
  <si>
    <t xml:space="preserve">Signature_e88645de-300f-4c8c-92af-b40b6460ecc9</t>
  </si>
  <si>
    <t xml:space="preserve">2024-04-29 16:29:58-05:00</t>
  </si>
  <si>
    <t xml:space="preserve">2024:04:29 16:29:58-05:00</t>
  </si>
  <si>
    <t xml:space="preserve">[0 - 90443], [106829 - 115315]</t>
  </si>
  <si>
    <t xml:space="preserve">Signature_3bfd8460-4a9f-45b9-8d17-880fc22bc587</t>
  </si>
  <si>
    <t xml:space="preserve">2024-04-29 16:29:55-05:00</t>
  </si>
  <si>
    <t xml:space="preserve">2024:04:29 16:29:55-05:00</t>
  </si>
  <si>
    <t xml:space="preserve">[0 - 237484], [253870 - 258990]</t>
  </si>
  <si>
    <t xml:space="preserve">Signature_3bf0357e-fa84-435b-948d-c636d0b19a2e</t>
  </si>
  <si>
    <t xml:space="preserve">2024-04-29 16:30:02-05:00</t>
  </si>
  <si>
    <t xml:space="preserve">2024:04:29 16:30:02-05:00</t>
  </si>
  <si>
    <t xml:space="preserve">[0 - 679327], [695713 - 701208]</t>
  </si>
  <si>
    <t xml:space="preserve">Signature_377efb1f-a572-462c-ab8c-4b57249eaad7</t>
  </si>
  <si>
    <t xml:space="preserve">2024-04-29 16:30:01-05:00</t>
  </si>
  <si>
    <t xml:space="preserve">2024:04:29 16:30:01-05:00</t>
  </si>
  <si>
    <t xml:space="preserve">[0 - 687999], [704385 - 709610]</t>
  </si>
  <si>
    <t xml:space="preserve">Signature_7e1c2e33-552a-4bf8-bdcc-9cac0bbae816</t>
  </si>
  <si>
    <t xml:space="preserve">2024-04-29 16:30:52-05:00</t>
  </si>
  <si>
    <t xml:space="preserve">2024:04:29 16:30:52-05:00</t>
  </si>
  <si>
    <t xml:space="preserve">[0 - 747242], [763628 - 769394]</t>
  </si>
  <si>
    <t xml:space="preserve">Signature_c9571c5e-d559-43a3-918f-9e01fbf44244</t>
  </si>
  <si>
    <t xml:space="preserve">2024-04-29 16:31:10-05:00</t>
  </si>
  <si>
    <t xml:space="preserve">2024:04:29 16:31:10-05:00</t>
  </si>
  <si>
    <t xml:space="preserve">[0 - 358659], [375045 - 380650]</t>
  </si>
  <si>
    <t xml:space="preserve">Signature_27ea5d19-04bc-4cd2-9d07-b299f20b7a94</t>
  </si>
  <si>
    <t xml:space="preserve">2024-04-29 16:31:16-05:00</t>
  </si>
  <si>
    <t xml:space="preserve">2024:04:29 16:31:16-05:00</t>
  </si>
  <si>
    <t xml:space="preserve">[0 - 348578], [364964 - 371066]</t>
  </si>
  <si>
    <t xml:space="preserve">Signature_3efd8e1e-84d3-4b6b-9b0f-11016f3b0eea</t>
  </si>
  <si>
    <t xml:space="preserve">2024-04-29 16:31:19-05:00</t>
  </si>
  <si>
    <t xml:space="preserve">2024:04:29 16:31:19-05:00</t>
  </si>
  <si>
    <t xml:space="preserve">[0 - 512980], [529366 - 532589]</t>
  </si>
  <si>
    <t xml:space="preserve">Signature_a9d8b9bf-3796-48d5-8d25-7ef126d4289a</t>
  </si>
  <si>
    <t xml:space="preserve">2024-04-29 16:31:12-05:00</t>
  </si>
  <si>
    <t xml:space="preserve">2024:04:29 16:31:12-05:00</t>
  </si>
  <si>
    <t xml:space="preserve">[0 - 942239], [958625 - 964367]</t>
  </si>
  <si>
    <t xml:space="preserve">Signature_b5b577fc-9f55-4f4c-81f3-6b9a9896199b</t>
  </si>
  <si>
    <t xml:space="preserve">2024-04-29 16:31:04-05:00</t>
  </si>
  <si>
    <t xml:space="preserve">2024:04:29 16:31:04-05:00</t>
  </si>
  <si>
    <t xml:space="preserve">[0 - 93532], [109918 - 114472]</t>
  </si>
  <si>
    <t xml:space="preserve">Signature_e190a3bc-85ab-440d-8f82-0dbe1f1f07c0</t>
  </si>
  <si>
    <t xml:space="preserve">2024-04-29 16:31:13-05:00</t>
  </si>
  <si>
    <t xml:space="preserve">2024:04:29 16:31:13-05:00</t>
  </si>
  <si>
    <t xml:space="preserve">[0 - 97337], [113723 - 118162]</t>
  </si>
  <si>
    <t xml:space="preserve">Signature_8d25ab0f-eeb6-45b2-ad40-5bf365ac8e0d</t>
  </si>
  <si>
    <t xml:space="preserve">2024-04-29 16:31:06-05:00</t>
  </si>
  <si>
    <t xml:space="preserve">2024:04:29 16:31:06-05:00</t>
  </si>
  <si>
    <t xml:space="preserve">[0 - 69525], [85911 - 90383]</t>
  </si>
  <si>
    <t xml:space="preserve">Signature_8a78a0d5-bac2-4ff6-ad37-d88abda53e6d</t>
  </si>
  <si>
    <t xml:space="preserve">2024-04-29 16:31:02-05:00</t>
  </si>
  <si>
    <t xml:space="preserve">2024:04:29 16:31:02-05:00</t>
  </si>
  <si>
    <t xml:space="preserve">[0 - 68547], [84933 - 89405]</t>
  </si>
  <si>
    <t xml:space="preserve">Signature_44ad4264-47b6-4a7d-a965-8617ea84d992</t>
  </si>
  <si>
    <t xml:space="preserve">2024-04-29 16:30:54-05:00</t>
  </si>
  <si>
    <t xml:space="preserve">2024:04:29 16:30:54-05:00</t>
  </si>
  <si>
    <t xml:space="preserve">[0 - 69440], [85826 - 90299]</t>
  </si>
  <si>
    <t xml:space="preserve">Signature_e9ac925d-22e7-46b9-8280-4b54b3e8a88f</t>
  </si>
  <si>
    <t xml:space="preserve">2024-04-29 16:31:11-05:00</t>
  </si>
  <si>
    <t xml:space="preserve">2024:04:29 16:31:11-05:00</t>
  </si>
  <si>
    <t xml:space="preserve">[0 - 97038], [113424 - 117926]</t>
  </si>
  <si>
    <t xml:space="preserve">Signature_186ea7fb-bc53-4d03-b0b4-91c24532d63b</t>
  </si>
  <si>
    <t xml:space="preserve">2024-04-29 16:31:07-05:00</t>
  </si>
  <si>
    <t xml:space="preserve">2024:04:29 16:31:07-05:00</t>
  </si>
  <si>
    <t xml:space="preserve">[0 - 819107], [835493 - 841064]</t>
  </si>
  <si>
    <t xml:space="preserve">Signature_0aaf7dfa-a422-4e79-9d54-99e7b40f5927</t>
  </si>
  <si>
    <t xml:space="preserve">2024-04-29 16:31:14-05:00</t>
  </si>
  <si>
    <t xml:space="preserve">2024:04:29 16:31:14-05:00</t>
  </si>
  <si>
    <t xml:space="preserve">[0 - 255863], [272249 - 276692]</t>
  </si>
  <si>
    <t xml:space="preserve">Signature_7eceefd7-adf5-4405-980b-dfe28773cb74</t>
  </si>
  <si>
    <t xml:space="preserve">2024-04-29 16:31:17-05:00</t>
  </si>
  <si>
    <t xml:space="preserve">2024:04:29 16:31:17-05:00</t>
  </si>
  <si>
    <t xml:space="preserve">[0 - 87549], [103935 - 112421]</t>
  </si>
  <si>
    <t xml:space="preserve">Signature_f0387679-996f-4a56-a501-6d36d087be35</t>
  </si>
  <si>
    <t xml:space="preserve">2024-04-29 16:31:08-05:00</t>
  </si>
  <si>
    <t xml:space="preserve">2024:04:29 16:31:08-05:00</t>
  </si>
  <si>
    <t xml:space="preserve">[0 - 308199], [324585 - 329575]</t>
  </si>
  <si>
    <t xml:space="preserve">Signature_c4c1fec7-42d4-49a0-9e1a-3e27f0ba570f</t>
  </si>
  <si>
    <t xml:space="preserve">2024-04-29 16:30:58-05:00</t>
  </si>
  <si>
    <t xml:space="preserve">2024:04:29 16:30:58-05:00</t>
  </si>
  <si>
    <t xml:space="preserve">[0 - 237003], [253389 - 257868]</t>
  </si>
  <si>
    <t xml:space="preserve">Signature_12031039-e974-4b94-8bf1-3c3c06c243fd</t>
  </si>
  <si>
    <t xml:space="preserve">2024-04-29 16:30:57-05:00</t>
  </si>
  <si>
    <t xml:space="preserve">2024:04:29 16:30:57-05:00</t>
  </si>
  <si>
    <t xml:space="preserve">[0 - 239438], [255824 - 260303]</t>
  </si>
  <si>
    <t xml:space="preserve">Signature_fecde825-6e5d-4de3-a156-a10b3bb926c2</t>
  </si>
  <si>
    <t xml:space="preserve">2024-04-29 16:31:05-05:00</t>
  </si>
  <si>
    <t xml:space="preserve">2024:04:29 16:31:05-05:00</t>
  </si>
  <si>
    <t xml:space="preserve">[0 - 193394], [209780 - 215311]</t>
  </si>
  <si>
    <t xml:space="preserve">Signature_e279da57-58af-431a-b1dc-758c4f414f97</t>
  </si>
  <si>
    <t xml:space="preserve">2024-04-29 16:30:48-05:00</t>
  </si>
  <si>
    <t xml:space="preserve">2024:04:29 16:30:48-05:00</t>
  </si>
  <si>
    <t xml:space="preserve">[0 - 732281], [748667 - 753102]</t>
  </si>
  <si>
    <t xml:space="preserve">Signature_6708a858-67ab-4b91-bbf5-ba5de12e0b60</t>
  </si>
  <si>
    <t xml:space="preserve">2024-04-29 16:30:49-05:00</t>
  </si>
  <si>
    <t xml:space="preserve">2024:04:29 16:30:49-05:00</t>
  </si>
  <si>
    <t xml:space="preserve">[0 - 663960], [680346 - 684781]</t>
  </si>
  <si>
    <t xml:space="preserve">Signature_9012e670-3b80-4ac5-a019-80b93a26ad35</t>
  </si>
  <si>
    <t xml:space="preserve">2024-04-29 16:30:50-05:00</t>
  </si>
  <si>
    <t xml:space="preserve">2024:04:29 16:30:50-05:00</t>
  </si>
  <si>
    <t xml:space="preserve">[0 - 664168], [680554 - 684985]</t>
  </si>
  <si>
    <t xml:space="preserve">Signature_af5ef250-93ee-4ba3-a584-50629543702f</t>
  </si>
  <si>
    <t xml:space="preserve">2024-04-29 16:30:51-05:00</t>
  </si>
  <si>
    <t xml:space="preserve">2024:04:29 16:30:51-05:00</t>
  </si>
  <si>
    <t xml:space="preserve">[0 - 724936], [741322 - 745753]</t>
  </si>
  <si>
    <t xml:space="preserve">56 0 obj</t>
  </si>
  <si>
    <t xml:space="preserve">Signature_d9c1c020-fd76-4229-a335-a693ded03995</t>
  </si>
  <si>
    <t xml:space="preserve">2024-04-29 16:31:01-05:00</t>
  </si>
  <si>
    <t xml:space="preserve">2024:04:29 16:31:01-05:00</t>
  </si>
  <si>
    <t xml:space="preserve">[0 - 350586], [366972 - 371454]</t>
  </si>
  <si>
    <t xml:space="preserve">Signature_4460361b-9576-484d-8318-a5e41421fc45</t>
  </si>
  <si>
    <t xml:space="preserve">2024-04-29 16:31:15-05:00</t>
  </si>
  <si>
    <t xml:space="preserve">2024:04:29 16:31:15-05:00</t>
  </si>
  <si>
    <t xml:space="preserve">[0 - 792293], [808679 - 814456]</t>
  </si>
  <si>
    <t xml:space="preserve">Signature_9acd782f-283c-43be-85bc-4216975a45db</t>
  </si>
  <si>
    <t xml:space="preserve">2024-04-29 16:30:59-05:00</t>
  </si>
  <si>
    <t xml:space="preserve">2024:04:29 16:30:59-05:00</t>
  </si>
  <si>
    <t xml:space="preserve">[0 - 77197], [93583 - 98055]</t>
  </si>
  <si>
    <t xml:space="preserve">Signature_51f0f5e8-e626-45e9-97ea-61f6c84c2058</t>
  </si>
  <si>
    <t xml:space="preserve">2024-04-29 16:31:00-05:00</t>
  </si>
  <si>
    <t xml:space="preserve">2024:04:29 16:31:00-05:00</t>
  </si>
  <si>
    <t xml:space="preserve">[0 - 75963], [92349 - 96821]</t>
  </si>
  <si>
    <t xml:space="preserve">Signature_f2f54ae1-f984-4684-8a10-15f98beaf826</t>
  </si>
  <si>
    <t xml:space="preserve">2024-04-29 16:30:55-05:00</t>
  </si>
  <si>
    <t xml:space="preserve">2024:04:29 16:30:55-05:00</t>
  </si>
  <si>
    <t xml:space="preserve">[0 - 77342], [93728 - 98200]</t>
  </si>
  <si>
    <t xml:space="preserve">Signature_18a63ce1-ba89-4b38-81c6-9755788ce367</t>
  </si>
  <si>
    <t xml:space="preserve">2024-04-29 16:31:09-05:00</t>
  </si>
  <si>
    <t xml:space="preserve">2024:04:29 16:31:09-05:00</t>
  </si>
  <si>
    <t xml:space="preserve">[0 - 156656], [173042 - 178389]</t>
  </si>
  <si>
    <t xml:space="preserve">Signature_19605548-7ebc-435c-880b-9a4332f6ca9c</t>
  </si>
  <si>
    <t xml:space="preserve">2024-04-29 16:30:47-05:00</t>
  </si>
  <si>
    <t xml:space="preserve">2024:04:29 16:30:47-05:00</t>
  </si>
  <si>
    <t xml:space="preserve">[0 - 194727], [211113 - 217544]</t>
  </si>
  <si>
    <t xml:space="preserve">Signature_1ee6de23-11d0-4b42-8002-01620195e546</t>
  </si>
  <si>
    <t xml:space="preserve">2024-04-29 16:30:56-05:00</t>
  </si>
  <si>
    <t xml:space="preserve">2024:04:29 16:30:56-05:00</t>
  </si>
  <si>
    <t xml:space="preserve">[0 - 65618], [82004 - 86476]</t>
  </si>
  <si>
    <t xml:space="preserve">Signature_3190cab9-a1a0-412d-af04-e4a27bde5699</t>
  </si>
  <si>
    <t xml:space="preserve">2024-04-29 16:30:45-05:00</t>
  </si>
  <si>
    <t xml:space="preserve">2024:04:29 16:30:45-05:00</t>
  </si>
  <si>
    <t xml:space="preserve">[0 - 310295], [326681 - 331433]</t>
  </si>
  <si>
    <t xml:space="preserve">Signature_0de569a2-d543-46e2-b695-4d16ccde3578</t>
  </si>
  <si>
    <t xml:space="preserve">2024-04-29 16:30:46-05:00</t>
  </si>
  <si>
    <t xml:space="preserve">2024:04:29 16:30:46-05:00</t>
  </si>
  <si>
    <t xml:space="preserve">[0 - 251244], [267630 - 271993]</t>
  </si>
  <si>
    <t xml:space="preserve">Signature_c0400233-f5b7-4b7b-88d1-9fc7d1e9bf29</t>
  </si>
  <si>
    <t xml:space="preserve">2024-04-29 16:30:53-05:00</t>
  </si>
  <si>
    <t xml:space="preserve">2024:04:29 16:30:53-05:00</t>
  </si>
  <si>
    <t xml:space="preserve">[0 - 311892], [328278 - 333398]</t>
  </si>
  <si>
    <t xml:space="preserve">715 0 obj</t>
  </si>
  <si>
    <t xml:space="preserve">Signature_90231791-0e3e-43d1-b3ff-23f9e2910ce2</t>
  </si>
  <si>
    <t xml:space="preserve">2024-04-29 16:32:17-05:00</t>
  </si>
  <si>
    <t xml:space="preserve">2024:04:29 16:32:17-05:00</t>
  </si>
  <si>
    <t xml:space="preserve">[0 - 84444], [100830 - 102115]</t>
  </si>
  <si>
    <t xml:space="preserve">Signature_ecf7fd64-cd11-4027-9687-ba870674e153</t>
  </si>
  <si>
    <t xml:space="preserve">2024-04-29 16:32:09-05:00</t>
  </si>
  <si>
    <t xml:space="preserve">2024:04:29 16:32:09-05:00</t>
  </si>
  <si>
    <t xml:space="preserve">[0 - 838159], [854545 - 859789]</t>
  </si>
  <si>
    <t xml:space="preserve">Signature_d500b40d-e1ea-459e-a233-fdcba3b23669</t>
  </si>
  <si>
    <t xml:space="preserve">2024-04-29 16:32:14-05:00</t>
  </si>
  <si>
    <t xml:space="preserve">2024:04:29 16:32:14-05:00</t>
  </si>
  <si>
    <t xml:space="preserve">[0 - 240598], [256984 - 262470]</t>
  </si>
  <si>
    <t xml:space="preserve">Signature_ec40744b-77b8-45fe-9331-ac280986c9a2</t>
  </si>
  <si>
    <t xml:space="preserve">2024-04-29 16:32:11-05:00</t>
  </si>
  <si>
    <t xml:space="preserve">2024:04:29 16:32:11-05:00</t>
  </si>
  <si>
    <t xml:space="preserve">[0 - 800079], [816465 - 824996]</t>
  </si>
  <si>
    <t xml:space="preserve">Signature_e3528488-1c55-4378-bfdc-1b9d20ba2660</t>
  </si>
  <si>
    <t xml:space="preserve">2024-04-29 16:32:12-05:00</t>
  </si>
  <si>
    <t xml:space="preserve">2024:04:29 16:32:12-05:00</t>
  </si>
  <si>
    <t xml:space="preserve">[0 - 459019], [475405 - 483892]</t>
  </si>
  <si>
    <t xml:space="preserve">Signature_0e8915b6-48d0-4f2e-b285-c16e30ce6e41</t>
  </si>
  <si>
    <t xml:space="preserve">2024-04-29 16:32:10-05:00</t>
  </si>
  <si>
    <t xml:space="preserve">2024:04:29 16:32:10-05:00</t>
  </si>
  <si>
    <t xml:space="preserve">[0 - 157522], [173908 - 179427]</t>
  </si>
  <si>
    <t xml:space="preserve">Signature_88c6c177-7805-41f4-8468-4cdb5db20bf5</t>
  </si>
  <si>
    <t xml:space="preserve">2024-04-29 16:32:13-05:00</t>
  </si>
  <si>
    <t xml:space="preserve">2024:04:29 16:32:13-05:00</t>
  </si>
  <si>
    <t xml:space="preserve">[0 - 250097], [266483 - 274970]</t>
  </si>
  <si>
    <t xml:space="preserve">Signature_bc006eb9-d12b-421a-a61b-bb7970603ad1</t>
  </si>
  <si>
    <t xml:space="preserve">2024-04-29 16:32:16-05:00</t>
  </si>
  <si>
    <t xml:space="preserve">2024:04:29 16:32:16-05:00</t>
  </si>
  <si>
    <t xml:space="preserve">[0 - 672099], [688485 - 693949]</t>
  </si>
  <si>
    <t xml:space="preserve">Signature_cabb6cc7-069a-49e1-a5d2-37e7f62d7cc7</t>
  </si>
  <si>
    <t xml:space="preserve">2024-04-29 16:33:02-05:00</t>
  </si>
  <si>
    <t xml:space="preserve">2024:04:29 16:33:03-05:00</t>
  </si>
  <si>
    <t xml:space="preserve">[0 - 432582], [448968 - 452003]</t>
  </si>
  <si>
    <t xml:space="preserve">Signature_f67f9596-1093-45aa-9bed-a6bec34ac019</t>
  </si>
  <si>
    <t xml:space="preserve">2024-04-29 16:33:00-05:00</t>
  </si>
  <si>
    <t xml:space="preserve">2024:04:29 16:33:00-05:00</t>
  </si>
  <si>
    <t xml:space="preserve">[0 - 439916], [456302 - 464789]</t>
  </si>
  <si>
    <t xml:space="preserve">Signature_45a949da-d330-4c06-8c82-fefe9865503a</t>
  </si>
  <si>
    <t xml:space="preserve">2024-04-29 16:32:57-05:00</t>
  </si>
  <si>
    <t xml:space="preserve">2024:04:29 16:32:57-05:00</t>
  </si>
  <si>
    <t xml:space="preserve">[0 - 74935], [91321 - 99806]</t>
  </si>
  <si>
    <t xml:space="preserve">Signature_c18972f5-3ff8-4b32-b9b5-7266edfd6e4d</t>
  </si>
  <si>
    <t xml:space="preserve">2024-04-29 16:32:58-05:00</t>
  </si>
  <si>
    <t xml:space="preserve">2024:04:29 16:32:58-05:00</t>
  </si>
  <si>
    <t xml:space="preserve">[0 - 107630], [124016 - 132547]</t>
  </si>
  <si>
    <t xml:space="preserve">Signature_f0c259c4-c8d1-48f6-833d-1e270fdc0eb2</t>
  </si>
  <si>
    <t xml:space="preserve">2024-04-29 16:32:56-05:00</t>
  </si>
  <si>
    <t xml:space="preserve">2024:04:29 16:32:56-05:00</t>
  </si>
  <si>
    <t xml:space="preserve">[0 - 820814], [837200 - 842802]</t>
  </si>
  <si>
    <t xml:space="preserve">336 0 obj</t>
  </si>
  <si>
    <t xml:space="preserve">Signature_248b9f48-8960-465e-941b-9f1a726a993b</t>
  </si>
  <si>
    <t xml:space="preserve">2024-04-29 16:32:59-05:00</t>
  </si>
  <si>
    <t xml:space="preserve">2024:04:29 16:32:59-05:00</t>
  </si>
  <si>
    <t xml:space="preserve">[0 - 112997], [129383 - 137914]</t>
  </si>
  <si>
    <t xml:space="preserve">Signature_312b0b37-7128-4d78-abe0-bb9883d3d4f1</t>
  </si>
  <si>
    <t xml:space="preserve">2024-04-29 16:32:54-05:00</t>
  </si>
  <si>
    <t xml:space="preserve">2024:04:29 16:32:54-05:00</t>
  </si>
  <si>
    <t xml:space="preserve">[0 - 112470], [128856 - 137387]</t>
  </si>
  <si>
    <t xml:space="preserve">Signature_5572af1c-d036-41ff-a71a-e3eb86e70bac</t>
  </si>
  <si>
    <t xml:space="preserve">2024-04-29 16:32:53-05:00</t>
  </si>
  <si>
    <t xml:space="preserve">2024:04:29 16:32:53-05:00</t>
  </si>
  <si>
    <t xml:space="preserve">[0 - 143294], [159680 - 168211]</t>
  </si>
  <si>
    <t xml:space="preserve">Signature_d8186f6b-688e-4efb-a610-de1cc6781aed</t>
  </si>
  <si>
    <t xml:space="preserve">2024-04-29 16:32:55-05:00</t>
  </si>
  <si>
    <t xml:space="preserve">2024:04:29 16:32:55-05:00</t>
  </si>
  <si>
    <t xml:space="preserve">[0 - 436998], [453384 - 461871]</t>
  </si>
  <si>
    <t xml:space="preserve">Signature_0a4360d5-a29e-4bf0-b72b-f653350e1cd3</t>
  </si>
  <si>
    <t xml:space="preserve">2024-04-29 16:33:01-05:00</t>
  </si>
  <si>
    <t xml:space="preserve">2024:04:29 16:33:01-05:00</t>
  </si>
  <si>
    <t xml:space="preserve">[0 - 679314], [695700 - 701195]</t>
  </si>
  <si>
    <t xml:space="preserve">Signature_a28ce46c-48f1-4377-835e-d76b0c4ea512</t>
  </si>
  <si>
    <t xml:space="preserve">2024-04-29 16:39:40-05:00</t>
  </si>
  <si>
    <t xml:space="preserve">2024:04:29 16:39:40-05:00</t>
  </si>
  <si>
    <t xml:space="preserve">[0 - 519432], [535818 - 540309]</t>
  </si>
  <si>
    <t xml:space="preserve">Signature_76cc363f-6f27-4a43-9b64-8c40f3061a18</t>
  </si>
  <si>
    <t xml:space="preserve">2024-04-29 16:39:49-05:00</t>
  </si>
  <si>
    <t xml:space="preserve">2024:04:29 16:39:50-05:00</t>
  </si>
  <si>
    <t xml:space="preserve">[0 - 424860], [441246 - 443905]</t>
  </si>
  <si>
    <t xml:space="preserve">Signature_7103361a-ac65-449a-a207-636fc2cb0222</t>
  </si>
  <si>
    <t xml:space="preserve">2024-04-29 16:39:39-05:00</t>
  </si>
  <si>
    <t xml:space="preserve">2024:04:29 16:39:39-05:00</t>
  </si>
  <si>
    <t xml:space="preserve">[0 - 935853], [952239 - 957987]</t>
  </si>
  <si>
    <t xml:space="preserve">Signature_9788393b-70cf-4b0d-ba35-e39a33f854c6</t>
  </si>
  <si>
    <t xml:space="preserve">2024-04-29 16:39:46-05:00</t>
  </si>
  <si>
    <t xml:space="preserve">2024:04:29 16:39:46-05:00</t>
  </si>
  <si>
    <t xml:space="preserve">[0 - 426939], [443325 - 451812]</t>
  </si>
  <si>
    <t xml:space="preserve">Signature_18ace522-6ed5-4634-8f88-0689bdd5a2e6</t>
  </si>
  <si>
    <t xml:space="preserve">2024-04-29 16:39:44-05:00</t>
  </si>
  <si>
    <t xml:space="preserve">2024:04:29 16:39:44-05:00</t>
  </si>
  <si>
    <t xml:space="preserve">[0 - 506534], [522920 - 531451]</t>
  </si>
  <si>
    <t xml:space="preserve">Signature_06a6ec9b-5de0-4f16-9d38-9780e95c2aa8</t>
  </si>
  <si>
    <t xml:space="preserve">2024-04-29 16:39:33-05:00</t>
  </si>
  <si>
    <t xml:space="preserve">2024:04:29 16:39:33-05:00</t>
  </si>
  <si>
    <t xml:space="preserve">[0 - 692708], [709094 - 714352]</t>
  </si>
  <si>
    <t xml:space="preserve">Signature_50a0612f-ea17-455e-8d1e-3175c992490e</t>
  </si>
  <si>
    <t xml:space="preserve">2024-04-29 16:39:34-05:00</t>
  </si>
  <si>
    <t xml:space="preserve">2024:04:29 16:39:34-05:00</t>
  </si>
  <si>
    <t xml:space="preserve">[0 - 708108], [724494 - 729078]</t>
  </si>
  <si>
    <t xml:space="preserve">Signature_cbdcc86f-f8f9-4b21-a174-dac838cf7918</t>
  </si>
  <si>
    <t xml:space="preserve">2024-04-29 16:39:36-05:00</t>
  </si>
  <si>
    <t xml:space="preserve">2024:04:29 16:39:36-05:00</t>
  </si>
  <si>
    <t xml:space="preserve">Signature_8e766808-266e-4693-adbc-6a6ddd536254</t>
  </si>
  <si>
    <t xml:space="preserve">Signature_bbae93f6-689c-4974-bc5c-3138d4c03bfe</t>
  </si>
  <si>
    <t xml:space="preserve">2024-04-29 16:39:41-05:00</t>
  </si>
  <si>
    <t xml:space="preserve">2024:04:29 16:39:41-05:00</t>
  </si>
  <si>
    <t xml:space="preserve">[0 - 1056088], [1072474 - 1081007]</t>
  </si>
  <si>
    <t xml:space="preserve">Signature_bd786e1a-f40d-4019-867d-d6920aacc4f6</t>
  </si>
  <si>
    <t xml:space="preserve">2024-04-29 16:39:38-05:00</t>
  </si>
  <si>
    <t xml:space="preserve">2024:04:29 16:39:38-05:00</t>
  </si>
  <si>
    <t xml:space="preserve">[0 - 847485], [863871 - 868847]</t>
  </si>
  <si>
    <t xml:space="preserve">Signature_cdbfc7f0-0e7c-4597-8bc8-0363168faea4</t>
  </si>
  <si>
    <t xml:space="preserve">[0 - 847222], [863608 - 868590]</t>
  </si>
  <si>
    <t xml:space="preserve">Signature_bb8f2a40-a547-42c6-8cb2-6f736f45028c</t>
  </si>
  <si>
    <t xml:space="preserve">2024-04-29 16:39:42-05:00</t>
  </si>
  <si>
    <t xml:space="preserve">2024:04:29 16:39:42-05:00</t>
  </si>
  <si>
    <t xml:space="preserve">[0 - 794022], [810408 - 818895]</t>
  </si>
  <si>
    <t xml:space="preserve">Signature_f9352b91-fd8c-42e2-9855-9f52790a46a2</t>
  </si>
  <si>
    <t xml:space="preserve">2024-04-29 16:39:47-05:00</t>
  </si>
  <si>
    <t xml:space="preserve">2024:04:29 16:39:47-05:00</t>
  </si>
  <si>
    <t xml:space="preserve">[0 - 311203], [327589 - 336076]</t>
  </si>
  <si>
    <t xml:space="preserve">Signature_6d8993c6-8adc-4e76-9285-2825d4d6da25</t>
  </si>
  <si>
    <t xml:space="preserve">2024-04-29 16:39:45-05:00</t>
  </si>
  <si>
    <t xml:space="preserve">2024:04:29 16:39:45-05:00</t>
  </si>
  <si>
    <t xml:space="preserve">[0 - 375769], [392155 - 400642]</t>
  </si>
  <si>
    <t xml:space="preserve">Signature_6d4dbfae-f7c0-4b6a-8313-00caf8e6bf86</t>
  </si>
  <si>
    <t xml:space="preserve">2024-04-29 16:39:43-05:00</t>
  </si>
  <si>
    <t xml:space="preserve">2024:04:29 16:39:43-05:00</t>
  </si>
  <si>
    <t xml:space="preserve">[0 - 264302], [280688 - 289175]</t>
  </si>
  <si>
    <t xml:space="preserve">Signature_551dc1a4-571a-4c3b-b55e-ec7113af5802</t>
  </si>
  <si>
    <t xml:space="preserve">2024-04-29 16:39:48-05:00</t>
  </si>
  <si>
    <t xml:space="preserve">2024:04:29 16:39:48-05:00</t>
  </si>
  <si>
    <t xml:space="preserve">[0 - 680353], [696739 - 702233]</t>
  </si>
  <si>
    <t xml:space="preserve">Signature_a6f42fb1-c8da-4101-ac1b-a74c2d7dab34</t>
  </si>
  <si>
    <t xml:space="preserve">2024-04-29 16:40:48-05:00</t>
  </si>
  <si>
    <t xml:space="preserve">2024:04:29 16:40:48-05:00</t>
  </si>
  <si>
    <t xml:space="preserve">[0 - 681191], [697577 - 703431]</t>
  </si>
  <si>
    <t xml:space="preserve">780 0 obj</t>
  </si>
  <si>
    <t xml:space="preserve">Signature_ebfe91a4-8976-41d0-80d2-9b8fa9178433</t>
  </si>
  <si>
    <t xml:space="preserve">2024-04-29 16:40:52-05:00</t>
  </si>
  <si>
    <t xml:space="preserve">2024:04:29 16:40:53-05:00</t>
  </si>
  <si>
    <t xml:space="preserve">[0 - 428625], [445011 - 447670]</t>
  </si>
  <si>
    <t xml:space="preserve">Signature_c52054a5-9ce2-4d2e-b41f-7efb2d18005f</t>
  </si>
  <si>
    <t xml:space="preserve">2024-04-29 16:40:49-05:00</t>
  </si>
  <si>
    <t xml:space="preserve">2024:04:29 16:40:49-05:00</t>
  </si>
  <si>
    <t xml:space="preserve">[0 - 234967], [251353 - 256700]</t>
  </si>
  <si>
    <t xml:space="preserve">Signature_81560afd-7f57-4e0c-9d5e-a25129fbe802</t>
  </si>
  <si>
    <t xml:space="preserve">2024-04-29 16:40:47-05:00</t>
  </si>
  <si>
    <t xml:space="preserve">2024:04:29 16:40:47-05:00</t>
  </si>
  <si>
    <t xml:space="preserve">[0 - 272170], [288556 - 297043]</t>
  </si>
  <si>
    <t xml:space="preserve">Signature_84baae9f-cb62-4fdf-932a-b19ecbdddfc0</t>
  </si>
  <si>
    <t xml:space="preserve">2024-04-29 16:40:46-05:00</t>
  </si>
  <si>
    <t xml:space="preserve">2024:04:29 16:40:46-05:00</t>
  </si>
  <si>
    <t xml:space="preserve">Signature_8cd178e1-fffb-4153-8ed9-996ba869ae2d</t>
  </si>
  <si>
    <t xml:space="preserve">2024-04-29 16:40:34-05:00</t>
  </si>
  <si>
    <t xml:space="preserve">2024:04:29 16:40:34-05:00</t>
  </si>
  <si>
    <t xml:space="preserve">[0 - 70235], [86621 - 91093]</t>
  </si>
  <si>
    <t xml:space="preserve">Signature_c95a44ca-256f-4642-a25e-4e1f85736f66</t>
  </si>
  <si>
    <t xml:space="preserve">2024-04-29 16:40:42-05:00</t>
  </si>
  <si>
    <t xml:space="preserve">2024:04:29 16:40:42-05:00</t>
  </si>
  <si>
    <t xml:space="preserve">[0 - 110010], [126396 - 134927]</t>
  </si>
  <si>
    <t xml:space="preserve">Signature_68519909-c3b7-4264-bc8f-0523d30c4ed8</t>
  </si>
  <si>
    <t xml:space="preserve">2024-04-29 16:40:41-05:00</t>
  </si>
  <si>
    <t xml:space="preserve">2024:04:29 16:40:41-05:00</t>
  </si>
  <si>
    <t xml:space="preserve">[0 - 822573], [838959 - 844529]</t>
  </si>
  <si>
    <t xml:space="preserve">Signature_79a69574-4ba2-44fb-b9ab-600585d014ee</t>
  </si>
  <si>
    <t xml:space="preserve">2024-04-29 16:40:32-05:00</t>
  </si>
  <si>
    <t xml:space="preserve">2024:04:29 16:40:32-05:00</t>
  </si>
  <si>
    <t xml:space="preserve">[0 - 248588], [264974 - 269584]</t>
  </si>
  <si>
    <t xml:space="preserve">Signature_ecbd9838-7570-4917-b8e7-1a158e58fadd</t>
  </si>
  <si>
    <t xml:space="preserve">2024-04-29 16:40:51-05:00</t>
  </si>
  <si>
    <t xml:space="preserve">2024:04:29 16:40:51-05:00</t>
  </si>
  <si>
    <t xml:space="preserve">[0 - 1115878], [1132264 - 1140797]</t>
  </si>
  <si>
    <t xml:space="preserve">Signature_e5037c4a-7f4d-491d-aa6c-8e2dc2518a93</t>
  </si>
  <si>
    <t xml:space="preserve">2024-04-29 16:40:43-05:00</t>
  </si>
  <si>
    <t xml:space="preserve">2024:04:29 16:40:43-05:00</t>
  </si>
  <si>
    <t xml:space="preserve">[0 - 842117], [858503 - 863477]</t>
  </si>
  <si>
    <t xml:space="preserve">Signature_1bc5c93f-2676-4482-8498-fff13c431759</t>
  </si>
  <si>
    <t xml:space="preserve">2024-04-29 16:40:40-05:00</t>
  </si>
  <si>
    <t xml:space="preserve">2024:04:29 16:40:40-05:00</t>
  </si>
  <si>
    <t xml:space="preserve">[0 - 905235], [921621 - 926703]</t>
  </si>
  <si>
    <t xml:space="preserve">Signature_91f16140-4a35-4315-a922-2317ef8047a6</t>
  </si>
  <si>
    <t xml:space="preserve">2024-04-29 16:40:36-05:00</t>
  </si>
  <si>
    <t xml:space="preserve">2024:04:29 16:40:36-05:00</t>
  </si>
  <si>
    <t xml:space="preserve">[0 - 112509], [128895 - 137426]</t>
  </si>
  <si>
    <t xml:space="preserve">Signature_6e37445f-cb42-45e2-80b2-25f92885134f</t>
  </si>
  <si>
    <t xml:space="preserve">2024-04-29 16:40:35-05:00</t>
  </si>
  <si>
    <t xml:space="preserve">2024:04:29 16:40:35-05:00</t>
  </si>
  <si>
    <t xml:space="preserve">[0 - 287505], [303891 - 309148]</t>
  </si>
  <si>
    <t xml:space="preserve">Signature_ed9737e6-d0d2-4c56-ad05-3f1f8867cec6</t>
  </si>
  <si>
    <t xml:space="preserve">[0 - 799789], [816175 - 824662]</t>
  </si>
  <si>
    <t xml:space="preserve">Signature_b9c6d94d-d906-4223-a7a7-5a33337d4782</t>
  </si>
  <si>
    <t xml:space="preserve">2024-04-29 16:40:37-05:00</t>
  </si>
  <si>
    <t xml:space="preserve">2024:04:29 16:40:37-05:00</t>
  </si>
  <si>
    <t xml:space="preserve">[0 - 87670], [104056 - 112542]</t>
  </si>
  <si>
    <t xml:space="preserve">Signature_6f153557-977f-44db-b041-58b807b15930</t>
  </si>
  <si>
    <t xml:space="preserve">2024-04-29 16:40:44-05:00</t>
  </si>
  <si>
    <t xml:space="preserve">2024:04:29 16:40:44-05:00</t>
  </si>
  <si>
    <t xml:space="preserve">[0 - 317250], [333636 - 338626]</t>
  </si>
  <si>
    <t xml:space="preserve">Signature_77f3afa9-51e1-4b26-b7fa-40944cc0ca0c</t>
  </si>
  <si>
    <t xml:space="preserve">2024-04-29 16:40:45-05:00</t>
  </si>
  <si>
    <t xml:space="preserve">2024:04:29 16:40:45-05:00</t>
  </si>
  <si>
    <t xml:space="preserve">[0 - 157135], [173521 - 178869]</t>
  </si>
  <si>
    <t xml:space="preserve">Signature_c36f73e0-876a-4802-9ff5-afce978b2085</t>
  </si>
  <si>
    <t xml:space="preserve">2024-04-29 16:40:39-05:00</t>
  </si>
  <si>
    <t xml:space="preserve">2024:04:29 16:40:39-05:00</t>
  </si>
  <si>
    <t xml:space="preserve">[0 - 1002992], [1019378 - 1027911]</t>
  </si>
  <si>
    <t xml:space="preserve">Signature_7d3ac877-151a-47cf-b735-c382812b2465</t>
  </si>
  <si>
    <t xml:space="preserve">2024-04-29 16:40:33-05:00</t>
  </si>
  <si>
    <t xml:space="preserve">2024:04:29 16:40:33-05:00</t>
  </si>
  <si>
    <t xml:space="preserve">[0 - 242562], [258948 - 267435]</t>
  </si>
  <si>
    <t xml:space="preserve">Signature_66fbc05f-8e00-4ebd-82a6-4057508d64d4</t>
  </si>
  <si>
    <t xml:space="preserve">2024-04-29 16:41:28-05:00</t>
  </si>
  <si>
    <t xml:space="preserve">2024:04:29 16:41:28-05:00</t>
  </si>
  <si>
    <t xml:space="preserve">[0 - 96993], [113379 - 118054]</t>
  </si>
  <si>
    <t xml:space="preserve">Signature_de5999b4-95b9-4151-9186-a36c20e96e0e</t>
  </si>
  <si>
    <t xml:space="preserve">2024-04-29 16:41:32-05:00</t>
  </si>
  <si>
    <t xml:space="preserve">2024:04:29 16:41:32-05:00</t>
  </si>
  <si>
    <t xml:space="preserve">[0 - 426654], [443040 - 445699]</t>
  </si>
  <si>
    <t xml:space="preserve">Signature_7938a85e-7acb-445a-94f9-7d0885f0851f</t>
  </si>
  <si>
    <t xml:space="preserve">2024-04-29 16:41:30-05:00</t>
  </si>
  <si>
    <t xml:space="preserve">2024:04:29 16:41:30-05:00</t>
  </si>
  <si>
    <t xml:space="preserve">[0 - 944888], [961274 - 967033]</t>
  </si>
  <si>
    <t xml:space="preserve">Signature_847bac4d-c297-483f-8ca2-b3d02354bc0d</t>
  </si>
  <si>
    <t xml:space="preserve">[0 - 822704], [839090 - 844659]</t>
  </si>
  <si>
    <t xml:space="preserve">Signature_c064a7ca-8da7-487b-bd18-9ae95b234047</t>
  </si>
  <si>
    <t xml:space="preserve">2024-04-29 16:41:31-05:00</t>
  </si>
  <si>
    <t xml:space="preserve">2024:04:29 16:41:31-05:00</t>
  </si>
  <si>
    <t xml:space="preserve">[0 - 679295], [695681 - 701175]</t>
  </si>
  <si>
    <t xml:space="preserve">Signature_b90ae7fa-75e5-420d-bdb2-d4893eb69b2d</t>
  </si>
  <si>
    <t xml:space="preserve">2024-04-29 16:42:17-05:00</t>
  </si>
  <si>
    <t xml:space="preserve">2024:04:29 16:42:17-05:00</t>
  </si>
  <si>
    <t xml:space="preserve">[0 - 733794], [750180 - 755524]</t>
  </si>
  <si>
    <t xml:space="preserve">Signature_17a6b4fd-e71d-4c41-a6b8-071f50f7cc5f</t>
  </si>
  <si>
    <t xml:space="preserve">2024-04-29 16:42:19-05:00</t>
  </si>
  <si>
    <t xml:space="preserve">2024:04:29 16:42:19-05:00</t>
  </si>
  <si>
    <t xml:space="preserve">[0 - 930177], [946563 - 951846]</t>
  </si>
  <si>
    <t xml:space="preserve">Signature_16971c64-98d3-4aac-b289-d2b7eac21971</t>
  </si>
  <si>
    <t xml:space="preserve">2024-04-29 16:42:25-05:00</t>
  </si>
  <si>
    <t xml:space="preserve">2024:04:29 16:42:25-05:00</t>
  </si>
  <si>
    <t xml:space="preserve">[0 - 72935], [89321 - 97806]</t>
  </si>
  <si>
    <t xml:space="preserve">Signature_af8f4298-7df5-4386-b204-f760dd0b7f9e</t>
  </si>
  <si>
    <t xml:space="preserve">2024-04-29 16:42:24-05:00</t>
  </si>
  <si>
    <t xml:space="preserve">2024:04:29 16:42:24-05:00</t>
  </si>
  <si>
    <t xml:space="preserve">[0 - 79539], [95925 - 104411]</t>
  </si>
  <si>
    <t xml:space="preserve">Signature_49e20062-5783-4434-acac-1eba277268e5</t>
  </si>
  <si>
    <t xml:space="preserve">2024-04-29 16:42:23-05:00</t>
  </si>
  <si>
    <t xml:space="preserve">2024:04:29 16:42:23-05:00</t>
  </si>
  <si>
    <t xml:space="preserve">[0 - 76733], [93119 - 101605]</t>
  </si>
  <si>
    <t xml:space="preserve">Signature_8ffeab10-ff48-4c38-857e-9ebc126749c8</t>
  </si>
  <si>
    <t xml:space="preserve">2024-04-29 16:42:21-05:00</t>
  </si>
  <si>
    <t xml:space="preserve">2024:04:29 16:42:21-05:00</t>
  </si>
  <si>
    <t xml:space="preserve">Signature_229ba0ea-d79e-4415-aeb6-8389f04f8ded</t>
  </si>
  <si>
    <t xml:space="preserve">Signature_d82ddb1f-d275-4ea9-9b1a-596ff7fba0fc</t>
  </si>
  <si>
    <t xml:space="preserve">2024-04-29 16:42:22-05:00</t>
  </si>
  <si>
    <t xml:space="preserve">2024:04:29 16:42:22-05:00</t>
  </si>
  <si>
    <t xml:space="preserve">[0 - 252282], [268668 - 277155]</t>
  </si>
  <si>
    <t xml:space="preserve">Signature_08dbfdea-5fd2-4abf-b080-300a27fe5799</t>
  </si>
  <si>
    <t xml:space="preserve">2024-04-29 16:43:02-05:00</t>
  </si>
  <si>
    <t xml:space="preserve">2024:04:29 16:43:02-05:00</t>
  </si>
  <si>
    <t xml:space="preserve">[0 - 348005], [364391 - 370496]</t>
  </si>
  <si>
    <t xml:space="preserve">Signature_a965714e-4922-43d3-b5de-d4e1a7df28f5</t>
  </si>
  <si>
    <t xml:space="preserve">2024-04-29 16:43:01-05:00</t>
  </si>
  <si>
    <t xml:space="preserve">2024:04:29 16:43:01-05:00</t>
  </si>
  <si>
    <t xml:space="preserve">[0 - 403560], [419946 - 425353]</t>
  </si>
  <si>
    <t xml:space="preserve">Signature_1fa3516c-a918-4fae-b127-9d663b158bdf</t>
  </si>
  <si>
    <t xml:space="preserve">2024-04-29 16:43:04-05:00</t>
  </si>
  <si>
    <t xml:space="preserve">2024:04:29 16:43:05-05:00</t>
  </si>
  <si>
    <t xml:space="preserve">[0 - 470069], [486455 - 489490]</t>
  </si>
  <si>
    <t xml:space="preserve">Signature_efb8a21f-c1ed-428f-99a9-d1866457c500</t>
  </si>
  <si>
    <t xml:space="preserve">2024-04-29 16:43:03-05:00</t>
  </si>
  <si>
    <t xml:space="preserve">2024:04:29 16:43:03-05:00</t>
  </si>
  <si>
    <t xml:space="preserve">[0 - 114667], [131053 - 139584]</t>
  </si>
  <si>
    <t xml:space="preserve">Signature_064af132-fbbd-4b64-ba8c-4db59027e235</t>
  </si>
  <si>
    <t xml:space="preserve">2024-04-29 16:43:45-05:00</t>
  </si>
  <si>
    <t xml:space="preserve">2024:04:29 16:43:45-05:00</t>
  </si>
  <si>
    <t xml:space="preserve">[0 - 277733], [294119 - 299764]</t>
  </si>
  <si>
    <t xml:space="preserve">Signature_c8786954-7a8c-476d-a07d-7b9483602ac7</t>
  </si>
  <si>
    <t xml:space="preserve">2024-04-29 16:44:04-05:00</t>
  </si>
  <si>
    <t xml:space="preserve">2024:04:29 16:44:04-05:00</t>
  </si>
  <si>
    <t xml:space="preserve">[0 - 427197], [443583 - 446242]</t>
  </si>
  <si>
    <t xml:space="preserve">Signature_4bf3b1cb-f085-4817-9010-bd0d5c438f75</t>
  </si>
  <si>
    <t xml:space="preserve">2024-04-29 16:43:55-05:00</t>
  </si>
  <si>
    <t xml:space="preserve">2024:04:29 16:43:55-05:00</t>
  </si>
  <si>
    <t xml:space="preserve">[0 - 973617], [990003 - 995737]</t>
  </si>
  <si>
    <t xml:space="preserve">Signature_a4a1e37c-a267-4a38-bb99-f9b9a738c093</t>
  </si>
  <si>
    <t xml:space="preserve">2024-04-29 16:44:03-05:00</t>
  </si>
  <si>
    <t xml:space="preserve">2024:04:29 16:44:03-05:00</t>
  </si>
  <si>
    <t xml:space="preserve">[0 - 76838], [93224 - 101711]</t>
  </si>
  <si>
    <t xml:space="preserve">Signature_5c333b1d-aaea-4f5c-b78e-af57786b3ae6</t>
  </si>
  <si>
    <t xml:space="preserve">2024-04-29 16:43:51-05:00</t>
  </si>
  <si>
    <t xml:space="preserve">2024:04:29 16:43:51-05:00</t>
  </si>
  <si>
    <t xml:space="preserve">[0 - 718280], [734666 - 740182]</t>
  </si>
  <si>
    <t xml:space="preserve">Signature_9e328001-6743-4f35-b1b8-5b60eb34abe6</t>
  </si>
  <si>
    <t xml:space="preserve">2024-04-29 16:43:48-05:00</t>
  </si>
  <si>
    <t xml:space="preserve">2024:04:29 16:43:48-05:00</t>
  </si>
  <si>
    <t xml:space="preserve">[0 - 717895], [734281 - 739796]</t>
  </si>
  <si>
    <t xml:space="preserve">Signature_0ff1d192-efbe-4bd6-b795-851200cdb847</t>
  </si>
  <si>
    <t xml:space="preserve">2024-04-29 16:43:46-05:00</t>
  </si>
  <si>
    <t xml:space="preserve">2024:04:29 16:43:46-05:00</t>
  </si>
  <si>
    <t xml:space="preserve">[0 - 702020], [718406 - 723519]</t>
  </si>
  <si>
    <t xml:space="preserve">Signature_17425b9c-5fc0-42a6-9032-e6ad57f34c7e</t>
  </si>
  <si>
    <t xml:space="preserve">2024-04-29 16:43:54-05:00</t>
  </si>
  <si>
    <t xml:space="preserve">2024:04:29 16:43:54-05:00</t>
  </si>
  <si>
    <t xml:space="preserve">[0 - 234208], [250594 - 256077]</t>
  </si>
  <si>
    <t xml:space="preserve">Signature_d5678edb-3826-4258-b3a1-51392e9b4db1</t>
  </si>
  <si>
    <t xml:space="preserve">2024-04-29 16:43:52-05:00</t>
  </si>
  <si>
    <t xml:space="preserve">2024:04:29 16:43:52-05:00</t>
  </si>
  <si>
    <t xml:space="preserve">[0 - 936542], [952928 - 957522]</t>
  </si>
  <si>
    <t xml:space="preserve">Signature_8674564c-d7fc-40c1-bacf-58c019f02bbf</t>
  </si>
  <si>
    <t xml:space="preserve">2024-04-29 16:43:43-05:00</t>
  </si>
  <si>
    <t xml:space="preserve">2024:04:29 16:43:43-05:00</t>
  </si>
  <si>
    <t xml:space="preserve">[0 - 788098], [804484 - 809495]</t>
  </si>
  <si>
    <t xml:space="preserve">Signature_d329320f-5cfa-4c82-a4c6-10d6360fa3b2</t>
  </si>
  <si>
    <t xml:space="preserve">2024-04-29 16:43:59-05:00</t>
  </si>
  <si>
    <t xml:space="preserve">2024:04:29 16:43:59-05:00</t>
  </si>
  <si>
    <t xml:space="preserve">[0 - 950418], [966804 - 971779]</t>
  </si>
  <si>
    <t xml:space="preserve">Signature_befea88c-64e7-4425-ba94-17ad7552bab6</t>
  </si>
  <si>
    <t xml:space="preserve">2024-04-29 16:43:53-05:00</t>
  </si>
  <si>
    <t xml:space="preserve">2024:04:29 16:43:53-05:00</t>
  </si>
  <si>
    <t xml:space="preserve">Signature_cfa21e20-717c-4e8a-9957-cd3d5e9a2c94</t>
  </si>
  <si>
    <t xml:space="preserve">2024-04-29 16:44:01-05:00</t>
  </si>
  <si>
    <t xml:space="preserve">2024:04:29 16:44:01-05:00</t>
  </si>
  <si>
    <t xml:space="preserve">[0 - 100780], [117166 - 125654]</t>
  </si>
  <si>
    <t xml:space="preserve">Signature_0d4ed0e7-a42f-4e59-bc46-9e080f7d2d4c</t>
  </si>
  <si>
    <t xml:space="preserve">2024-04-29 16:43:57-05:00</t>
  </si>
  <si>
    <t xml:space="preserve">2024:04:29 16:43:57-05:00</t>
  </si>
  <si>
    <t xml:space="preserve">[0 - 352452], [368838 - 374016]</t>
  </si>
  <si>
    <t xml:space="preserve">Signature_fa6202c4-7324-46e3-8f64-1308b3c906f0</t>
  </si>
  <si>
    <t xml:space="preserve">2024-04-29 16:43:56-05:00</t>
  </si>
  <si>
    <t xml:space="preserve">2024:04:29 16:43:56-05:00</t>
  </si>
  <si>
    <t xml:space="preserve">[0 - 449582], [465968 - 474455]</t>
  </si>
  <si>
    <t xml:space="preserve">Signature_8dedc419-a092-4dbe-a62f-cd7b81fd1926</t>
  </si>
  <si>
    <t xml:space="preserve">2024-04-29 16:43:58-05:00</t>
  </si>
  <si>
    <t xml:space="preserve">2024:04:29 16:43:58-05:00</t>
  </si>
  <si>
    <t xml:space="preserve">[0 - 193325], [209711 - 216057]</t>
  </si>
  <si>
    <t xml:space="preserve">Signature_c16a0466-2dac-448e-8c6f-09aec61601ff</t>
  </si>
  <si>
    <t xml:space="preserve">[0 - 348596], [364982 - 371084]</t>
  </si>
  <si>
    <t xml:space="preserve">Signature_caa073a9-8a82-4a9b-86e5-4f7e28073162</t>
  </si>
  <si>
    <t xml:space="preserve">2024-04-29 16:43:50-05:00</t>
  </si>
  <si>
    <t xml:space="preserve">2024:04:29 16:43:50-05:00</t>
  </si>
  <si>
    <t xml:space="preserve">[0 - 640478], [656864 - 665395]</t>
  </si>
  <si>
    <t xml:space="preserve">Signature_e8d47160-18dd-469a-b44d-bd734ba9f7a5</t>
  </si>
  <si>
    <t xml:space="preserve">2024-04-29 16:43:49-05:00</t>
  </si>
  <si>
    <t xml:space="preserve">2024:04:29 16:43:49-05:00</t>
  </si>
  <si>
    <t xml:space="preserve">[0 - 212333], [228719 - 237206]</t>
  </si>
  <si>
    <t xml:space="preserve">Signature_836e72b3-7b93-401a-bec7-5b2f477d6714</t>
  </si>
  <si>
    <t xml:space="preserve">2024-04-29 16:43:47-05:00</t>
  </si>
  <si>
    <t xml:space="preserve">2024:04:29 16:43:47-05:00</t>
  </si>
  <si>
    <t xml:space="preserve">[0 - 728036], [744422 - 752953]</t>
  </si>
  <si>
    <t xml:space="preserve">Signature_6555c870-bd0f-4a1f-8831-05400d576e93</t>
  </si>
  <si>
    <t xml:space="preserve">2024-04-29 16:44:57-05:00</t>
  </si>
  <si>
    <t xml:space="preserve">2024:04:29 16:44:57-05:00</t>
  </si>
  <si>
    <t xml:space="preserve">[0 - 923129], [939515 - 944795]</t>
  </si>
  <si>
    <t xml:space="preserve">Signature_a259f441-cda0-4e62-9446-e10a976400c5</t>
  </si>
  <si>
    <t xml:space="preserve">2024-04-29 16:44:53-05:00</t>
  </si>
  <si>
    <t xml:space="preserve">2024:04:29 16:44:53-05:00</t>
  </si>
  <si>
    <t xml:space="preserve">[0 - 833832], [850218 - 854801]</t>
  </si>
  <si>
    <t xml:space="preserve">Signature_ae825d30-5e2b-4301-92c1-974d5fba8bc2</t>
  </si>
  <si>
    <t xml:space="preserve">2024-04-29 16:44:52-05:00</t>
  </si>
  <si>
    <t xml:space="preserve">2024:04:29 16:44:52-05:00</t>
  </si>
  <si>
    <t xml:space="preserve">[0 - 235302], [251688 - 256297]</t>
  </si>
  <si>
    <t xml:space="preserve">Signature_0729e9c7-be0f-430c-b16d-900df359c39d</t>
  </si>
  <si>
    <t xml:space="preserve">2024-04-29 16:44:58-05:00</t>
  </si>
  <si>
    <t xml:space="preserve">2024:04:29 16:44:58-05:00</t>
  </si>
  <si>
    <t xml:space="preserve">[0 - 1153982], [1170368 - 1176161]</t>
  </si>
  <si>
    <t xml:space="preserve">Signature_28afe3aa-02c1-4492-8efe-48f3308a3f78</t>
  </si>
  <si>
    <t xml:space="preserve">2024-04-29 16:44:55-05:00</t>
  </si>
  <si>
    <t xml:space="preserve">2024:04:29 16:44:55-05:00</t>
  </si>
  <si>
    <t xml:space="preserve">[0 - 872721], [889107 - 894082]</t>
  </si>
  <si>
    <t xml:space="preserve">Signature_7def708f-bd7e-4de1-ab7f-64cac8403466</t>
  </si>
  <si>
    <t xml:space="preserve">2024-04-29 16:44:54-05:00</t>
  </si>
  <si>
    <t xml:space="preserve">2024:04:29 16:44:54-05:00</t>
  </si>
  <si>
    <t xml:space="preserve">[0 - 118763], [135149 - 143680]</t>
  </si>
  <si>
    <t xml:space="preserve">Signature_ce18c0b8-b7bc-4e3e-9541-cee1e1c48932</t>
  </si>
  <si>
    <t xml:space="preserve">2024-04-29 16:44:59-05:00</t>
  </si>
  <si>
    <t xml:space="preserve">2024:04:29 16:44:59-05:00</t>
  </si>
  <si>
    <t xml:space="preserve">[0 - 388933], [405319 - 409945]</t>
  </si>
  <si>
    <t xml:space="preserve">Signature_791cd93c-0a33-4a39-8b06-35d92f795d00</t>
  </si>
  <si>
    <t xml:space="preserve">2024-04-29 16:44:51-05:00</t>
  </si>
  <si>
    <t xml:space="preserve">2024:04:29 16:44:51-05:00</t>
  </si>
  <si>
    <t xml:space="preserve">[0 - 63776], [80162 - 88647]</t>
  </si>
  <si>
    <t xml:space="preserve">Signature_b343c04e-c614-4be4-830b-3f8b22ea6af4</t>
  </si>
  <si>
    <t xml:space="preserve">2024-04-29 16:46:08-05:00</t>
  </si>
  <si>
    <t xml:space="preserve">2024:04:29 16:46:08-05:00</t>
  </si>
  <si>
    <t xml:space="preserve">[0 - 388926], [405312 - 409938]</t>
  </si>
  <si>
    <t xml:space="preserve">Signature_1aff36d5-9af5-4e66-abfc-f658d4abe20b</t>
  </si>
  <si>
    <t xml:space="preserve">2024-04-29 16:46:11-05:00</t>
  </si>
  <si>
    <t xml:space="preserve">2024:04:29 16:46:11-05:00</t>
  </si>
  <si>
    <t xml:space="preserve">[0 - 430135], [446521 - 449180]</t>
  </si>
  <si>
    <t xml:space="preserve">356 0 obj</t>
  </si>
  <si>
    <t xml:space="preserve">Signature_46a58c23-5d1e-4d89-8d95-9034363b5713</t>
  </si>
  <si>
    <t xml:space="preserve">2024-04-29 16:46:05-05:00</t>
  </si>
  <si>
    <t xml:space="preserve">2024:04:29 16:46:05-05:00</t>
  </si>
  <si>
    <t xml:space="preserve">[0 - 783165], [799551 - 804814]</t>
  </si>
  <si>
    <t xml:space="preserve">Signature_d61d4bd0-613f-4c58-8f4f-2ce0bd995479</t>
  </si>
  <si>
    <t xml:space="preserve">2024-04-29 16:46:09-05:00</t>
  </si>
  <si>
    <t xml:space="preserve">2024:04:29 16:46:09-05:00</t>
  </si>
  <si>
    <t xml:space="preserve">[0 - 73556], [89942 - 98427]</t>
  </si>
  <si>
    <t xml:space="preserve">Signature_28d1ccc9-3d6f-4ba7-9b84-1bba2404d68b</t>
  </si>
  <si>
    <t xml:space="preserve">2024-04-29 16:46:06-05:00</t>
  </si>
  <si>
    <t xml:space="preserve">2024:04:29 16:46:06-05:00</t>
  </si>
  <si>
    <t xml:space="preserve">[0 - 822013], [838399 - 843969]</t>
  </si>
  <si>
    <t xml:space="preserve">Signature_b9316e79-ea2d-4e0f-9b34-ce956083ce4a</t>
  </si>
  <si>
    <t xml:space="preserve">2024-04-29 16:46:04-05:00</t>
  </si>
  <si>
    <t xml:space="preserve">2024:04:29 16:46:04-05:00</t>
  </si>
  <si>
    <t xml:space="preserve">[0 - 822007], [838393 - 843960]</t>
  </si>
  <si>
    <t xml:space="preserve">Signature_5ddb393a-45db-4599-a715-4440b35d5025</t>
  </si>
  <si>
    <t xml:space="preserve">2024-04-29 16:46:03-05:00</t>
  </si>
  <si>
    <t xml:space="preserve">2024:04:29 16:46:03-05:00</t>
  </si>
  <si>
    <t xml:space="preserve">[0 - 822017], [838403 - 843973]</t>
  </si>
  <si>
    <t xml:space="preserve">Signature_9c56fa56-053e-406d-a55c-1cb9c96e2a0f</t>
  </si>
  <si>
    <t xml:space="preserve">2024-04-29 16:46:07-05:00</t>
  </si>
  <si>
    <t xml:space="preserve">2024:04:29 16:46:07-05:00</t>
  </si>
  <si>
    <t xml:space="preserve">[0 - 282301], [298687 - 303222]</t>
  </si>
  <si>
    <t xml:space="preserve">Signature_93391c84-6e18-424e-9d8a-4bbec22d98e2</t>
  </si>
  <si>
    <t xml:space="preserve">2024-04-29 16:46:02-05:00</t>
  </si>
  <si>
    <t xml:space="preserve">2024:04:29 16:46:02-05:00</t>
  </si>
  <si>
    <t xml:space="preserve">[0 - 192602], [208988 - 213613]</t>
  </si>
  <si>
    <t xml:space="preserve">Signature_511ec19d-0701-4d68-a130-0e30152bf971</t>
  </si>
  <si>
    <t xml:space="preserve">2024-04-29 03:11:34-05:00</t>
  </si>
  <si>
    <t xml:space="preserve">2024:04:29 03:11:34-05:00</t>
  </si>
  <si>
    <t xml:space="preserve">[0 - 281366], [297752 - 303584]</t>
  </si>
  <si>
    <t xml:space="preserve">Signature_71f8d6c4-2a97-47a7-92a8-bcab6d39e27d</t>
  </si>
  <si>
    <t xml:space="preserve">2024-04-29 03:11:36-05:00</t>
  </si>
  <si>
    <t xml:space="preserve">2024:04:29 03:11:36-05:00</t>
  </si>
  <si>
    <t xml:space="preserve">[0 - 476032], [492418 - 495210]</t>
  </si>
  <si>
    <t xml:space="preserve">Signature_769570ae-8470-433d-b965-74436d83366e</t>
  </si>
  <si>
    <t xml:space="preserve">2024-04-29 03:11:20-05:00</t>
  </si>
  <si>
    <t xml:space="preserve">2024:04:29 03:11:20-05:00</t>
  </si>
  <si>
    <t xml:space="preserve">[0 - 838159], [854545 - 859788]</t>
  </si>
  <si>
    <t xml:space="preserve">Signature_22d6272f-4086-4738-8773-d7b24fd3d204</t>
  </si>
  <si>
    <t xml:space="preserve">2024-04-29 03:11:32-05:00</t>
  </si>
  <si>
    <t xml:space="preserve">2024:04:29 03:11:32-05:00</t>
  </si>
  <si>
    <t xml:space="preserve">[0 - 317198], [333584 - 338628]</t>
  </si>
  <si>
    <t xml:space="preserve">Signature_d257214f-117e-4de5-bdfb-dd23c37f9f67</t>
  </si>
  <si>
    <t xml:space="preserve">2024-04-29 03:11:28-05:00</t>
  </si>
  <si>
    <t xml:space="preserve">2024:04:29 03:11:28-05:00</t>
  </si>
  <si>
    <t xml:space="preserve">[0 - 611028], [627414 - 631914]</t>
  </si>
  <si>
    <t xml:space="preserve">Signature_072e3d81-b881-4202-bb4f-66163b639ae9</t>
  </si>
  <si>
    <t xml:space="preserve">2024-04-29 03:11:33-05:00</t>
  </si>
  <si>
    <t xml:space="preserve">2024:04:29 03:11:33-05:00</t>
  </si>
  <si>
    <t xml:space="preserve">[0 - 68204], [84590 - 93077]</t>
  </si>
  <si>
    <t xml:space="preserve">Signature_89776481-9506-475b-9f0c-8a986574ca3a</t>
  </si>
  <si>
    <t xml:space="preserve">2024-04-29 03:11:27-05:00</t>
  </si>
  <si>
    <t xml:space="preserve">2024:04:29 03:11:27-05:00</t>
  </si>
  <si>
    <t xml:space="preserve">[0 - 275752], [292138 - 300625]</t>
  </si>
  <si>
    <t xml:space="preserve">Signature_362004b4-7f19-48d1-9117-f26a87dba08c</t>
  </si>
  <si>
    <t xml:space="preserve">2024-04-29 03:11:18-05:00</t>
  </si>
  <si>
    <t xml:space="preserve">2024:04:29 03:11:18-05:00</t>
  </si>
  <si>
    <t xml:space="preserve">[0 - 285248], [301634 - 310121]</t>
  </si>
  <si>
    <t xml:space="preserve">Signature_1c50776c-cd23-434d-b15a-52c169fb2aab</t>
  </si>
  <si>
    <t xml:space="preserve">2024-04-29 03:11:17-05:00</t>
  </si>
  <si>
    <t xml:space="preserve">2024:04:29 03:11:17-05:00</t>
  </si>
  <si>
    <t xml:space="preserve">[0 - 323819], [340205 - 348692]</t>
  </si>
  <si>
    <t xml:space="preserve">Signature_4d936bc7-cfbd-4cb0-a518-01c79306df85</t>
  </si>
  <si>
    <t xml:space="preserve">2024-04-29 03:11:22-05:00</t>
  </si>
  <si>
    <t xml:space="preserve">2024:04:29 03:11:22-05:00</t>
  </si>
  <si>
    <t xml:space="preserve">[0 - 844788], [861174 - 869705]</t>
  </si>
  <si>
    <t xml:space="preserve">Signature_155a8bfa-36ac-4dd7-ace9-09c5119818e3</t>
  </si>
  <si>
    <t xml:space="preserve">2024-04-29 03:11:26-05:00</t>
  </si>
  <si>
    <t xml:space="preserve">2024:04:29 03:11:26-05:00</t>
  </si>
  <si>
    <t xml:space="preserve">Signature_9bb4c45f-8586-4f06-8fcf-228830fa4353</t>
  </si>
  <si>
    <t xml:space="preserve">2024-04-29 03:11:21-05:00</t>
  </si>
  <si>
    <t xml:space="preserve">2024:04:29 03:11:21-05:00</t>
  </si>
  <si>
    <t xml:space="preserve">[0 - 823101], [839487 - 845059]</t>
  </si>
  <si>
    <t xml:space="preserve">Signature_1a965afe-5bad-4e43-a6c0-cf6911455d30</t>
  </si>
  <si>
    <t xml:space="preserve">2024-04-29 03:11:29-05:00</t>
  </si>
  <si>
    <t xml:space="preserve">2024:04:29 03:11:29-05:00</t>
  </si>
  <si>
    <t xml:space="preserve">[0 - 797765], [814151 - 818739]</t>
  </si>
  <si>
    <t xml:space="preserve">Signature_d08df2cc-3a60-40da-95d9-e9fd7019140a</t>
  </si>
  <si>
    <t xml:space="preserve">2024-04-29 03:11:24-05:00</t>
  </si>
  <si>
    <t xml:space="preserve">2024:04:29 03:11:24-05:00</t>
  </si>
  <si>
    <t xml:space="preserve">[0 - 1072847], [1089233 - 1097766]</t>
  </si>
  <si>
    <t xml:space="preserve">Signature_509a169d-e713-4c9d-a080-4e3045cb0ff2</t>
  </si>
  <si>
    <t xml:space="preserve">2024-04-29 03:11:19-05:00</t>
  </si>
  <si>
    <t xml:space="preserve">2024:04:29 03:11:19-05:00</t>
  </si>
  <si>
    <t xml:space="preserve">[0 - 850579], [866965 - 871938]</t>
  </si>
  <si>
    <t xml:space="preserve">Signature_c5f40d6d-3aa4-4e33-a601-1691ddd8b310</t>
  </si>
  <si>
    <t xml:space="preserve">2024-04-29 03:11:35-05:00</t>
  </si>
  <si>
    <t xml:space="preserve">2024:04:29 03:11:35-05:00</t>
  </si>
  <si>
    <t xml:space="preserve">[0 - 292906], [309292 - 315117]</t>
  </si>
  <si>
    <t xml:space="preserve">410 0 obj</t>
  </si>
  <si>
    <t xml:space="preserve">Signature_ab17d7bc-2468-4d80-8da9-f681cc57471c</t>
  </si>
  <si>
    <t xml:space="preserve">2024-04-29 03:11:30-05:00</t>
  </si>
  <si>
    <t xml:space="preserve">2024:04:29 03:11:30-05:00</t>
  </si>
  <si>
    <t xml:space="preserve">[0 - 184590], [200976 - 206160]</t>
  </si>
  <si>
    <t xml:space="preserve">Signature_5d7cd63e-2764-493b-912b-9af2c2a15655</t>
  </si>
  <si>
    <t xml:space="preserve">2024-04-29 03:11:23-05:00</t>
  </si>
  <si>
    <t xml:space="preserve">2024:04:29 03:11:23-05:00</t>
  </si>
  <si>
    <t xml:space="preserve">[0 - 778128], [794514 - 803001]</t>
  </si>
  <si>
    <t xml:space="preserve">Signature_e4618aa1-b9cf-45af-badb-a1fca99a53fb</t>
  </si>
  <si>
    <t xml:space="preserve">2024-04-29 03:11:25-05:00</t>
  </si>
  <si>
    <t xml:space="preserve">2024:04:29 03:11:25-05:00</t>
  </si>
  <si>
    <t xml:space="preserve">[0 - 261578], [277964 - 286451]</t>
  </si>
  <si>
    <t xml:space="preserve">Signature_8c5f050b-604b-48c2-ad53-dea84e34e8be</t>
  </si>
  <si>
    <t xml:space="preserve">2024-04-29 03:20:55-05:00</t>
  </si>
  <si>
    <t xml:space="preserve">2024:04:29 03:20:55-05:00</t>
  </si>
  <si>
    <t xml:space="preserve">[0 - 948598], [964984 - 969192]</t>
  </si>
  <si>
    <t xml:space="preserve">Signature_c1fcff23-654c-44c0-a2d2-798f50a576b0</t>
  </si>
  <si>
    <t xml:space="preserve">2024-04-29 03:20:57-05:00</t>
  </si>
  <si>
    <t xml:space="preserve">2024:04:29 03:20:57-05:00</t>
  </si>
  <si>
    <t xml:space="preserve">[0 - 450097], [466483 - 471098]</t>
  </si>
  <si>
    <t xml:space="preserve">Signature_f2d4854e-d2f5-4153-bd2f-b0ce93ed1519</t>
  </si>
  <si>
    <t xml:space="preserve">2024-04-29 03:20:56-05:00</t>
  </si>
  <si>
    <t xml:space="preserve">2024:04:29 03:20:56-05:00</t>
  </si>
  <si>
    <t xml:space="preserve">[0 - 351204], [367590 - 373609]</t>
  </si>
  <si>
    <t xml:space="preserve">Signature_7a4ee21d-4d6a-4c73-bbc3-0105aa4bcb37</t>
  </si>
  <si>
    <t xml:space="preserve">2024-04-29 03:20:58-05:00</t>
  </si>
  <si>
    <t xml:space="preserve">2024:04:29 03:20:58-05:00</t>
  </si>
  <si>
    <t xml:space="preserve">[0 - 495376], [511762 - 514930]</t>
  </si>
  <si>
    <t xml:space="preserve">440 0 obj</t>
  </si>
  <si>
    <t xml:space="preserve">Signature_b5f8f9b8-1d3c-4d28-9fa7-79453f1f0bcf</t>
  </si>
  <si>
    <t xml:space="preserve">2024-04-29 03:20:46-05:00</t>
  </si>
  <si>
    <t xml:space="preserve">2024:04:29 03:20:46-05:00</t>
  </si>
  <si>
    <t xml:space="preserve">[0 - 941730], [958116 - 963407]</t>
  </si>
  <si>
    <t xml:space="preserve">Signature_bdfbb1df-8c37-4d5d-a89d-d058ffe2378e</t>
  </si>
  <si>
    <t xml:space="preserve">2024-04-29 03:20:52-05:00</t>
  </si>
  <si>
    <t xml:space="preserve">2024:04:29 03:20:52-05:00</t>
  </si>
  <si>
    <t xml:space="preserve">[0 - 241383], [257769 - 262515]</t>
  </si>
  <si>
    <t xml:space="preserve">Signature_464b04ef-e767-47a6-b16d-4883fb445623</t>
  </si>
  <si>
    <t xml:space="preserve">2024-04-29 03:20:51-05:00</t>
  </si>
  <si>
    <t xml:space="preserve">2024:04:29 03:20:51-05:00</t>
  </si>
  <si>
    <t xml:space="preserve">[0 - 466429], [482815 - 487525]</t>
  </si>
  <si>
    <t xml:space="preserve">Signature_e241a261-6227-47db-a75d-ea10a2f55495</t>
  </si>
  <si>
    <t xml:space="preserve">2024-04-29 03:20:50-05:00</t>
  </si>
  <si>
    <t xml:space="preserve">2024:04:29 03:20:50-05:00</t>
  </si>
  <si>
    <t xml:space="preserve">[0 - 403698], [420084 - 425587]</t>
  </si>
  <si>
    <t xml:space="preserve">Signature_73d1b8ee-6779-4b28-8cf2-30b87c58031a</t>
  </si>
  <si>
    <t xml:space="preserve">2024-04-29 03:20:54-05:00</t>
  </si>
  <si>
    <t xml:space="preserve">2024:04:29 03:20:54-05:00</t>
  </si>
  <si>
    <t xml:space="preserve">[0 - 72412], [88798 - 97285]</t>
  </si>
  <si>
    <t xml:space="preserve">Signature_64c967e5-f104-4aad-ac59-0c49e745e15b</t>
  </si>
  <si>
    <t xml:space="preserve">2024-04-29 03:20:43-05:00</t>
  </si>
  <si>
    <t xml:space="preserve">2024:04:29 03:20:43-05:00</t>
  </si>
  <si>
    <t xml:space="preserve">[0 - 270562], [286948 - 295435]</t>
  </si>
  <si>
    <t xml:space="preserve">Signature_84bef1bf-2110-42d2-b125-522438eed793</t>
  </si>
  <si>
    <t xml:space="preserve">2024-04-29 03:20:41-05:00</t>
  </si>
  <si>
    <t xml:space="preserve">2024:04:29 03:20:41-05:00</t>
  </si>
  <si>
    <t xml:space="preserve">[0 - 95978], [112364 - 116981]</t>
  </si>
  <si>
    <t xml:space="preserve">Signature_4fdcb49e-5328-4a82-b446-6afb22c14a84</t>
  </si>
  <si>
    <t xml:space="preserve">2024-04-29 03:20:42-05:00</t>
  </si>
  <si>
    <t xml:space="preserve">2024:04:29 03:20:42-05:00</t>
  </si>
  <si>
    <t xml:space="preserve">Signature_4ada6911-f659-42a1-bf96-25ad6e5b28d0</t>
  </si>
  <si>
    <t xml:space="preserve">2024-04-29 03:20:40-05:00</t>
  </si>
  <si>
    <t xml:space="preserve">2024:04:29 03:20:40-05:00</t>
  </si>
  <si>
    <t xml:space="preserve">[0 - 822554], [838940 - 844511]</t>
  </si>
  <si>
    <t xml:space="preserve">Signature_660f3e5a-c2a0-4aa5-8f12-2cbd91181557</t>
  </si>
  <si>
    <t xml:space="preserve">2024-04-29 03:20:48-05:00</t>
  </si>
  <si>
    <t xml:space="preserve">2024:04:29 03:20:48-05:00</t>
  </si>
  <si>
    <t xml:space="preserve">[0 - 284663], [301049 - 305995]</t>
  </si>
  <si>
    <t xml:space="preserve">Signature_5f151e3e-b1df-4203-b691-2174af3787cc</t>
  </si>
  <si>
    <t xml:space="preserve">2024-04-29 03:20:47-05:00</t>
  </si>
  <si>
    <t xml:space="preserve">2024:04:29 03:20:47-05:00</t>
  </si>
  <si>
    <t xml:space="preserve">[0 - 108647], [125033 - 133187]</t>
  </si>
  <si>
    <t xml:space="preserve">Signature_0865e189-e22a-4ea5-ad30-e21ee0f79f62</t>
  </si>
  <si>
    <t xml:space="preserve">2024-04-29 03:20:44-05:00</t>
  </si>
  <si>
    <t xml:space="preserve">2024:04:29 03:20:44-05:00</t>
  </si>
  <si>
    <t xml:space="preserve">[0 - 739874], [756260 - 760850]</t>
  </si>
  <si>
    <t xml:space="preserve">Signature_a409e1c5-2532-4f0e-b473-28653ede7e2b</t>
  </si>
  <si>
    <t xml:space="preserve">2024-04-29 03:20:45-05:00</t>
  </si>
  <si>
    <t xml:space="preserve">2024:04:29 03:20:45-05:00</t>
  </si>
  <si>
    <t xml:space="preserve">[0 - 158042], [174428 - 179774]</t>
  </si>
  <si>
    <t xml:space="preserve">Signature_9b9570ec-7bb3-449a-9702-e104457a7e9c</t>
  </si>
  <si>
    <t xml:space="preserve">2024-04-29 03:20:53-05:00</t>
  </si>
  <si>
    <t xml:space="preserve">2024:04:29 03:20:53-05:00</t>
  </si>
  <si>
    <t xml:space="preserve">[0 - 55758], [72144 - 76665]</t>
  </si>
  <si>
    <t xml:space="preserve">Signature_f58532c7-9e77-4196-ac69-77aa1ad10e46</t>
  </si>
  <si>
    <t xml:space="preserve">2024-04-29 03:20:39-05:00</t>
  </si>
  <si>
    <t xml:space="preserve">2024:04:29 03:20:39-05:00</t>
  </si>
  <si>
    <t xml:space="preserve">[0 - 837068], [853454 - 861985]</t>
  </si>
  <si>
    <t xml:space="preserve">Signature_1443a4b9-47ab-4614-8ed1-5970a91d6b22</t>
  </si>
  <si>
    <t xml:space="preserve">2024-04-29 03:45:42-05:00</t>
  </si>
  <si>
    <t xml:space="preserve">2024:04:29 03:45:42-05:00</t>
  </si>
  <si>
    <t xml:space="preserve">Signature_930caf7e-12b7-4a4c-8b68-a7f44f209ecc</t>
  </si>
  <si>
    <t xml:space="preserve">2024-04-29 03:45:44-05:00</t>
  </si>
  <si>
    <t xml:space="preserve">2024:04:29 03:45:44-05:00</t>
  </si>
  <si>
    <t xml:space="preserve">Signature_f9abd6e1-438c-4f35-b19d-75e15a8f7a1f</t>
  </si>
  <si>
    <t xml:space="preserve">2024-04-29 03:45:46-05:00</t>
  </si>
  <si>
    <t xml:space="preserve">2024:04:29 03:45:46-05:00</t>
  </si>
  <si>
    <t xml:space="preserve">[0 - 664169], [680555 - 684986]</t>
  </si>
  <si>
    <t xml:space="preserve">Signature_5ad6d7cc-651b-4d5b-8c07-11a3d0e100cc</t>
  </si>
  <si>
    <t xml:space="preserve">2024-04-29 03:45:48-05:00</t>
  </si>
  <si>
    <t xml:space="preserve">2024:04:29 03:45:48-05:00</t>
  </si>
  <si>
    <t xml:space="preserve">Signature_6cdbbf57-2f51-4e91-bc66-5383d23e2c87</t>
  </si>
  <si>
    <t xml:space="preserve">2024-04-29 03:45:51-05:00</t>
  </si>
  <si>
    <t xml:space="preserve">2024:04:29 03:45:51-05:00</t>
  </si>
  <si>
    <t xml:space="preserve">[0 - 747241], [763627 - 769393]</t>
  </si>
  <si>
    <t xml:space="preserve">Signature_f52278a1-4b4b-4d97-b391-19328651f996</t>
  </si>
  <si>
    <t xml:space="preserve">2024-04-29 03:45:53-05:00</t>
  </si>
  <si>
    <t xml:space="preserve">2024:04:29 03:45:53-05:00</t>
  </si>
  <si>
    <t xml:space="preserve">[0 - 279906], [296292 - 301380]</t>
  </si>
  <si>
    <t xml:space="preserve">466 0 obj</t>
  </si>
  <si>
    <t xml:space="preserve">Signature_cea5dfa4-8d30-45d2-a179-6efe8d03cf42</t>
  </si>
  <si>
    <t xml:space="preserve">2024-04-29 03:45:55-05:00</t>
  </si>
  <si>
    <t xml:space="preserve">2024:04:29 03:45:55-05:00</t>
  </si>
  <si>
    <t xml:space="preserve">[0 - 76749], [93135 - 97608]</t>
  </si>
  <si>
    <t xml:space="preserve">Signature_48bb7e1d-aaaf-4540-8bad-61c4a204758d</t>
  </si>
  <si>
    <t xml:space="preserve">2024-04-29 03:45:57-05:00</t>
  </si>
  <si>
    <t xml:space="preserve">2024:04:29 03:45:57-05:00</t>
  </si>
  <si>
    <t xml:space="preserve">[0 - 234306], [250692 - 255172]</t>
  </si>
  <si>
    <t xml:space="preserve">Signature_b0f35a16-fad2-444e-8d3b-a5bed0ac9901</t>
  </si>
  <si>
    <t xml:space="preserve">2024-04-29 03:45:59-05:00</t>
  </si>
  <si>
    <t xml:space="preserve">2024:04:29 03:45:59-05:00</t>
  </si>
  <si>
    <t xml:space="preserve">[0 - 57232], [73618 - 78091]</t>
  </si>
  <si>
    <t xml:space="preserve">Signature_fc29baa2-2ac9-40b4-bd43-700a639bd287</t>
  </si>
  <si>
    <t xml:space="preserve">2024-04-29 03:46:01-05:00</t>
  </si>
  <si>
    <t xml:space="preserve">2024:04:29 03:46:01-05:00</t>
  </si>
  <si>
    <t xml:space="preserve">[0 - 350585], [366971 - 371453]</t>
  </si>
  <si>
    <t xml:space="preserve">Signature_8deadfe0-9211-4928-b33a-80bee9306d58</t>
  </si>
  <si>
    <t xml:space="preserve">2024-04-29 03:46:03-05:00</t>
  </si>
  <si>
    <t xml:space="preserve">2024:04:29 03:46:03-05:00</t>
  </si>
  <si>
    <t xml:space="preserve">Signature_ddd0f8a0-acbd-4492-9ae8-90418a205134</t>
  </si>
  <si>
    <t xml:space="preserve">2024-04-29 03:46:05-05:00</t>
  </si>
  <si>
    <t xml:space="preserve">2024:04:29 03:46:05-05:00</t>
  </si>
  <si>
    <t xml:space="preserve">Signature_66010e2d-0cfc-4109-b2fe-60c3d06030c7</t>
  </si>
  <si>
    <t xml:space="preserve">2024-04-29 03:46:07-05:00</t>
  </si>
  <si>
    <t xml:space="preserve">2024:04:29 03:46:07-05:00</t>
  </si>
  <si>
    <t xml:space="preserve">[0 - 69524], [85910 - 90382]</t>
  </si>
  <si>
    <t xml:space="preserve">Signature_b201514a-f961-4e17-9db0-5c36902ef469</t>
  </si>
  <si>
    <t xml:space="preserve">2024-04-29 03:46:09-05:00</t>
  </si>
  <si>
    <t xml:space="preserve">2024:04:29 03:46:09-05:00</t>
  </si>
  <si>
    <t xml:space="preserve">[0 - 819105], [835491 - 841062]</t>
  </si>
  <si>
    <t xml:space="preserve">Signature_df04270c-69db-4c8b-a0f9-b4a1c036e133</t>
  </si>
  <si>
    <t xml:space="preserve">2024-04-29 03:46:11-05:00</t>
  </si>
  <si>
    <t xml:space="preserve">2024:04:29 03:46:11-05:00</t>
  </si>
  <si>
    <t xml:space="preserve">[0 - 307782], [324168 - 329159]</t>
  </si>
  <si>
    <t xml:space="preserve">Signature_dadf3b58-e5b9-4d8c-84e7-ac00674b98c9</t>
  </si>
  <si>
    <t xml:space="preserve">2024-04-29 03:46:13-05:00</t>
  </si>
  <si>
    <t xml:space="preserve">2024:04:29 03:46:13-05:00</t>
  </si>
  <si>
    <t xml:space="preserve">[0 - 156653], [173039 - 178387]</t>
  </si>
  <si>
    <t xml:space="preserve">Signature_1c2dd084-5301-4fdd-865e-98f3b7b7c51e</t>
  </si>
  <si>
    <t xml:space="preserve">2024-04-29 03:46:15-05:00</t>
  </si>
  <si>
    <t xml:space="preserve">2024:04:29 03:46:15-05:00</t>
  </si>
  <si>
    <t xml:space="preserve">[0 - 360055], [376441 - 382046]</t>
  </si>
  <si>
    <t xml:space="preserve">Signature_e7daa40a-ef27-45db-b450-4608e1056385</t>
  </si>
  <si>
    <t xml:space="preserve">2024-04-29 03:46:17-05:00</t>
  </si>
  <si>
    <t xml:space="preserve">2024:04:29 03:46:17-05:00</t>
  </si>
  <si>
    <t xml:space="preserve">[0 - 97040], [113426 - 117928]</t>
  </si>
  <si>
    <t xml:space="preserve">Signature_734c8f01-7479-4ed1-b9b1-ac371b6c0242</t>
  </si>
  <si>
    <t xml:space="preserve">2024-04-29 03:46:20-05:00</t>
  </si>
  <si>
    <t xml:space="preserve">2024:04:29 03:46:20-05:00</t>
  </si>
  <si>
    <t xml:space="preserve">[0 - 942233], [958619 - 964361]</t>
  </si>
  <si>
    <t xml:space="preserve">Signature_35fc79da-2550-4d08-83f9-c5f56733d57b</t>
  </si>
  <si>
    <t xml:space="preserve">2024-04-29 03:46:22-05:00</t>
  </si>
  <si>
    <t xml:space="preserve">2024:04:29 03:46:22-05:00</t>
  </si>
  <si>
    <t xml:space="preserve">[0 - 371837], [388223 - 394203]</t>
  </si>
  <si>
    <t xml:space="preserve">Signature_6c8eba1f-f442-46bb-8045-dd9be12527c6</t>
  </si>
  <si>
    <t xml:space="preserve">2024-04-29 03:46:24-05:00</t>
  </si>
  <si>
    <t xml:space="preserve">2022:09:16 10:26:27-05:00</t>
  </si>
  <si>
    <t xml:space="preserve">[0 - 190730], [207116 - 211397]</t>
  </si>
  <si>
    <t xml:space="preserve">Signature_c87a7b5c-dc01-4aa5-ac34-14d4e1bb065a</t>
  </si>
  <si>
    <t xml:space="preserve">2024-04-29 03:46:26-05:00</t>
  </si>
  <si>
    <t xml:space="preserve">2024:04:29 03:46:26-05:00</t>
  </si>
  <si>
    <t xml:space="preserve">[0 - 115350], [131736 - 140225]</t>
  </si>
  <si>
    <t xml:space="preserve">Signature_ceea2785-da25-4ddd-b5c1-021a44c6dee5</t>
  </si>
  <si>
    <t xml:space="preserve">2024-04-29 03:46:28-05:00</t>
  </si>
  <si>
    <t xml:space="preserve">2024:04:29 03:46:28-05:00</t>
  </si>
  <si>
    <t xml:space="preserve">[0 - 83756], [100142 - 108630]</t>
  </si>
  <si>
    <t xml:space="preserve">Signature_29184362-9738-4af3-b391-2ed2f6ef67c8</t>
  </si>
  <si>
    <t xml:space="preserve">2024-04-29 03:46:30-05:00</t>
  </si>
  <si>
    <t xml:space="preserve">2024:04:29 03:46:30-05:00</t>
  </si>
  <si>
    <t xml:space="preserve">[0 - 72089], [88475 - 96962]</t>
  </si>
  <si>
    <t xml:space="preserve">Signature_ffaf61fb-ef7d-4c35-89dd-0753e49bf394</t>
  </si>
  <si>
    <t xml:space="preserve">2024-04-29 03:46:32-05:00</t>
  </si>
  <si>
    <t xml:space="preserve">2024:04:29 03:46:32-05:00</t>
  </si>
  <si>
    <t xml:space="preserve">[0 - 151791], [168177 - 173017]</t>
  </si>
  <si>
    <t xml:space="preserve">Signature_33700153-35d7-493c-8c2a-1ef2dc2735ea</t>
  </si>
  <si>
    <t xml:space="preserve">2024-04-29 03:46:34-05:00</t>
  </si>
  <si>
    <t xml:space="preserve">2024:04:29 03:46:34-05:00</t>
  </si>
  <si>
    <t xml:space="preserve">[0 - 375998], [392384 - 397998]</t>
  </si>
  <si>
    <t xml:space="preserve">Signature_ff3ee84d-25a3-4e75-888d-bebc88c91a6b</t>
  </si>
  <si>
    <t xml:space="preserve">2024-04-29 03:46:36-05:00</t>
  </si>
  <si>
    <t xml:space="preserve">2024:04:29 03:46:36-05:00</t>
  </si>
  <si>
    <t xml:space="preserve">[0 - 82825], [99211 - 107699]</t>
  </si>
  <si>
    <t xml:space="preserve">Signature_ec05a889-1346-440a-a842-a68360ab6aef</t>
  </si>
  <si>
    <t xml:space="preserve">2024-04-29 03:46:38-05:00</t>
  </si>
  <si>
    <t xml:space="preserve">2024:04:29 03:46:39-05:00</t>
  </si>
  <si>
    <t xml:space="preserve">[0 - 475963], [492349 - 495141]</t>
  </si>
  <si>
    <t xml:space="preserve">Signature_f80618f5-8902-4251-9e85-633cc98d6031</t>
  </si>
  <si>
    <t xml:space="preserve">2024-04-29 03:53:21-05:00</t>
  </si>
  <si>
    <t xml:space="preserve">2024:04:29 03:53:21-05:00</t>
  </si>
  <si>
    <t xml:space="preserve">[0 - 2767276], [2783662 - 2789296]</t>
  </si>
  <si>
    <t xml:space="preserve">Signature_0386f72b-19ff-4c37-af42-26db3d10d95e</t>
  </si>
  <si>
    <t xml:space="preserve">2024-04-29 03:53:27-05:00</t>
  </si>
  <si>
    <t xml:space="preserve">2024:04:29 03:53:27-05:00</t>
  </si>
  <si>
    <t xml:space="preserve">[0 - 462756], [479142 - 484990]</t>
  </si>
  <si>
    <t xml:space="preserve">905 0 obj</t>
  </si>
  <si>
    <t xml:space="preserve">Signature_22c1eac0-52a3-42a5-8e2e-f2dc1c748b31</t>
  </si>
  <si>
    <t xml:space="preserve">2024-04-29 03:53:31-05:00</t>
  </si>
  <si>
    <t xml:space="preserve">2024:04:29 03:53:31-05:00</t>
  </si>
  <si>
    <t xml:space="preserve">[0 - 476028], [492414 - 495206]</t>
  </si>
  <si>
    <t xml:space="preserve">Signature_39578cfe-a48b-4859-ae49-c2c70364996a</t>
  </si>
  <si>
    <t xml:space="preserve">2024-04-29 03:53:06-05:00</t>
  </si>
  <si>
    <t xml:space="preserve">2024:04:29 03:53:06-05:00</t>
  </si>
  <si>
    <t xml:space="preserve">[0 - 935852], [952238 - 957987]</t>
  </si>
  <si>
    <t xml:space="preserve">Signature_a0c14546-c763-4179-a0a9-09fe7744f0ab</t>
  </si>
  <si>
    <t xml:space="preserve">2024-04-29 03:53:16-05:00</t>
  </si>
  <si>
    <t xml:space="preserve">2024:04:29 03:53:16-05:00</t>
  </si>
  <si>
    <t xml:space="preserve">[0 - 272126], [288512 - 293938]</t>
  </si>
  <si>
    <t xml:space="preserve">Signature_8b8159e3-5881-4d8c-9c69-64da5af6aceb</t>
  </si>
  <si>
    <t xml:space="preserve">2024-04-29 03:53:04-05:00</t>
  </si>
  <si>
    <t xml:space="preserve">2024:04:29 03:53:04-05:00</t>
  </si>
  <si>
    <t xml:space="preserve">[0 - 92689], [109075 - 113629]</t>
  </si>
  <si>
    <t xml:space="preserve">Signature_251b4885-eb35-41b7-8e22-91c73440667e</t>
  </si>
  <si>
    <t xml:space="preserve">2024-04-29 03:52:54-05:00</t>
  </si>
  <si>
    <t xml:space="preserve">2024:04:29 03:52:54-05:00</t>
  </si>
  <si>
    <t xml:space="preserve">[0 - 692707], [709093 - 714350]</t>
  </si>
  <si>
    <t xml:space="preserve">Signature_6bebdf78-15b2-4289-a510-05b98cef9415</t>
  </si>
  <si>
    <t xml:space="preserve">2024-04-29 03:52:52-05:00</t>
  </si>
  <si>
    <t xml:space="preserve">2024:04:29 03:52:52-05:00</t>
  </si>
  <si>
    <t xml:space="preserve">Signature_332a3d36-c430-479c-9728-3baa82169918</t>
  </si>
  <si>
    <t xml:space="preserve">2024-04-29 03:53:00-05:00</t>
  </si>
  <si>
    <t xml:space="preserve">2024:04:29 03:53:00-05:00</t>
  </si>
  <si>
    <t xml:space="preserve">[0 - 248246], [264632 - 269240]</t>
  </si>
  <si>
    <t xml:space="preserve">Signature_e194f9fa-89c8-47e3-8de7-d8fb27622241</t>
  </si>
  <si>
    <t xml:space="preserve">2024-04-29 03:52:58-05:00</t>
  </si>
  <si>
    <t xml:space="preserve">2024:04:29 03:52:58-05:00</t>
  </si>
  <si>
    <t xml:space="preserve">[0 - 821448], [837834 - 843404]</t>
  </si>
  <si>
    <t xml:space="preserve">Signature_6b28f94b-9f25-4bfa-813f-411eefee57ff</t>
  </si>
  <si>
    <t xml:space="preserve">2024-04-29 03:53:18-05:00</t>
  </si>
  <si>
    <t xml:space="preserve">2024:04:29 03:53:18-05:00</t>
  </si>
  <si>
    <t xml:space="preserve">Signature_c045c139-c272-4ef0-a0a9-f6beff55731d</t>
  </si>
  <si>
    <t xml:space="preserve">2024-04-29 03:53:12-05:00</t>
  </si>
  <si>
    <t xml:space="preserve">2024:04:29 03:53:12-05:00</t>
  </si>
  <si>
    <t xml:space="preserve">[0 - 868631], [885017 - 889993]</t>
  </si>
  <si>
    <t xml:space="preserve">Signature_c31a59e4-eccb-4ea4-b296-d627e5371b52</t>
  </si>
  <si>
    <t xml:space="preserve">2024-04-29 03:53:08-05:00</t>
  </si>
  <si>
    <t xml:space="preserve">2024:04:29 03:53:08-05:00</t>
  </si>
  <si>
    <t xml:space="preserve">[0 - 1069469], [1085855 - 1094388]</t>
  </si>
  <si>
    <t xml:space="preserve">Signature_d5fe915e-1b33-4f2f-ab37-8cef4d7e28fd</t>
  </si>
  <si>
    <t xml:space="preserve">2024-04-29 03:53:02-05:00</t>
  </si>
  <si>
    <t xml:space="preserve">2024:04:29 03:53:02-05:00</t>
  </si>
  <si>
    <t xml:space="preserve">[0 - 847483], [863869 - 868845]</t>
  </si>
  <si>
    <t xml:space="preserve">Signature_4c1e3910-3ddd-45cb-9e99-2044c977a890</t>
  </si>
  <si>
    <t xml:space="preserve">2024-04-29 03:52:56-05:00</t>
  </si>
  <si>
    <t xml:space="preserve">2024:04:29 03:52:56-05:00</t>
  </si>
  <si>
    <t xml:space="preserve">[0 - 847225], [863611 - 868592]</t>
  </si>
  <si>
    <t xml:space="preserve">Signature_8b3211c9-b417-4c2a-999d-ecd88197caa4</t>
  </si>
  <si>
    <t xml:space="preserve">2024-04-29 03:53:29-05:00</t>
  </si>
  <si>
    <t xml:space="preserve">2024:04:29 03:53:29-05:00</t>
  </si>
  <si>
    <t xml:space="preserve">[0 - 286166], [302552 - 308371]</t>
  </si>
  <si>
    <t xml:space="preserve">Signature_47e1aaab-3947-42ca-866a-446278f4dcf0</t>
  </si>
  <si>
    <t xml:space="preserve">2024-04-29 03:53:25-05:00</t>
  </si>
  <si>
    <t xml:space="preserve">2024:04:29 03:53:25-05:00</t>
  </si>
  <si>
    <t xml:space="preserve">[0 - 780435], [796821 - 805310]</t>
  </si>
  <si>
    <t xml:space="preserve">Signature_f94bb49f-a817-46d2-8c46-afd19536def5</t>
  </si>
  <si>
    <t xml:space="preserve">2024-04-29 03:53:14-05:00</t>
  </si>
  <si>
    <t xml:space="preserve">2024:04:29 03:53:14-05:00</t>
  </si>
  <si>
    <t xml:space="preserve">Signature_aceb7866-b9a8-4f48-bba6-b8ea0a3bf2f9</t>
  </si>
  <si>
    <t xml:space="preserve">2024-04-29 03:53:10-05:00</t>
  </si>
  <si>
    <t xml:space="preserve">2024:04:29 03:53:10-05:00</t>
  </si>
  <si>
    <t xml:space="preserve">[0 - 791716], [808102 - 816589]</t>
  </si>
  <si>
    <t xml:space="preserve">Signature_56f7fa58-8909-4a56-8184-a16d2ad65a81</t>
  </si>
  <si>
    <t xml:space="preserve">2024-04-29 03:53:22-05:00</t>
  </si>
  <si>
    <t xml:space="preserve">2024:04:29 03:53:22-05:00</t>
  </si>
  <si>
    <t xml:space="preserve">Signature_b8f8727c-806c-4486-9c6d-ff50e756c86b</t>
  </si>
  <si>
    <t xml:space="preserve">2024-04-29 03:58:11-05:00</t>
  </si>
  <si>
    <t xml:space="preserve">2024:04:29 03:58:11-05:00</t>
  </si>
  <si>
    <t xml:space="preserve">[0 - 348366], [364752 - 370233]</t>
  </si>
  <si>
    <t xml:space="preserve">Signature_c1e7c551-f048-40cb-9dd8-8f02af262191</t>
  </si>
  <si>
    <t xml:space="preserve">2024-04-29 03:58:08-05:00</t>
  </si>
  <si>
    <t xml:space="preserve">2024:04:29 03:58:08-05:00</t>
  </si>
  <si>
    <t xml:space="preserve">[0 - 348855], [365241 - 371655]</t>
  </si>
  <si>
    <t xml:space="preserve">Signature_b141348d-623c-4fe5-8d0a-5b83660d2350</t>
  </si>
  <si>
    <t xml:space="preserve">2024-04-29 03:58:12-05:00</t>
  </si>
  <si>
    <t xml:space="preserve">2024:04:29 03:58:12-05:00</t>
  </si>
  <si>
    <t xml:space="preserve">[0 - 477697], [494083 - 496875]</t>
  </si>
  <si>
    <t xml:space="preserve">Signature_1901028d-5a2f-481e-a94f-3635ad68c74a</t>
  </si>
  <si>
    <t xml:space="preserve">2024-04-29 03:58:02-05:00</t>
  </si>
  <si>
    <t xml:space="preserve">2024:04:29 03:58:02-05:00</t>
  </si>
  <si>
    <t xml:space="preserve">[0 - 809804], [826190 - 831974]</t>
  </si>
  <si>
    <t xml:space="preserve">327 0 obj</t>
  </si>
  <si>
    <t xml:space="preserve">Signature_48d22b5b-365c-40e5-878a-f74e1897802e</t>
  </si>
  <si>
    <t xml:space="preserve">2024-04-29 03:58:03-05:00</t>
  </si>
  <si>
    <t xml:space="preserve">2024:04:29 03:58:03-05:00</t>
  </si>
  <si>
    <t xml:space="preserve">[0 - 843514], [859900 - 865682]</t>
  </si>
  <si>
    <t xml:space="preserve">Signature_73502127-837f-48db-adc0-6a7146d28280</t>
  </si>
  <si>
    <t xml:space="preserve">2024-04-29 03:58:06-05:00</t>
  </si>
  <si>
    <t xml:space="preserve">2024:04:29 03:58:06-05:00</t>
  </si>
  <si>
    <t xml:space="preserve">[0 - 285950], [302336 - 307729]</t>
  </si>
  <si>
    <t xml:space="preserve">Signature_33d95fdc-7efb-4953-9ad0-6d2ae3b80bde</t>
  </si>
  <si>
    <t xml:space="preserve">[0 - 7127776], [7144162 - 7149720]</t>
  </si>
  <si>
    <t xml:space="preserve">Signature_3b6b04cc-8139-4c94-a44f-2c10a8e22785</t>
  </si>
  <si>
    <t xml:space="preserve">2024-04-29 03:58:00-05:00</t>
  </si>
  <si>
    <t xml:space="preserve">2024:04:29 03:58:00-05:00</t>
  </si>
  <si>
    <t xml:space="preserve">[0 - 144666], [161052 - 165550]</t>
  </si>
  <si>
    <t xml:space="preserve">Signature_a88d87cc-4fb6-443a-b1fc-50c133c18bf8</t>
  </si>
  <si>
    <t xml:space="preserve">2024-04-29 03:58:04-05:00</t>
  </si>
  <si>
    <t xml:space="preserve">2024:04:29 03:58:04-05:00</t>
  </si>
  <si>
    <t xml:space="preserve">[0 - 1012965], [1029351 - 1035722]</t>
  </si>
  <si>
    <t xml:space="preserve">Signature_bba67971-1ff3-4831-92d2-1ed4da8d0631</t>
  </si>
  <si>
    <t xml:space="preserve">2024-04-29 03:57:58-05:00</t>
  </si>
  <si>
    <t xml:space="preserve">2024:04:29 03:57:58-05:00</t>
  </si>
  <si>
    <t xml:space="preserve">[0 - 256006], [272392 - 276736]</t>
  </si>
  <si>
    <t xml:space="preserve">Signature_886d428e-6c04-4ffb-b120-0b751f3ded07</t>
  </si>
  <si>
    <t xml:space="preserve">2024-04-29 03:58:10-05:00</t>
  </si>
  <si>
    <t xml:space="preserve">2024:04:29 03:58:10-05:00</t>
  </si>
  <si>
    <t xml:space="preserve">[0 - 859140], [875526 - 880866]</t>
  </si>
  <si>
    <t xml:space="preserve">Signature_a0f3f09a-553b-4075-be6d-8b6e6d6e3a73</t>
  </si>
  <si>
    <t xml:space="preserve">2024-04-29 03:58:01-05:00</t>
  </si>
  <si>
    <t xml:space="preserve">2024:04:29 03:58:01-05:00</t>
  </si>
  <si>
    <t xml:space="preserve">[0 - 824435], [840821 - 845823]</t>
  </si>
  <si>
    <t xml:space="preserve">Signature_97df62c8-15c5-4431-9efa-04187a5578a8</t>
  </si>
  <si>
    <t xml:space="preserve">2024-04-29 03:57:59-05:00</t>
  </si>
  <si>
    <t xml:space="preserve">2024:04:29 03:57:59-05:00</t>
  </si>
  <si>
    <t xml:space="preserve">[0 - 1348580], [1364966 - 1369725]</t>
  </si>
  <si>
    <t xml:space="preserve">Signature_f336131c-3d0a-44a2-8caf-a59a05874ebd</t>
  </si>
  <si>
    <t xml:space="preserve">2024-04-29 03:58:07-05:00</t>
  </si>
  <si>
    <t xml:space="preserve">2024:04:29 03:58:07-05:00</t>
  </si>
  <si>
    <t xml:space="preserve">[0 - 240035], [256421 - 261152]</t>
  </si>
  <si>
    <t xml:space="preserve">Signature_68c2d35d-a1da-4232-b521-b5451d076d29</t>
  </si>
  <si>
    <t xml:space="preserve">2024-04-29 04:00:37-05:00</t>
  </si>
  <si>
    <t xml:space="preserve">2024:04:29 04:00:37-05:00</t>
  </si>
  <si>
    <t xml:space="preserve">[0 - 988873], [1005259 - 1009799]</t>
  </si>
  <si>
    <t xml:space="preserve">Signature_fc8df6bc-cab5-4a76-80ed-ccc2ea4328b3</t>
  </si>
  <si>
    <t xml:space="preserve">2024-04-29 04:00:33-05:00</t>
  </si>
  <si>
    <t xml:space="preserve">2024:04:29 04:00:33-05:00</t>
  </si>
  <si>
    <t xml:space="preserve">[0 - 354680], [371066 - 376573]</t>
  </si>
  <si>
    <t xml:space="preserve">Signature_7a38bd86-d582-437e-90db-4b9f5326279e</t>
  </si>
  <si>
    <t xml:space="preserve">2024-04-29 04:00:38-05:00</t>
  </si>
  <si>
    <t xml:space="preserve">2024:04:29 04:00:38-05:00</t>
  </si>
  <si>
    <t xml:space="preserve">[0 - 536601], [552987 - 556390]</t>
  </si>
  <si>
    <t xml:space="preserve">Signature_8172687a-130b-411b-89ba-8e8053f1cd2b</t>
  </si>
  <si>
    <t xml:space="preserve">2024-04-29 04:00:32-05:00</t>
  </si>
  <si>
    <t xml:space="preserve">2024:04:29 04:00:32-05:00</t>
  </si>
  <si>
    <t xml:space="preserve">[0 - 234870], [251256 - 256345]</t>
  </si>
  <si>
    <t xml:space="preserve">Signature_a096ad56-a9b1-4af9-af0e-8f13543c0dda</t>
  </si>
  <si>
    <t xml:space="preserve">2024-04-29 04:00:25-05:00</t>
  </si>
  <si>
    <t xml:space="preserve">2024:04:29 04:00:25-05:00</t>
  </si>
  <si>
    <t xml:space="preserve">[0 - 86066], [102452 - 106897]</t>
  </si>
  <si>
    <t xml:space="preserve">Signature_11ffd419-5eb1-404c-b409-c34945df49c6</t>
  </si>
  <si>
    <t xml:space="preserve">2024-04-29 04:00:23-05:00</t>
  </si>
  <si>
    <t xml:space="preserve">2024:04:29 04:00:23-05:00</t>
  </si>
  <si>
    <t xml:space="preserve">[0 - 85583], [101969 - 106414]</t>
  </si>
  <si>
    <t xml:space="preserve">Signature_1363f51a-5729-4049-9a02-b7024110b59a</t>
  </si>
  <si>
    <t xml:space="preserve">2024-04-29 04:00:21-05:00</t>
  </si>
  <si>
    <t xml:space="preserve">2024:04:29 04:00:21-05:00</t>
  </si>
  <si>
    <t xml:space="preserve">[0 - 267323], [283709 - 288160]</t>
  </si>
  <si>
    <t xml:space="preserve">Signature_86ff91bd-afcc-4b17-a15c-d7b590855879</t>
  </si>
  <si>
    <t xml:space="preserve">2024-04-29 04:00:20-05:00</t>
  </si>
  <si>
    <t xml:space="preserve">2024:04:29 04:00:20-05:00</t>
  </si>
  <si>
    <t xml:space="preserve">[0 - 84316], [100702 - 105147]</t>
  </si>
  <si>
    <t xml:space="preserve">Signature_852a8a84-1d71-4251-9a25-e21464d7df57</t>
  </si>
  <si>
    <t xml:space="preserve">2024-04-29 04:00:19-05:00</t>
  </si>
  <si>
    <t xml:space="preserve">2024:04:29 04:00:19-05:00</t>
  </si>
  <si>
    <t xml:space="preserve">[0 - 105350], [121736 - 126182]</t>
  </si>
  <si>
    <t xml:space="preserve">Signature_cb0565f1-57fd-4f26-8a93-27ebf5ee194c</t>
  </si>
  <si>
    <t xml:space="preserve">2024-04-29 04:00:36-05:00</t>
  </si>
  <si>
    <t xml:space="preserve">2024:04:29 04:00:36-05:00</t>
  </si>
  <si>
    <t xml:space="preserve">[0 - 820659], [837045 - 841634]</t>
  </si>
  <si>
    <t xml:space="preserve">Signature_76273248-4be5-417f-865e-68fb0af6da52</t>
  </si>
  <si>
    <t xml:space="preserve">2024-04-29 04:00:27-05:00</t>
  </si>
  <si>
    <t xml:space="preserve">2024:04:29 04:00:27-05:00</t>
  </si>
  <si>
    <t xml:space="preserve">[0 - 239616], [256002 - 261491]</t>
  </si>
  <si>
    <t xml:space="preserve">Signature_1bf9e436-3be3-4c5e-81ed-59c92a67de69</t>
  </si>
  <si>
    <t xml:space="preserve">2024-04-29 04:00:26-05:00</t>
  </si>
  <si>
    <t xml:space="preserve">2024:04:29 04:00:26-05:00</t>
  </si>
  <si>
    <t xml:space="preserve">[0 - 825164], [841550 - 847121]</t>
  </si>
  <si>
    <t xml:space="preserve">Signature_3243980e-aae7-44a6-9734-04c59d8b0434</t>
  </si>
  <si>
    <t xml:space="preserve">2024-04-29 04:00:24-05:00</t>
  </si>
  <si>
    <t xml:space="preserve">2024:04:29 04:00:24-05:00</t>
  </si>
  <si>
    <t xml:space="preserve">[0 - 147118], [163504 - 167950]</t>
  </si>
  <si>
    <t xml:space="preserve">Signature_dbc00674-2463-4918-831b-73c13867a872</t>
  </si>
  <si>
    <t xml:space="preserve">2024-04-29 04:00:22-05:00</t>
  </si>
  <si>
    <t xml:space="preserve">2024:04:29 04:00:22-05:00</t>
  </si>
  <si>
    <t xml:space="preserve">[0 - 146345], [162731 - 167177]</t>
  </si>
  <si>
    <t xml:space="preserve">Signature_a2509ec0-dad1-4505-b618-05143e6ad7f6</t>
  </si>
  <si>
    <t xml:space="preserve">2024-04-29 04:00:18-05:00</t>
  </si>
  <si>
    <t xml:space="preserve">2024:04:29 04:00:18-05:00</t>
  </si>
  <si>
    <t xml:space="preserve">[0 - 275707], [292093 - 296547]</t>
  </si>
  <si>
    <t xml:space="preserve">Signature_88bc274a-3f12-4b57-a641-c5bc86ee3c2d</t>
  </si>
  <si>
    <t xml:space="preserve">2024-04-29 04:00:34-05:00</t>
  </si>
  <si>
    <t xml:space="preserve">2024:04:29 04:00:34-05:00</t>
  </si>
  <si>
    <t xml:space="preserve">[0 - 163164], [179550 - 188083]</t>
  </si>
  <si>
    <t xml:space="preserve">Signature_89a06e95-5899-42f0-be0b-43eb1238d528</t>
  </si>
  <si>
    <t xml:space="preserve">2024-04-29 04:00:31-05:00</t>
  </si>
  <si>
    <t xml:space="preserve">2024:04:29 04:00:31-05:00</t>
  </si>
  <si>
    <t xml:space="preserve">[0 - 799228], [815614 - 820200]</t>
  </si>
  <si>
    <t xml:space="preserve">Signature_ee5d8fb7-c39b-4add-85cf-b4c35ca7b7c0</t>
  </si>
  <si>
    <t xml:space="preserve">2024-04-29 04:00:28-05:00</t>
  </si>
  <si>
    <t xml:space="preserve">2024:04:29 04:00:28-05:00</t>
  </si>
  <si>
    <t xml:space="preserve">[0 - 197332], [213718 - 219199]</t>
  </si>
  <si>
    <t xml:space="preserve">Signature_4767e10d-301a-4bf6-b609-dc0a0643ed6e</t>
  </si>
  <si>
    <t xml:space="preserve">2024-04-29 04:00:30-05:00</t>
  </si>
  <si>
    <t xml:space="preserve">2024:04:29 04:00:30-05:00</t>
  </si>
  <si>
    <t xml:space="preserve">[0 - 233742], [250128 - 255347]</t>
  </si>
  <si>
    <t xml:space="preserve">Signature_18d2ee25-62a9-4248-a7e3-fd57e93fc9dc</t>
  </si>
  <si>
    <t xml:space="preserve">2024-04-29 04:00:17-05:00</t>
  </si>
  <si>
    <t xml:space="preserve">2024:04:29 04:00:17-05:00</t>
  </si>
  <si>
    <t xml:space="preserve">[0 - 318463], [334849 - 339307]</t>
  </si>
  <si>
    <t xml:space="preserve">Signature_8d929f75-b35c-479b-a347-d1ce1512f79a</t>
  </si>
  <si>
    <t xml:space="preserve">2024-04-29 04:00:35-05:00</t>
  </si>
  <si>
    <t xml:space="preserve">2024:04:29 04:00:35-05:00</t>
  </si>
  <si>
    <t xml:space="preserve">[0 - 185872], [202258 - 207470]</t>
  </si>
  <si>
    <t xml:space="preserve">Signature_0739a292-1136-49ba-a296-f17034249079</t>
  </si>
  <si>
    <t xml:space="preserve">2024-04-29 04:02:21-05:00</t>
  </si>
  <si>
    <t xml:space="preserve">2024:04:29 04:02:21-05:00</t>
  </si>
  <si>
    <t xml:space="preserve">Signature_6f0e15dd-9caf-47a2-b31f-916bcc8b79f7</t>
  </si>
  <si>
    <t xml:space="preserve">2024-04-29 04:02:28-05:00</t>
  </si>
  <si>
    <t xml:space="preserve">2024:04:29 04:02:28-05:00</t>
  </si>
  <si>
    <t xml:space="preserve">[0 - 596993], [613379 - 618057]</t>
  </si>
  <si>
    <t xml:space="preserve">Signature_74a973e5-7831-4292-9765-aae4f02119c1</t>
  </si>
  <si>
    <t xml:space="preserve">2024-04-29 04:02:31-05:00</t>
  </si>
  <si>
    <t xml:space="preserve">2024:04:29 04:02:31-05:00</t>
  </si>
  <si>
    <t xml:space="preserve">[0 - 479779], [496165 - 498957]</t>
  </si>
  <si>
    <t xml:space="preserve">Signature_32d1a51a-5929-4a8d-b184-6a26849489c1</t>
  </si>
  <si>
    <t xml:space="preserve">2024-04-29 04:02:13-05:00</t>
  </si>
  <si>
    <t xml:space="preserve">2024:04:29 04:02:13-05:00</t>
  </si>
  <si>
    <t xml:space="preserve">[0 - 810967], [827353 - 832561]</t>
  </si>
  <si>
    <t xml:space="preserve">Signature_d4235a24-310c-4c5c-be4b-dcd38a707e80</t>
  </si>
  <si>
    <t xml:space="preserve">2024-04-29 04:02:11-05:00</t>
  </si>
  <si>
    <t xml:space="preserve">2024:04:29 04:02:11-05:00</t>
  </si>
  <si>
    <t xml:space="preserve">[0 - 234843], [251229 - 255839]</t>
  </si>
  <si>
    <t xml:space="preserve">Signature_91c9b16b-18f2-44be-862a-fc4193d6de85</t>
  </si>
  <si>
    <t xml:space="preserve">2024-04-29 04:02:29-05:00</t>
  </si>
  <si>
    <t xml:space="preserve">2024:04:29 04:02:29-05:00</t>
  </si>
  <si>
    <t xml:space="preserve">[0 - 148758], [165144 - 169597]</t>
  </si>
  <si>
    <t xml:space="preserve">Signature_9c0012c3-f577-4af4-b423-b2cad9e89d16</t>
  </si>
  <si>
    <t xml:space="preserve">2024-04-29 04:02:17-05:00</t>
  </si>
  <si>
    <t xml:space="preserve">2024:04:29 04:02:17-05:00</t>
  </si>
  <si>
    <t xml:space="preserve">[0 - 822700], [839086 - 844619]</t>
  </si>
  <si>
    <t xml:space="preserve">Signature_affca11f-fa79-47d5-96e6-76e219d62721</t>
  </si>
  <si>
    <t xml:space="preserve">2024-04-29 04:02:15-05:00</t>
  </si>
  <si>
    <t xml:space="preserve">2024:04:29 04:02:15-05:00</t>
  </si>
  <si>
    <t xml:space="preserve">[0 - 234888], [251274 - 255886]</t>
  </si>
  <si>
    <t xml:space="preserve">Signature_85a5ab6b-2544-41df-be9f-f34337db84e9</t>
  </si>
  <si>
    <t xml:space="preserve">2024-04-29 04:02:14-05:00</t>
  </si>
  <si>
    <t xml:space="preserve">2024:04:29 04:02:14-05:00</t>
  </si>
  <si>
    <t xml:space="preserve">Signature_23e773de-3453-48bd-8e78-897800ab5f0d</t>
  </si>
  <si>
    <t xml:space="preserve">2024-04-29 04:02:12-05:00</t>
  </si>
  <si>
    <t xml:space="preserve">2024:04:29 04:02:12-05:00</t>
  </si>
  <si>
    <t xml:space="preserve">[0 - 234645], [251031 - 255642]</t>
  </si>
  <si>
    <t xml:space="preserve">Signature_8ad3369b-ab68-4606-ac10-4e242c0670b4</t>
  </si>
  <si>
    <t xml:space="preserve">2024-04-29 04:02:23-05:00</t>
  </si>
  <si>
    <t xml:space="preserve">2024:04:29 04:02:23-05:00</t>
  </si>
  <si>
    <t xml:space="preserve">[0 - 808247], [824633 - 829224]</t>
  </si>
  <si>
    <t xml:space="preserve">Signature_0dd3d4ba-d249-4c5a-b106-d5610b38b79d</t>
  </si>
  <si>
    <t xml:space="preserve">2024-04-29 04:02:19-05:00</t>
  </si>
  <si>
    <t xml:space="preserve">2024:04:29 04:02:19-05:00</t>
  </si>
  <si>
    <t xml:space="preserve">Signature_230049d9-0f23-4b6b-a7b3-9f6d3cae067c</t>
  </si>
  <si>
    <t xml:space="preserve">2024-04-29 04:02:18-05:00</t>
  </si>
  <si>
    <t xml:space="preserve">2024:04:29 04:02:18-05:00</t>
  </si>
  <si>
    <t xml:space="preserve">[0 - 891708], [908094 - 913099]</t>
  </si>
  <si>
    <t xml:space="preserve">Signature_d324d951-d6e8-4b74-a258-4e6017c8c077</t>
  </si>
  <si>
    <t xml:space="preserve">2024-04-29 04:02:16-05:00</t>
  </si>
  <si>
    <t xml:space="preserve">2024:04:29 04:02:16-05:00</t>
  </si>
  <si>
    <t xml:space="preserve">[0 - 740687], [757073 - 761663]</t>
  </si>
  <si>
    <t xml:space="preserve">Signature_92dc28a9-2d04-4bda-ad88-28c283d58e5b</t>
  </si>
  <si>
    <t xml:space="preserve">2024-04-29 04:02:30-05:00</t>
  </si>
  <si>
    <t xml:space="preserve">2024:04:29 04:02:30-05:00</t>
  </si>
  <si>
    <t xml:space="preserve">[0 - 317253], [333639 - 339465]</t>
  </si>
  <si>
    <t xml:space="preserve">Signature_2fa34b69-bbb4-4132-aa45-a1f4ef7fffef</t>
  </si>
  <si>
    <t xml:space="preserve">2024-04-29 04:02:24-05:00</t>
  </si>
  <si>
    <t xml:space="preserve">2024:04:29 04:02:24-05:00</t>
  </si>
  <si>
    <t xml:space="preserve">[0 - 111152], [127538 - 136027]</t>
  </si>
  <si>
    <t xml:space="preserve">Signature_8ac7be0a-98cc-4300-bebe-3c2c6e888671</t>
  </si>
  <si>
    <t xml:space="preserve">2024-04-29 04:02:22-05:00</t>
  </si>
  <si>
    <t xml:space="preserve">2024:04:29 04:02:22-05:00</t>
  </si>
  <si>
    <t xml:space="preserve">[0 - 195255], [211641 - 217113]</t>
  </si>
  <si>
    <t xml:space="preserve">174 0 obj</t>
  </si>
  <si>
    <t xml:space="preserve">Signature_fcab5b5a-7a16-4880-8f8c-033cc0202063</t>
  </si>
  <si>
    <t xml:space="preserve">2024-04-29 04:02:25-05:00</t>
  </si>
  <si>
    <t xml:space="preserve">2024:04:29 04:02:25-05:00</t>
  </si>
  <si>
    <t xml:space="preserve">[0 - 323623], [340009 - 344901]</t>
  </si>
  <si>
    <t xml:space="preserve">Signature_1684ffe4-6cf5-4fc2-b21e-7637029a5eed</t>
  </si>
  <si>
    <t xml:space="preserve">2024-04-29 04:02:27-05:00</t>
  </si>
  <si>
    <t xml:space="preserve">2024:04:29 04:02:27-05:00</t>
  </si>
  <si>
    <t xml:space="preserve">[0 - 155546], [171932 - 177078]</t>
  </si>
  <si>
    <t xml:space="preserve">Signature_04756915-0a80-435c-be45-3e45a8cb24d9</t>
  </si>
  <si>
    <t xml:space="preserve">2024-04-29 04:02:20-05:00</t>
  </si>
  <si>
    <t xml:space="preserve">2024:04:29 04:02:20-05:00</t>
  </si>
  <si>
    <t xml:space="preserve">[0 - 156971], [173357 - 178715]</t>
  </si>
  <si>
    <t xml:space="preserve">Signature_7a5d40da-37d7-4558-931b-e341dae13518</t>
  </si>
  <si>
    <t xml:space="preserve">2024-04-29 04:02:09-05:00</t>
  </si>
  <si>
    <t xml:space="preserve">2024:04:29 04:02:09-05:00</t>
  </si>
  <si>
    <t xml:space="preserve">[0 - 63017], [79403 - 87888]</t>
  </si>
  <si>
    <t xml:space="preserve">Signature_67d51c76-dedc-453f-bfe1-67cea3445ae0</t>
  </si>
  <si>
    <t xml:space="preserve">2024-04-29 04:04:16-05:00</t>
  </si>
  <si>
    <t xml:space="preserve">2024:04:29 04:04:16-05:00</t>
  </si>
  <si>
    <t xml:space="preserve">[0 - 348216], [364602 - 370709]</t>
  </si>
  <si>
    <t xml:space="preserve">Signature_31f42884-73cb-4a74-be4c-fd397ee6a4fe</t>
  </si>
  <si>
    <t xml:space="preserve">2024-04-29 04:04:19-05:00</t>
  </si>
  <si>
    <t xml:space="preserve">2024:04:29 04:04:19-05:00</t>
  </si>
  <si>
    <t xml:space="preserve">[0 - 479963], [496349 - 499141]</t>
  </si>
  <si>
    <t xml:space="preserve">Signature_6b65de70-c79f-47c6-9fa7-02e6e1a65409</t>
  </si>
  <si>
    <t xml:space="preserve">2024-04-29 04:04:13-05:00</t>
  </si>
  <si>
    <t xml:space="preserve">2024:04:29 04:04:13-05:00</t>
  </si>
  <si>
    <t xml:space="preserve">Signature_1c6d4fa6-b1bb-423a-86f6-e308d73a3622</t>
  </si>
  <si>
    <t xml:space="preserve">2024-04-29 04:04:14-05:00</t>
  </si>
  <si>
    <t xml:space="preserve">2024:04:29 04:04:14-05:00</t>
  </si>
  <si>
    <t xml:space="preserve">[0 - 68962], [85348 - 93835]</t>
  </si>
  <si>
    <t xml:space="preserve">Signature_eed11534-d170-4895-aaf1-26960678006e</t>
  </si>
  <si>
    <t xml:space="preserve">2024-04-29 04:04:06-05:00</t>
  </si>
  <si>
    <t xml:space="preserve">2024:04:29 04:04:06-05:00</t>
  </si>
  <si>
    <t xml:space="preserve">[0 - 66240], [82626 - 91111]</t>
  </si>
  <si>
    <t xml:space="preserve">Signature_5a17539c-6665-43fd-a3f5-94f68e3aefbd</t>
  </si>
  <si>
    <t xml:space="preserve">2024-04-29 04:04:00-05:00</t>
  </si>
  <si>
    <t xml:space="preserve">2024:04:29 04:04:00-05:00</t>
  </si>
  <si>
    <t xml:space="preserve">[0 - 93088], [109474 - 114034]</t>
  </si>
  <si>
    <t xml:space="preserve">Signature_6b132147-d738-4410-b8c6-a77ed3951e9a</t>
  </si>
  <si>
    <t xml:space="preserve">2024-04-29 04:04:04-05:00</t>
  </si>
  <si>
    <t xml:space="preserve">2024:04:29 04:04:04-05:00</t>
  </si>
  <si>
    <t xml:space="preserve">[0 - 717854], [734240 - 739750]</t>
  </si>
  <si>
    <t xml:space="preserve">Signature_2ed40401-3145-4525-8e14-c285fc87e686</t>
  </si>
  <si>
    <t xml:space="preserve">2024-04-29 04:04:01-05:00</t>
  </si>
  <si>
    <t xml:space="preserve">2024:04:29 04:04:01-05:00</t>
  </si>
  <si>
    <t xml:space="preserve">[0 - 718171], [734557 - 740071]</t>
  </si>
  <si>
    <t xml:space="preserve">Signature_21000a86-3a8e-4fa8-a49a-9021449408db</t>
  </si>
  <si>
    <t xml:space="preserve">2024-04-29 04:04:11-05:00</t>
  </si>
  <si>
    <t xml:space="preserve">2024:04:29 04:04:11-05:00</t>
  </si>
  <si>
    <t xml:space="preserve">[0 - 100947], [117333 - 121951]</t>
  </si>
  <si>
    <t xml:space="preserve">Signature_94c5776a-3b07-4938-b435-e2436d504f7d</t>
  </si>
  <si>
    <t xml:space="preserve">2024-04-29 04:04:08-05:00</t>
  </si>
  <si>
    <t xml:space="preserve">2024:04:29 04:04:08-05:00</t>
  </si>
  <si>
    <t xml:space="preserve">[0 - 340169], [356555 - 362079]</t>
  </si>
  <si>
    <t xml:space="preserve">Signature_872d5fd0-deaa-4299-ad1d-ef573e16a52a</t>
  </si>
  <si>
    <t xml:space="preserve">2024-04-29 04:04:15-05:00</t>
  </si>
  <si>
    <t xml:space="preserve">2024:04:29 04:04:15-05:00</t>
  </si>
  <si>
    <t xml:space="preserve">[0 - 234144], [250530 - 255503]</t>
  </si>
  <si>
    <t xml:space="preserve">Signature_54f63fc8-6360-42a4-9581-5663bebced58</t>
  </si>
  <si>
    <t xml:space="preserve">2024-04-29 04:04:09-05:00</t>
  </si>
  <si>
    <t xml:space="preserve">2024:04:29 04:04:09-05:00</t>
  </si>
  <si>
    <t xml:space="preserve">[0 - 800020], [816406 - 820940]</t>
  </si>
  <si>
    <t xml:space="preserve">Signature_59e73a0e-7af5-437b-acd7-0185180592e0</t>
  </si>
  <si>
    <t xml:space="preserve">2024-04-29 04:04:05-05:00</t>
  </si>
  <si>
    <t xml:space="preserve">2024:04:29 04:04:05-05:00</t>
  </si>
  <si>
    <t xml:space="preserve">[0 - 859222], [875608 - 880584]</t>
  </si>
  <si>
    <t xml:space="preserve">Signature_f4cbde19-8366-4aa3-aa46-04985b8a65f6</t>
  </si>
  <si>
    <t xml:space="preserve">2024-04-29 04:04:17-05:00</t>
  </si>
  <si>
    <t xml:space="preserve">2024:04:29 04:04:17-05:00</t>
  </si>
  <si>
    <t xml:space="preserve">[0 - 325040], [341426 - 347251]</t>
  </si>
  <si>
    <t xml:space="preserve">424 0 obj</t>
  </si>
  <si>
    <t xml:space="preserve">Signature_d7698898-a275-4c21-a43d-2dfbbf34563d</t>
  </si>
  <si>
    <t xml:space="preserve">2024-04-29 04:04:10-05:00</t>
  </si>
  <si>
    <t xml:space="preserve">2024:04:29 04:04:10-05:00</t>
  </si>
  <si>
    <t xml:space="preserve">[0 - 723780], [740166 - 745343]</t>
  </si>
  <si>
    <t xml:space="preserve">Signature_46288d77-79db-4b72-8149-4e074f5e8f4e</t>
  </si>
  <si>
    <t xml:space="preserve">2024-04-29 04:04:12-05:00</t>
  </si>
  <si>
    <t xml:space="preserve">2024:04:29 04:04:12-05:00</t>
  </si>
  <si>
    <t xml:space="preserve">Signature_39e78248-55ee-47d2-b19a-d64b9b6e6386</t>
  </si>
  <si>
    <t xml:space="preserve">2024-04-29 04:04:07-05:00</t>
  </si>
  <si>
    <t xml:space="preserve">2024:04:29 04:04:07-05:00</t>
  </si>
  <si>
    <t xml:space="preserve">[0 - 1067826], [1084212 - 1092795]</t>
  </si>
  <si>
    <t xml:space="preserve">Signature_d4b12538-3abf-4526-a0c0-4f4bd6ddef22</t>
  </si>
  <si>
    <t xml:space="preserve">2024-04-29 04:04:03-05:00</t>
  </si>
  <si>
    <t xml:space="preserve">2024:04:29 04:04:03-05:00</t>
  </si>
  <si>
    <t xml:space="preserve">[0 - 104904], [121290 - 125749]</t>
  </si>
  <si>
    <t xml:space="preserve">Signature_258e8cac-7cbf-44e8-8e08-14c24b6116aa</t>
  </si>
  <si>
    <t xml:space="preserve">2024-04-29 04:05:37-05:00</t>
  </si>
  <si>
    <t xml:space="preserve">2024:04:29 04:05:37-05:00</t>
  </si>
  <si>
    <t xml:space="preserve">[0 - 139377], [155763 - 160352]</t>
  </si>
  <si>
    <t xml:space="preserve">Signature_b75f7ba3-d844-4f2d-92ba-7ac8e1f1d418</t>
  </si>
  <si>
    <t xml:space="preserve">2024-04-29 04:05:38-05:00</t>
  </si>
  <si>
    <t xml:space="preserve">2024:04:29 04:05:38-05:00</t>
  </si>
  <si>
    <t xml:space="preserve">[0 - 396286], [412672 - 418271]</t>
  </si>
  <si>
    <t xml:space="preserve">Signature_914bb2a6-1e40-4d31-b078-f7f48ef7b3b1</t>
  </si>
  <si>
    <t xml:space="preserve">2024-04-29 04:05:27-05:00</t>
  </si>
  <si>
    <t xml:space="preserve">2024:04:29 04:05:27-05:00</t>
  </si>
  <si>
    <t xml:space="preserve">[0 - 923129], [939515 - 944797]</t>
  </si>
  <si>
    <t xml:space="preserve">Signature_62f8d04e-db50-4b56-9e4e-328d8285568b</t>
  </si>
  <si>
    <t xml:space="preserve">2024-04-29 04:05:24-05:00</t>
  </si>
  <si>
    <t xml:space="preserve">2024:04:29 04:05:24-05:00</t>
  </si>
  <si>
    <t xml:space="preserve">[0 - 833834], [850220 - 854802]</t>
  </si>
  <si>
    <t xml:space="preserve">Signature_f59f5573-e5e0-4306-8f1b-2141cb2ccb03</t>
  </si>
  <si>
    <t xml:space="preserve">2024-04-29 04:05:33-05:00</t>
  </si>
  <si>
    <t xml:space="preserve">2024:04:29 04:05:33-05:00</t>
  </si>
  <si>
    <t xml:space="preserve">[0 - 329976], [346362 - 351898]</t>
  </si>
  <si>
    <t xml:space="preserve">Signature_333e44e2-efc8-46b5-895a-f405892ca88c</t>
  </si>
  <si>
    <t xml:space="preserve">2024-04-29 04:05:32-05:00</t>
  </si>
  <si>
    <t xml:space="preserve">2024:04:29 04:05:32-05:00</t>
  </si>
  <si>
    <t xml:space="preserve">[0 - 101169], [117555 - 122173]</t>
  </si>
  <si>
    <t xml:space="preserve">Signature_eda987f5-3814-45c9-ac93-17f0da817791</t>
  </si>
  <si>
    <t xml:space="preserve">2024-04-29 04:05:23-05:00</t>
  </si>
  <si>
    <t xml:space="preserve">2024:04:29 04:05:23-05:00</t>
  </si>
  <si>
    <t xml:space="preserve">Signature_429af31b-e307-4cc4-b1b9-1c4466b48c09</t>
  </si>
  <si>
    <t xml:space="preserve">2024-04-29 04:05:34-05:00</t>
  </si>
  <si>
    <t xml:space="preserve">2024:04:29 04:05:34-05:00</t>
  </si>
  <si>
    <t xml:space="preserve">[0 - 351184], [367570 - 372384]</t>
  </si>
  <si>
    <t xml:space="preserve">Signature_33ab93eb-5cc4-498f-9632-24231be3d478</t>
  </si>
  <si>
    <t xml:space="preserve">2024-04-29 04:05:29-05:00</t>
  </si>
  <si>
    <t xml:space="preserve">2024:04:29 04:05:29-05:00</t>
  </si>
  <si>
    <t xml:space="preserve">[0 - 1153982], [1170368 - 1176162]</t>
  </si>
  <si>
    <t xml:space="preserve">Signature_2bf1aff6-8324-4539-ae92-1a1099396c53</t>
  </si>
  <si>
    <t xml:space="preserve">2024-04-29 04:05:26-05:00</t>
  </si>
  <si>
    <t xml:space="preserve">2024:04:29 04:05:26-05:00</t>
  </si>
  <si>
    <t xml:space="preserve">Signature_d5895adf-5b47-41c7-b668-251ad91a3d04</t>
  </si>
  <si>
    <t xml:space="preserve">2024-04-29 04:05:25-05:00</t>
  </si>
  <si>
    <t xml:space="preserve">2024:04:29 04:05:25-05:00</t>
  </si>
  <si>
    <t xml:space="preserve">[0 - 121006], [137392 - 145923]</t>
  </si>
  <si>
    <t xml:space="preserve">Signature_bc54b13e-cb8e-41b4-99fc-b14072d95471</t>
  </si>
  <si>
    <t xml:space="preserve">2024-04-29 04:05:30-05:00</t>
  </si>
  <si>
    <t xml:space="preserve">2024:04:29 04:05:30-05:00</t>
  </si>
  <si>
    <t xml:space="preserve">[0 - 221666], [238052 - 243543]</t>
  </si>
  <si>
    <t xml:space="preserve">Signature_1ca5ecd8-c689-4b46-bce8-f6a2dcc3192e</t>
  </si>
  <si>
    <t xml:space="preserve">2024-04-29 04:05:35-05:00</t>
  </si>
  <si>
    <t xml:space="preserve">2024:04:29 04:05:35-05:00</t>
  </si>
  <si>
    <t xml:space="preserve">[0 - 370572], [386958 - 392962]</t>
  </si>
  <si>
    <t xml:space="preserve">Signature_b8d7f48a-f0fc-49ea-a475-83ddbe33f8ac</t>
  </si>
  <si>
    <t xml:space="preserve">2024-04-29 04:05:36-05:00</t>
  </si>
  <si>
    <t xml:space="preserve">2022:05:13 10:30:21-05:00</t>
  </si>
  <si>
    <t xml:space="preserve">[0 - 188295], [204681 - 208939]</t>
  </si>
  <si>
    <t xml:space="preserve">Signature_ba62e5d4-8f71-48e4-bc3d-f12cb79f65f4</t>
  </si>
  <si>
    <t xml:space="preserve">2024-04-29 04:05:31-05:00</t>
  </si>
  <si>
    <t xml:space="preserve">2024:04:29 04:05:31-05:00</t>
  </si>
  <si>
    <t xml:space="preserve">[0 - 157753], [174139 - 179487]</t>
  </si>
  <si>
    <t xml:space="preserve">Signature_ee380690-a019-4c65-b107-69e34a765b82</t>
  </si>
  <si>
    <t xml:space="preserve">2024-04-29 04:05:22-05:00</t>
  </si>
  <si>
    <t xml:space="preserve">2024:04:29 04:05:22-05:00</t>
  </si>
  <si>
    <t xml:space="preserve">[0 - 87645], [104031 - 112561]</t>
  </si>
  <si>
    <t xml:space="preserve">Signature_285e395e-ed67-4bad-b710-735ac920785e</t>
  </si>
  <si>
    <t xml:space="preserve">2024-04-29 04:06:47-05:00</t>
  </si>
  <si>
    <t xml:space="preserve">2024:04:29 04:06:47-05:00</t>
  </si>
  <si>
    <t xml:space="preserve">[0 - 593402], [609788 - 614466]</t>
  </si>
  <si>
    <t xml:space="preserve">Signature_3dd9cd45-4f74-4d08-9fdf-b65d361049d6</t>
  </si>
  <si>
    <t xml:space="preserve">2024-04-29 04:06:50-05:00</t>
  </si>
  <si>
    <t xml:space="preserve">2024:04:29 04:06:51-05:00</t>
  </si>
  <si>
    <t xml:space="preserve">[0 - 477743], [494129 - 496921]</t>
  </si>
  <si>
    <t xml:space="preserve">Signature_8a57a7a0-b389-4ad4-8129-6327b4a5c837</t>
  </si>
  <si>
    <t xml:space="preserve">2024-04-29 04:06:45-05:00</t>
  </si>
  <si>
    <t xml:space="preserve">2024:04:29 04:06:45-05:00</t>
  </si>
  <si>
    <t xml:space="preserve">Signature_95d051fd-2880-403f-86a2-a791ff540b2d</t>
  </si>
  <si>
    <t xml:space="preserve">2024-04-29 04:06:46-05:00</t>
  </si>
  <si>
    <t xml:space="preserve">2024:04:29 04:06:46-05:00</t>
  </si>
  <si>
    <t xml:space="preserve">[0 - 67794], [84180 - 92667]</t>
  </si>
  <si>
    <t xml:space="preserve">Signature_74097b95-faca-4a8f-9d94-d282add94839</t>
  </si>
  <si>
    <t xml:space="preserve">2024-04-29 04:06:37-05:00</t>
  </si>
  <si>
    <t xml:space="preserve">2024:04:29 04:06:37-05:00</t>
  </si>
  <si>
    <t xml:space="preserve">[0 - 64821], [81207 - 89692]</t>
  </si>
  <si>
    <t xml:space="preserve">Signature_dd9204f8-7a9c-4d82-ada8-9c0ce36fb59c</t>
  </si>
  <si>
    <t xml:space="preserve">2024-04-29 04:06:34-05:00</t>
  </si>
  <si>
    <t xml:space="preserve">2024:04:29 04:06:34-05:00</t>
  </si>
  <si>
    <t xml:space="preserve">[0 - 93101], [109487 - 114047]</t>
  </si>
  <si>
    <t xml:space="preserve">Signature_50a1a987-683b-408b-9b6c-799bb7b2723e</t>
  </si>
  <si>
    <t xml:space="preserve">2024-04-29 04:06:35-05:00</t>
  </si>
  <si>
    <t xml:space="preserve">2024:04:29 04:06:35-05:00</t>
  </si>
  <si>
    <t xml:space="preserve">[0 - 718174], [734560 - 740074]</t>
  </si>
  <si>
    <t xml:space="preserve">Signature_4e07a718-59b1-4c12-9c82-7bba78da2ca9</t>
  </si>
  <si>
    <t xml:space="preserve">2024-04-29 04:06:43-05:00</t>
  </si>
  <si>
    <t xml:space="preserve">2024:04:29 04:06:43-05:00</t>
  </si>
  <si>
    <t xml:space="preserve">[0 - 101280], [117666 - 122284]</t>
  </si>
  <si>
    <t xml:space="preserve">Signature_f48fb1c4-5fb9-4d95-934e-faeaf111065f</t>
  </si>
  <si>
    <t xml:space="preserve">2024-04-29 04:06:40-05:00</t>
  </si>
  <si>
    <t xml:space="preserve">2024:04:29 04:06:40-05:00</t>
  </si>
  <si>
    <t xml:space="preserve">[0 - 340168], [356554 - 362079]</t>
  </si>
  <si>
    <t xml:space="preserve">Signature_b6454fab-f488-4bad-9e24-0d826eefb90b</t>
  </si>
  <si>
    <t xml:space="preserve">2024-04-29 04:06:41-05:00</t>
  </si>
  <si>
    <t xml:space="preserve">2024:04:29 04:06:41-05:00</t>
  </si>
  <si>
    <t xml:space="preserve">[0 - 800020], [816406 - 820941]</t>
  </si>
  <si>
    <t xml:space="preserve">Signature_f9c16c6f-bd2b-4157-ae7b-5663e3f50423</t>
  </si>
  <si>
    <t xml:space="preserve">2024-04-29 04:06:36-05:00</t>
  </si>
  <si>
    <t xml:space="preserve">2024:04:29 04:06:36-05:00</t>
  </si>
  <si>
    <t xml:space="preserve">[0 - 859221], [875607 - 880584]</t>
  </si>
  <si>
    <t xml:space="preserve">Signature_7cd57a3f-e0ae-421f-8b34-02fd29aa7447</t>
  </si>
  <si>
    <t xml:space="preserve">2024-04-29 04:06:49-05:00</t>
  </si>
  <si>
    <t xml:space="preserve">2024:04:29 04:06:49-05:00</t>
  </si>
  <si>
    <t xml:space="preserve">[0 - 125509], [141895 - 146344]</t>
  </si>
  <si>
    <t xml:space="preserve">Signature_aabcc89d-478d-4301-b329-c4d0f35b77b0</t>
  </si>
  <si>
    <t xml:space="preserve">2024-04-29 04:06:42-05:00</t>
  </si>
  <si>
    <t xml:space="preserve">2024:04:29 04:06:42-05:00</t>
  </si>
  <si>
    <t xml:space="preserve">Signature_f1f91a28-4976-4034-b361-431975bab266</t>
  </si>
  <si>
    <t xml:space="preserve">2024-04-29 04:06:48-05:00</t>
  </si>
  <si>
    <t xml:space="preserve">2024:04:29 04:06:48-05:00</t>
  </si>
  <si>
    <t xml:space="preserve">[0 - 756489], [772875 - 777460]</t>
  </si>
  <si>
    <t xml:space="preserve">Signature_6b74210e-e360-4af7-99dd-fa28e822fc7d</t>
  </si>
  <si>
    <t xml:space="preserve">2024-04-29 04:06:44-05:00</t>
  </si>
  <si>
    <t xml:space="preserve">2024:04:29 04:06:44-05:00</t>
  </si>
  <si>
    <t xml:space="preserve">Signature_6a2db5e0-5298-4309-a916-1cb753967a51</t>
  </si>
  <si>
    <t xml:space="preserve">2024-04-29 04:06:39-05:00</t>
  </si>
  <si>
    <t xml:space="preserve">2024:04:29 04:06:39-05:00</t>
  </si>
  <si>
    <t xml:space="preserve">[0 - 1115000], [1131386 - 1139969]</t>
  </si>
  <si>
    <t xml:space="preserve">Signature_3ebd03c4-22f1-4da1-8ad2-8dbe28f1c69b</t>
  </si>
  <si>
    <t xml:space="preserve">2024-04-29 15:24:55-05:00</t>
  </si>
  <si>
    <t xml:space="preserve">2024:04:29 15:24:55-05:00</t>
  </si>
  <si>
    <t xml:space="preserve">[0 - 95275], [111661 - 112918]</t>
  </si>
  <si>
    <t xml:space="preserve">Signature_5c182074-53ea-40ca-ad44-fac97734137d</t>
  </si>
  <si>
    <t xml:space="preserve">2024-04-29 15:24:32-05:00</t>
  </si>
  <si>
    <t xml:space="preserve">2024:04:29 15:24:32-05:00</t>
  </si>
  <si>
    <t xml:space="preserve">[0 - 754327], [770713 - 775870]</t>
  </si>
  <si>
    <t xml:space="preserve">Signature_cbe263f3-f26b-4f26-85a2-61d24d7ffb33</t>
  </si>
  <si>
    <t xml:space="preserve">2024-04-29 15:24:53-05:00</t>
  </si>
  <si>
    <t xml:space="preserve">2024:04:29 15:24:53-05:00</t>
  </si>
  <si>
    <t xml:space="preserve">[0 - 450400], [466786 - 475273]</t>
  </si>
  <si>
    <t xml:space="preserve">Signature_ca4c9147-7f18-46cb-8e9f-1847150e02a7</t>
  </si>
  <si>
    <t xml:space="preserve">2024-04-29 15:24:49-05:00</t>
  </si>
  <si>
    <t xml:space="preserve">2024:04:29 15:24:49-05:00</t>
  </si>
  <si>
    <t xml:space="preserve">[0 - 74482], [90868 - 99353]</t>
  </si>
  <si>
    <t xml:space="preserve">Signature_44796c13-2c6e-4178-abc7-4b8894126520</t>
  </si>
  <si>
    <t xml:space="preserve">2024-04-29 15:24:50-05:00</t>
  </si>
  <si>
    <t xml:space="preserve">2024:04:29 15:24:50-05:00</t>
  </si>
  <si>
    <t xml:space="preserve">[0 - 75358], [91744 - 100229]</t>
  </si>
  <si>
    <t xml:space="preserve">Signature_666b8ba2-2fc0-4711-b4a6-eb5fc8ada1cf</t>
  </si>
  <si>
    <t xml:space="preserve">2024-04-29 15:24:48-05:00</t>
  </si>
  <si>
    <t xml:space="preserve">2024:04:29 15:24:48-05:00</t>
  </si>
  <si>
    <t xml:space="preserve">[0 - 398105], [414491 - 422978]</t>
  </si>
  <si>
    <t xml:space="preserve">Signature_3e54226d-68fd-443c-a43b-53cbc16907f0</t>
  </si>
  <si>
    <t xml:space="preserve">2024-04-29 15:24:42-05:00</t>
  </si>
  <si>
    <t xml:space="preserve">2024:04:29 15:24:42-05:00</t>
  </si>
  <si>
    <t xml:space="preserve">[0 - 75290], [91676 - 100161]</t>
  </si>
  <si>
    <t xml:space="preserve">Signature_ac9b0bcc-17bf-49ae-90c4-cfdb1acb68e7</t>
  </si>
  <si>
    <t xml:space="preserve">2024-04-29 15:24:37-05:00</t>
  </si>
  <si>
    <t xml:space="preserve">2024:04:29 15:24:37-05:00</t>
  </si>
  <si>
    <t xml:space="preserve">[0 - 77926], [94312 - 102798]</t>
  </si>
  <si>
    <t xml:space="preserve">Signature_5c971def-279a-403f-8851-bf5f8e7d6343</t>
  </si>
  <si>
    <t xml:space="preserve">2024-04-29 15:24:45-05:00</t>
  </si>
  <si>
    <t xml:space="preserve">2024:04:29 15:24:45-05:00</t>
  </si>
  <si>
    <t xml:space="preserve">[0 - 828575], [844961 - 850506]</t>
  </si>
  <si>
    <t xml:space="preserve">Signature_442130fb-a8f1-4b82-b4d0-fa830f82f9d4</t>
  </si>
  <si>
    <t xml:space="preserve">2024-04-29 15:24:44-05:00</t>
  </si>
  <si>
    <t xml:space="preserve">2024:04:29 15:24:44-05:00</t>
  </si>
  <si>
    <t xml:space="preserve">[0 - 825912], [842298 - 847841]</t>
  </si>
  <si>
    <t xml:space="preserve">Signature_00c317f1-75a0-45c6-ac21-40491a552bd3</t>
  </si>
  <si>
    <t xml:space="preserve">2024-04-29 15:24:41-05:00</t>
  </si>
  <si>
    <t xml:space="preserve">2024:04:29 15:24:41-05:00</t>
  </si>
  <si>
    <t xml:space="preserve">[0 - 110146], [126532 - 135063]</t>
  </si>
  <si>
    <t xml:space="preserve">Signature_9f412f5f-5a53-4d83-80c3-4cab3aef7597</t>
  </si>
  <si>
    <t xml:space="preserve">2024-04-29 15:24:39-05:00</t>
  </si>
  <si>
    <t xml:space="preserve">2024:04:29 15:24:39-05:00</t>
  </si>
  <si>
    <t xml:space="preserve">[0 - 237276], [253662 - 259147]</t>
  </si>
  <si>
    <t xml:space="preserve">Signature_b26fe939-1647-4001-a047-9969de73c2db</t>
  </si>
  <si>
    <t xml:space="preserve">2024-04-29 15:24:38-05:00</t>
  </si>
  <si>
    <t xml:space="preserve">2024:04:29 15:24:38-05:00</t>
  </si>
  <si>
    <t xml:space="preserve">[0 - 889382], [905768 - 910364]</t>
  </si>
  <si>
    <t xml:space="preserve">Signature_21a74fa1-27dd-4b26-9981-ef1d7911beb8</t>
  </si>
  <si>
    <t xml:space="preserve">2024-04-29 15:24:36-05:00</t>
  </si>
  <si>
    <t xml:space="preserve">2024:04:29 15:24:36-05:00</t>
  </si>
  <si>
    <t xml:space="preserve">[0 - 114165], [130551 - 139082]</t>
  </si>
  <si>
    <t xml:space="preserve">Signature_669d4533-5fe3-4e08-b34f-4e811c63b527</t>
  </si>
  <si>
    <t xml:space="preserve">2024-04-29 15:24:34-05:00</t>
  </si>
  <si>
    <t xml:space="preserve">2024:04:29 15:24:34-05:00</t>
  </si>
  <si>
    <t xml:space="preserve">[0 - 810743], [827129 - 832283]</t>
  </si>
  <si>
    <t xml:space="preserve">Signature_56d50fcf-adc4-4d29-bdd3-197b7273e982</t>
  </si>
  <si>
    <t xml:space="preserve">2024-04-29 15:24:33-05:00</t>
  </si>
  <si>
    <t xml:space="preserve">2024:04:29 15:24:33-05:00</t>
  </si>
  <si>
    <t xml:space="preserve">Signature_6bdcd5ee-392e-4cfb-b4a3-58192719eb63</t>
  </si>
  <si>
    <t xml:space="preserve">2024-04-29 15:24:52-05:00</t>
  </si>
  <si>
    <t xml:space="preserve">2024:04:29 15:24:52-05:00</t>
  </si>
  <si>
    <t xml:space="preserve">[0 - 70358], [86744 - 95229]</t>
  </si>
  <si>
    <t xml:space="preserve">Signature_962d38d5-13bf-40ec-980e-33b149a8bfea</t>
  </si>
  <si>
    <t xml:space="preserve">2024-04-29 15:24:46-05:00</t>
  </si>
  <si>
    <t xml:space="preserve">2024:04:29 15:24:46-05:00</t>
  </si>
  <si>
    <t xml:space="preserve">[0 - 739546], [755932 - 760523]</t>
  </si>
  <si>
    <t xml:space="preserve">Signature_48591a95-3362-4b6d-81a8-c44ed69728f2</t>
  </si>
  <si>
    <t xml:space="preserve">2024-04-29 15:24:40-05:00</t>
  </si>
  <si>
    <t xml:space="preserve">2024:04:29 15:24:40-05:00</t>
  </si>
  <si>
    <t xml:space="preserve">[0 - 114385], [130771 - 139302]</t>
  </si>
  <si>
    <t xml:space="preserve">Signature_b85f0549-d9c8-4f0a-af38-c062ebd39e56</t>
  </si>
  <si>
    <t xml:space="preserve">2024-04-29 15:24:35-05:00</t>
  </si>
  <si>
    <t xml:space="preserve">2024:04:29 15:24:35-05:00</t>
  </si>
  <si>
    <t xml:space="preserve">[0 - 118727], [135113 - 143644]</t>
  </si>
  <si>
    <t xml:space="preserve">Signature_1377b0fa-4382-4035-a863-b669fd219bac</t>
  </si>
  <si>
    <t xml:space="preserve">2024-04-29 15:24:47-05:00</t>
  </si>
  <si>
    <t xml:space="preserve">2024:04:29 15:24:47-05:00</t>
  </si>
  <si>
    <t xml:space="preserve">[0 - 254871], [271257 - 279744]</t>
  </si>
  <si>
    <t xml:space="preserve">Signature_b7313488-ad00-44c7-b2a8-69ef0e233da4</t>
  </si>
  <si>
    <t xml:space="preserve">2024-04-29 15:24:43-05:00</t>
  </si>
  <si>
    <t xml:space="preserve">2024:04:29 15:24:43-05:00</t>
  </si>
  <si>
    <t xml:space="preserve">[0 - 243600], [259986 - 268473]</t>
  </si>
  <si>
    <t xml:space="preserve">Signature_dd0ab915-7ddb-4e21-a9e8-f9cebe75b04d</t>
  </si>
  <si>
    <t xml:space="preserve">2024-04-29 15:24:54-05:00</t>
  </si>
  <si>
    <t xml:space="preserve">2024:04:29 15:24:54-05:00</t>
  </si>
  <si>
    <t xml:space="preserve">[0 - 681164], [697550 - 703049]</t>
  </si>
  <si>
    <t xml:space="preserve">Signature_3e184279-c1c2-4cbf-983e-407d024a959d</t>
  </si>
  <si>
    <t xml:space="preserve">2024-04-30 07:38:52-05:00</t>
  </si>
  <si>
    <t xml:space="preserve">2024:04:30 07:38:52-05:00</t>
  </si>
  <si>
    <t xml:space="preserve">[0 - 414900], [431286 - 439773]</t>
  </si>
  <si>
    <t xml:space="preserve">Signature_5cdf9dd6-2f0a-4519-b824-60b48ea8a06a</t>
  </si>
  <si>
    <t xml:space="preserve">2024-04-30 07:38:47-05:00</t>
  </si>
  <si>
    <t xml:space="preserve">2024:04:30 07:38:47-05:00</t>
  </si>
  <si>
    <t xml:space="preserve">Signature_a45f297b-5a63-4523-a1b3-09a45c6af5f9</t>
  </si>
  <si>
    <t xml:space="preserve">2024-04-30 07:38:45-05:00</t>
  </si>
  <si>
    <t xml:space="preserve">2024:04:30 07:38:45-05:00</t>
  </si>
  <si>
    <t xml:space="preserve">[0 - 692914], [709300 - 714579]</t>
  </si>
  <si>
    <t xml:space="preserve">Signature_7b3f8a0a-8eba-48de-9fac-d130ee002c73</t>
  </si>
  <si>
    <t xml:space="preserve">Signature_cf166fbd-b377-4423-b505-c70d20f9fc26</t>
  </si>
  <si>
    <t xml:space="preserve">2024-04-30 07:38:50-05:00</t>
  </si>
  <si>
    <t xml:space="preserve">2024:04:30 07:38:50-05:00</t>
  </si>
  <si>
    <t xml:space="preserve">[0 - 824254], [840640 - 846246]</t>
  </si>
  <si>
    <t xml:space="preserve">Signature_5788474c-8af8-4883-987a-ea0517f1a1e4</t>
  </si>
  <si>
    <t xml:space="preserve">2024-04-30 07:38:48-05:00</t>
  </si>
  <si>
    <t xml:space="preserve">2024:04:30 07:38:48-05:00</t>
  </si>
  <si>
    <t xml:space="preserve">[0 - 833773], [850159 - 854755]</t>
  </si>
  <si>
    <t xml:space="preserve">Signature_315637ce-e35e-48c9-9434-6e953b17673a</t>
  </si>
  <si>
    <t xml:space="preserve">2024-04-30 07:38:46-05:00</t>
  </si>
  <si>
    <t xml:space="preserve">2024:04:30 07:38:46-05:00</t>
  </si>
  <si>
    <t xml:space="preserve">[0 - 821123], [837509 - 843092]</t>
  </si>
  <si>
    <t xml:space="preserve">328 0 obj</t>
  </si>
  <si>
    <t xml:space="preserve">Signature_c4128827-4e62-49aa-b4b5-7f7ad108e538</t>
  </si>
  <si>
    <t xml:space="preserve">2024-04-30 07:38:51-05:00</t>
  </si>
  <si>
    <t xml:space="preserve">2024:04:30 07:38:51-05:00</t>
  </si>
  <si>
    <t xml:space="preserve">[0 - 808096], [824482 - 832969]</t>
  </si>
  <si>
    <t xml:space="preserve">Signature_21a45ddd-a7ef-4868-8acf-49916c09ffab</t>
  </si>
  <si>
    <t xml:space="preserve">2024-04-30 07:21:40-05:00</t>
  </si>
  <si>
    <t xml:space="preserve">2024:04:30 07:21:40-05:00</t>
  </si>
  <si>
    <t xml:space="preserve">[0 - 1382249], [1398635 - 1403191]</t>
  </si>
  <si>
    <t xml:space="preserve">810 0 obj</t>
  </si>
  <si>
    <t xml:space="preserve">Signature_04cd0a47-d44b-4a1d-8cb6-437c1dc5fb2c</t>
  </si>
  <si>
    <t xml:space="preserve">2024-04-30 07:21:38-05:00</t>
  </si>
  <si>
    <t xml:space="preserve">2024:04:30 07:21:38-05:00</t>
  </si>
  <si>
    <t xml:space="preserve">[0 - 1003035], [1019421 - 1023658]</t>
  </si>
  <si>
    <t xml:space="preserve">Signature_2468d89c-686d-4db1-a0b2-afa17e71ae31</t>
  </si>
  <si>
    <t xml:space="preserve">2024-04-30 07:21:37-05:00</t>
  </si>
  <si>
    <t xml:space="preserve">2024:04:30 07:21:37-05:00</t>
  </si>
  <si>
    <t xml:space="preserve">[0 - 1378784], [1395170 - 1399726]</t>
  </si>
  <si>
    <t xml:space="preserve">799 0 obj</t>
  </si>
  <si>
    <t xml:space="preserve">Signature_38cef38d-683c-4d0a-9c3a-9d08603aed4a</t>
  </si>
  <si>
    <t xml:space="preserve">2024-04-30 07:21:29-05:00</t>
  </si>
  <si>
    <t xml:space="preserve">2024:04:30 07:21:29-05:00</t>
  </si>
  <si>
    <t xml:space="preserve">[0 - 877986], [894372 - 900079]</t>
  </si>
  <si>
    <t xml:space="preserve">Signature_bb53aeaf-f0f8-4e48-b0e0-7fb6dad8e909</t>
  </si>
  <si>
    <t xml:space="preserve">2024-04-30 07:21:25-05:00</t>
  </si>
  <si>
    <t xml:space="preserve">2024:04:30 07:21:25-05:00</t>
  </si>
  <si>
    <t xml:space="preserve">[0 - 788091], [804477 - 809740]</t>
  </si>
  <si>
    <t xml:space="preserve">Signature_8c8168ca-f9c5-49a1-8db8-d74f5ed71dc3</t>
  </si>
  <si>
    <t xml:space="preserve">2024-04-30 07:21:39-05:00</t>
  </si>
  <si>
    <t xml:space="preserve">2024:04:30 07:21:39-05:00</t>
  </si>
  <si>
    <t xml:space="preserve">[0 - 78176], [94562 - 103048]</t>
  </si>
  <si>
    <t xml:space="preserve">Signature_6810ffa9-1c54-48ed-8e86-5fff27b2018f</t>
  </si>
  <si>
    <t xml:space="preserve">2024-04-30 07:21:34-05:00</t>
  </si>
  <si>
    <t xml:space="preserve">2024:04:30 07:21:34-05:00</t>
  </si>
  <si>
    <t xml:space="preserve">[0 - 76797], [93183 - 101669]</t>
  </si>
  <si>
    <t xml:space="preserve">Signature_425a609f-a26d-4b4f-a670-7555d1aca65b</t>
  </si>
  <si>
    <t xml:space="preserve">2024-04-30 07:21:32-05:00</t>
  </si>
  <si>
    <t xml:space="preserve">2024:04:30 07:21:32-05:00</t>
  </si>
  <si>
    <t xml:space="preserve">[0 - 591630], [608016 - 616503]</t>
  </si>
  <si>
    <t xml:space="preserve">Signature_7cefaf54-c56e-4186-a50f-14b44ad681c7</t>
  </si>
  <si>
    <t xml:space="preserve">2024-04-30 07:21:31-05:00</t>
  </si>
  <si>
    <t xml:space="preserve">2024:04:30 07:21:31-05:00</t>
  </si>
  <si>
    <t xml:space="preserve">[0 - 114347], [130733 - 136430]</t>
  </si>
  <si>
    <t xml:space="preserve">130 0 obj</t>
  </si>
  <si>
    <t xml:space="preserve">Signature_d6aefe6b-6223-4b44-89ac-b2d473d94fad</t>
  </si>
  <si>
    <t xml:space="preserve">2024-04-30 07:21:33-05:00</t>
  </si>
  <si>
    <t xml:space="preserve">2024:04:30 07:21:33-05:00</t>
  </si>
  <si>
    <t xml:space="preserve">[0 - 111803], [128189 - 136720]</t>
  </si>
  <si>
    <t xml:space="preserve">Signature_920642a9-10a9-4f43-af07-ef86ee47a20b</t>
  </si>
  <si>
    <t xml:space="preserve">2024-04-30 07:21:30-05:00</t>
  </si>
  <si>
    <t xml:space="preserve">2024:04:30 07:21:30-05:00</t>
  </si>
  <si>
    <t xml:space="preserve">[0 - 834014], [850400 - 854995]</t>
  </si>
  <si>
    <t xml:space="preserve">Signature_7cb749ae-0290-4a8d-9c03-3fc3c33a9c02</t>
  </si>
  <si>
    <t xml:space="preserve">2024-04-30 07:21:26-05:00</t>
  </si>
  <si>
    <t xml:space="preserve">2024:04:30 07:21:26-05:00</t>
  </si>
  <si>
    <t xml:space="preserve">[0 - 234723], [251109 - 255717]</t>
  </si>
  <si>
    <t xml:space="preserve">Signature_9c6eae5b-db71-43e9-93d2-f2055ceb9053</t>
  </si>
  <si>
    <t xml:space="preserve">2024-04-30 07:21:35-05:00</t>
  </si>
  <si>
    <t xml:space="preserve">2024:04:30 07:21:35-05:00</t>
  </si>
  <si>
    <t xml:space="preserve">[0 - 116544], [132930 - 141461]</t>
  </si>
  <si>
    <t xml:space="preserve">Signature_64cb55f2-77d9-40d6-b0ae-04a12b73134e</t>
  </si>
  <si>
    <t xml:space="preserve">2024-04-30 07:21:27-05:00</t>
  </si>
  <si>
    <t xml:space="preserve">2024:04:30 07:21:27-05:00</t>
  </si>
  <si>
    <t xml:space="preserve">[0 - 721958], [738344 - 742936]</t>
  </si>
  <si>
    <t xml:space="preserve">Signature_da95730d-fd3a-4450-b51b-91cf48ab969d</t>
  </si>
  <si>
    <t xml:space="preserve">2024-04-30 07:21:28-05:00</t>
  </si>
  <si>
    <t xml:space="preserve">2024:04:30 07:21:28-05:00</t>
  </si>
  <si>
    <t xml:space="preserve">[0 - 71792], [88178 - 96669]</t>
  </si>
  <si>
    <t xml:space="preserve">Signature_7a9069a6-019b-45d6-bbf6-939b5f25ea12</t>
  </si>
  <si>
    <t xml:space="preserve">2024-04-30 07:39:30-05:00</t>
  </si>
  <si>
    <t xml:space="preserve">2024:04:30 07:39:30-05:00</t>
  </si>
  <si>
    <t xml:space="preserve">[0 - 151911], [168297 - 173651]</t>
  </si>
  <si>
    <t xml:space="preserve">Signature_91e974c0-15c3-422d-84e6-e8ab64ac6a4a</t>
  </si>
  <si>
    <t xml:space="preserve">2024-04-30 07:39:34-05:00</t>
  </si>
  <si>
    <t xml:space="preserve">2024:04:30 07:39:35-05:00</t>
  </si>
  <si>
    <t xml:space="preserve">[0 - 432049], [448435 - 451094]</t>
  </si>
  <si>
    <t xml:space="preserve">Signature_231bc286-38b1-482f-ae6b-9abea0c12863</t>
  </si>
  <si>
    <t xml:space="preserve">2024-04-30 07:39:32-05:00</t>
  </si>
  <si>
    <t xml:space="preserve">2024:04:30 07:39:32-05:00</t>
  </si>
  <si>
    <t xml:space="preserve">[0 - 868161], [884547 - 889824]</t>
  </si>
  <si>
    <t xml:space="preserve">Signature_27e98829-825c-44ce-b6b2-124e3b92d970</t>
  </si>
  <si>
    <t xml:space="preserve">2024-04-30 07:39:28-05:00</t>
  </si>
  <si>
    <t xml:space="preserve">2024:04:30 07:39:28-05:00</t>
  </si>
  <si>
    <t xml:space="preserve">[0 - 97561], [113947 - 118448]</t>
  </si>
  <si>
    <t xml:space="preserve">Signature_642e1fec-c812-405d-9f57-c6038d3d6441</t>
  </si>
  <si>
    <t xml:space="preserve">2024-04-30 07:39:29-05:00</t>
  </si>
  <si>
    <t xml:space="preserve">2024:04:30 07:39:29-05:00</t>
  </si>
  <si>
    <t xml:space="preserve">[0 - 839259], [855645 - 860238]</t>
  </si>
  <si>
    <t xml:space="preserve">Signature_5c17720e-f0d0-4828-9859-0b73b2ac5445</t>
  </si>
  <si>
    <t xml:space="preserve">2024-04-30 07:39:27-05:00</t>
  </si>
  <si>
    <t xml:space="preserve">2024:04:30 07:39:27-05:00</t>
  </si>
  <si>
    <t xml:space="preserve">[0 - 239750], [256136 - 261618]</t>
  </si>
  <si>
    <t xml:space="preserve">Signature_c9eff8bb-0ebf-4ac6-bc31-52b81dac4c34</t>
  </si>
  <si>
    <t xml:space="preserve">2024-04-30 07:39:33-05:00</t>
  </si>
  <si>
    <t xml:space="preserve">2024:04:30 07:39:33-05:00</t>
  </si>
  <si>
    <t xml:space="preserve">[0 - 111390], [127776 - 136307]</t>
  </si>
  <si>
    <t xml:space="preserve">Signature_8e28e48c-95ba-4ee5-917f-b4f23359b3a3</t>
  </si>
  <si>
    <t xml:space="preserve">2024-04-30 07:39:31-05:00</t>
  </si>
  <si>
    <t xml:space="preserve">2024:04:30 07:39:31-05:00</t>
  </si>
  <si>
    <t xml:space="preserve">[0 - 207100], [223486 - 228905]</t>
  </si>
  <si>
    <t xml:space="preserve">Signature_382aed0c-6e0d-416a-b8ac-cb33a90e9154</t>
  </si>
  <si>
    <t xml:space="preserve">2024-04-30 07:40:17-05:00</t>
  </si>
  <si>
    <t xml:space="preserve">2024:04:30 07:40:17-05:00</t>
  </si>
  <si>
    <t xml:space="preserve">[0 - 354713], [371099 - 379586]</t>
  </si>
  <si>
    <t xml:space="preserve">Signature_d14d9216-335a-426e-b671-995a9ecf30e6</t>
  </si>
  <si>
    <t xml:space="preserve">2024-04-30 07:40:20-05:00</t>
  </si>
  <si>
    <t xml:space="preserve">2024:04:30 07:40:20-05:00</t>
  </si>
  <si>
    <t xml:space="preserve">[0 - 426946], [443332 - 445991]</t>
  </si>
  <si>
    <t xml:space="preserve">342 0 obj</t>
  </si>
  <si>
    <t xml:space="preserve">Signature_0c04e6e1-b89b-4fb6-a5d9-488e98f5a192</t>
  </si>
  <si>
    <t xml:space="preserve">2024-04-30 07:40:09-05:00</t>
  </si>
  <si>
    <t xml:space="preserve">2024:04:30 07:40:09-05:00</t>
  </si>
  <si>
    <t xml:space="preserve">[0 - 806542], [822928 - 828192]</t>
  </si>
  <si>
    <t xml:space="preserve">Signature_853b3c1d-1c6f-4061-b22d-cea24795aedf</t>
  </si>
  <si>
    <t xml:space="preserve">2024-04-30 07:40:13-05:00</t>
  </si>
  <si>
    <t xml:space="preserve">2024:04:30 07:40:13-05:00</t>
  </si>
  <si>
    <t xml:space="preserve">[0 - 93524], [109910 - 114464]</t>
  </si>
  <si>
    <t xml:space="preserve">Signature_dd3a0a45-6299-4c1f-8b3b-bcbcbe0bad8e</t>
  </si>
  <si>
    <t xml:space="preserve">2024-04-30 07:40:18-05:00</t>
  </si>
  <si>
    <t xml:space="preserve">2024:04:30 07:40:18-05:00</t>
  </si>
  <si>
    <t xml:space="preserve">[0 - 438988], [455374 - 463861]</t>
  </si>
  <si>
    <t xml:space="preserve">Signature_d76cae5c-f908-4ddd-8a43-ad23f20449ad</t>
  </si>
  <si>
    <t xml:space="preserve">2024-04-30 07:40:12-05:00</t>
  </si>
  <si>
    <t xml:space="preserve">2024:04:30 07:40:12-05:00</t>
  </si>
  <si>
    <t xml:space="preserve">[0 - 823138], [839524 - 845116]</t>
  </si>
  <si>
    <t xml:space="preserve">Signature_e55158ee-9780-4545-b013-773ed0cbef81</t>
  </si>
  <si>
    <t xml:space="preserve">2024-04-30 07:40:10-05:00</t>
  </si>
  <si>
    <t xml:space="preserve">2024:04:30 07:40:10-05:00</t>
  </si>
  <si>
    <t xml:space="preserve">[0 - 822298], [838684 - 844250]</t>
  </si>
  <si>
    <t xml:space="preserve">Signature_798c8f7e-74af-4ce8-b027-7811efebf6c9</t>
  </si>
  <si>
    <t xml:space="preserve">2024-04-30 07:40:14-05:00</t>
  </si>
  <si>
    <t xml:space="preserve">2024:04:30 07:40:14-05:00</t>
  </si>
  <si>
    <t xml:space="preserve">[0 - 1909545], [1925931 - 1931756]</t>
  </si>
  <si>
    <t xml:space="preserve">Signature_d8f86b55-df66-45af-9a8b-e415441883f6</t>
  </si>
  <si>
    <t xml:space="preserve">2024-04-30 07:40:15-05:00</t>
  </si>
  <si>
    <t xml:space="preserve">2024:04:30 07:40:15-05:00</t>
  </si>
  <si>
    <t xml:space="preserve">[0 - 127126], [143512 - 147958]</t>
  </si>
  <si>
    <t xml:space="preserve">Signature_df2deadf-c127-4869-b9dc-d7b4c4e9aa69</t>
  </si>
  <si>
    <t xml:space="preserve">2024-04-30 07:40:16-05:00</t>
  </si>
  <si>
    <t xml:space="preserve">2024:04:30 07:40:16-05:00</t>
  </si>
  <si>
    <t xml:space="preserve">[0 - 122471], [138857 - 144165]</t>
  </si>
  <si>
    <t xml:space="preserve">Signature_36803445-dd2e-4907-b78c-99aed4ab6193</t>
  </si>
  <si>
    <t xml:space="preserve">2024-04-30 07:40:19-05:00</t>
  </si>
  <si>
    <t xml:space="preserve">2024:04:30 07:40:19-05:00</t>
  </si>
  <si>
    <t xml:space="preserve">[0 - 680055], [696441 - 701936]</t>
  </si>
  <si>
    <t xml:space="preserve">Signature_8a67b4b1-57c7-4ab7-989a-e972accf6b24</t>
  </si>
  <si>
    <t xml:space="preserve">2024-04-30 07:40:54-05:00</t>
  </si>
  <si>
    <t xml:space="preserve">2024:04:30 07:40:54-05:00</t>
  </si>
  <si>
    <t xml:space="preserve">[0 - 818431], [834817 - 839497]</t>
  </si>
  <si>
    <t xml:space="preserve">Signature_73e9955f-686b-48ac-bf2f-61698de051ba</t>
  </si>
  <si>
    <t xml:space="preserve">2024-04-30 07:40:53-05:00</t>
  </si>
  <si>
    <t xml:space="preserve">2024:04:30 07:40:53-05:00</t>
  </si>
  <si>
    <t xml:space="preserve">[0 - 84755], [101141 - 105636]</t>
  </si>
  <si>
    <t xml:space="preserve">Signature_0af67f77-82e5-40fc-82d0-2a8383ea584f</t>
  </si>
  <si>
    <t xml:space="preserve">2024-04-30 07:40:57-05:00</t>
  </si>
  <si>
    <t xml:space="preserve">2024:04:30 07:40:57-05:00</t>
  </si>
  <si>
    <t xml:space="preserve">[0 - 319621], [336007 - 340727]</t>
  </si>
  <si>
    <t xml:space="preserve">Signature_1dffe6aa-db0b-4366-87fd-c9924207724a</t>
  </si>
  <si>
    <t xml:space="preserve">2024-04-30 07:41:00-05:00</t>
  </si>
  <si>
    <t xml:space="preserve">2024:04:30 07:41:00-05:00</t>
  </si>
  <si>
    <t xml:space="preserve">[0 - 468288], [484674 - 487850]</t>
  </si>
  <si>
    <t xml:space="preserve">Signature_470ee546-96ba-4bdd-8c4e-e6cc303d592a</t>
  </si>
  <si>
    <t xml:space="preserve">2024-04-30 07:40:56-05:00</t>
  </si>
  <si>
    <t xml:space="preserve">2024:04:30 07:40:56-05:00</t>
  </si>
  <si>
    <t xml:space="preserve">[0 - 813983], [830369 - 835649]</t>
  </si>
  <si>
    <t xml:space="preserve">Signature_15c2774c-fecb-40d3-b7b1-8001581f37ee</t>
  </si>
  <si>
    <t xml:space="preserve">2024-04-30 07:40:58-05:00</t>
  </si>
  <si>
    <t xml:space="preserve">2024:04:30 07:40:58-05:00</t>
  </si>
  <si>
    <t xml:space="preserve">[0 - 111944], [128330 - 136861]</t>
  </si>
  <si>
    <t xml:space="preserve">Signature_a3bcd861-0cab-4d38-8bb6-db49fb1fe566</t>
  </si>
  <si>
    <t xml:space="preserve">2024-04-30 07:40:55-05:00</t>
  </si>
  <si>
    <t xml:space="preserve">2024:04:30 07:40:55-05:00</t>
  </si>
  <si>
    <t xml:space="preserve">[0 - 106880], [123266 - 127766]</t>
  </si>
  <si>
    <t xml:space="preserve">Signature_c2d1d5ba-f0ab-427f-9c5d-f4e491397c9d</t>
  </si>
  <si>
    <t xml:space="preserve">2024-04-30 07:40:51-05:00</t>
  </si>
  <si>
    <t xml:space="preserve">2024:04:30 07:40:51-05:00</t>
  </si>
  <si>
    <t xml:space="preserve">[0 - 349400], [365786 - 370710]</t>
  </si>
  <si>
    <t xml:space="preserve">Signature_d48a6787-2a94-499a-828b-671230890522</t>
  </si>
  <si>
    <t xml:space="preserve">2024-04-30 07:40:52-05:00</t>
  </si>
  <si>
    <t xml:space="preserve">2024:04:30 07:40:52-05:00</t>
  </si>
  <si>
    <t xml:space="preserve">[0 - 195781], [212167 - 218540]</t>
  </si>
  <si>
    <t xml:space="preserve">Signature_492f6e1c-0e91-4d46-bbdb-ebeb2274150a</t>
  </si>
  <si>
    <t xml:space="preserve">2024-04-30 07:22:11-05:00</t>
  </si>
  <si>
    <t xml:space="preserve">2024:04:30 07:22:11-05:00</t>
  </si>
  <si>
    <t xml:space="preserve">[0 - 309118], [325504 - 330565]</t>
  </si>
  <si>
    <t xml:space="preserve">418 0 obj</t>
  </si>
  <si>
    <t xml:space="preserve">Signature_962b45a2-8ef9-48e0-a113-b2bb8e725057</t>
  </si>
  <si>
    <t xml:space="preserve">2024-04-30 07:22:22-05:00</t>
  </si>
  <si>
    <t xml:space="preserve">2024:04:30 07:22:23-05:00</t>
  </si>
  <si>
    <t xml:space="preserve">[0 - 85138], [101524 - 102809]</t>
  </si>
  <si>
    <t xml:space="preserve">Signature_5d87bfe8-947f-45c1-8bbc-4fa425de0572</t>
  </si>
  <si>
    <t xml:space="preserve">2024-04-30 07:22:10-05:00</t>
  </si>
  <si>
    <t xml:space="preserve">2024:04:30 07:22:10-05:00</t>
  </si>
  <si>
    <t xml:space="preserve">[0 - 97751], [114137 - 119459]</t>
  </si>
  <si>
    <t xml:space="preserve">Signature_391f5772-4e68-4950-90a9-0e23bbea7b71</t>
  </si>
  <si>
    <t xml:space="preserve">2024-04-30 07:22:19-05:00</t>
  </si>
  <si>
    <t xml:space="preserve">2024:04:30 07:22:19-05:00</t>
  </si>
  <si>
    <t xml:space="preserve">[0 - 77260], [93646 - 102132]</t>
  </si>
  <si>
    <t xml:space="preserve">Signature_b1efd4ea-f723-4550-88b0-538436019c02</t>
  </si>
  <si>
    <t xml:space="preserve">2024-04-30 07:22:18-05:00</t>
  </si>
  <si>
    <t xml:space="preserve">2024:04:30 07:22:18-05:00</t>
  </si>
  <si>
    <t xml:space="preserve">[0 - 499921], [516307 - 524794]</t>
  </si>
  <si>
    <t xml:space="preserve">Signature_b3d809e1-41dc-4dc2-a556-5df6220e4af0</t>
  </si>
  <si>
    <t xml:space="preserve">2024-04-30 07:22:17-05:00</t>
  </si>
  <si>
    <t xml:space="preserve">2024:04:30 07:22:17-05:00</t>
  </si>
  <si>
    <t xml:space="preserve">[0 - 73297], [89683 - 98168]</t>
  </si>
  <si>
    <t xml:space="preserve">Signature_15f98665-6292-4edf-92c1-eb919f5c6efb</t>
  </si>
  <si>
    <t xml:space="preserve">2024-04-30 07:22:16-05:00</t>
  </si>
  <si>
    <t xml:space="preserve">2024:04:30 07:22:16-05:00</t>
  </si>
  <si>
    <t xml:space="preserve">[0 - 717860], [734246 - 739779]</t>
  </si>
  <si>
    <t xml:space="preserve">Signature_a405fe55-5a8d-4617-bee0-e601671468a2</t>
  </si>
  <si>
    <t xml:space="preserve">2024-04-30 07:22:15-05:00</t>
  </si>
  <si>
    <t xml:space="preserve">2024:04:30 07:22:15-05:00</t>
  </si>
  <si>
    <t xml:space="preserve">[0 - 631381], [647767 - 651999]</t>
  </si>
  <si>
    <t xml:space="preserve">Signature_7e365309-effb-4063-a1c6-239ba44da9b0</t>
  </si>
  <si>
    <t xml:space="preserve">2024-04-30 07:22:13-05:00</t>
  </si>
  <si>
    <t xml:space="preserve">2024:04:30 07:22:13-05:00</t>
  </si>
  <si>
    <t xml:space="preserve">[0 - 322122], [338508 - 343403]</t>
  </si>
  <si>
    <t xml:space="preserve">Signature_0d610263-a570-49a8-82aa-07504b4e6e70</t>
  </si>
  <si>
    <t xml:space="preserve">2024-04-30 07:22:14-05:00</t>
  </si>
  <si>
    <t xml:space="preserve">2024:04:30 07:22:14-05:00</t>
  </si>
  <si>
    <t xml:space="preserve">[0 - 150485], [166871 - 172023]</t>
  </si>
  <si>
    <t xml:space="preserve">Signature_2371be51-4a35-464a-aba4-79a21279904c</t>
  </si>
  <si>
    <t xml:space="preserve">2024-04-30 07:22:12-05:00</t>
  </si>
  <si>
    <t xml:space="preserve">2024:04:30 07:22:12-05:00</t>
  </si>
  <si>
    <t xml:space="preserve">[0 - 166158], [182544 - 187855]</t>
  </si>
  <si>
    <t xml:space="preserve">Signature_671a2f64-86ce-49d3-b217-457df1492209</t>
  </si>
  <si>
    <t xml:space="preserve">2024-04-30 07:22:20-05:00</t>
  </si>
  <si>
    <t xml:space="preserve">2024:04:30 07:22:20-05:00</t>
  </si>
  <si>
    <t xml:space="preserve">[0 - 681301], [697687 - 703174]</t>
  </si>
  <si>
    <t xml:space="preserve">Signature_20aa0c33-a40a-4ac1-a543-7aa45d8faccc</t>
  </si>
  <si>
    <t xml:space="preserve">2024-04-30 07:41:34-05:00</t>
  </si>
  <si>
    <t xml:space="preserve">2024:04:30 07:41:34-05:00</t>
  </si>
  <si>
    <t xml:space="preserve">[0 - 348699], [365085 - 371201]</t>
  </si>
  <si>
    <t xml:space="preserve">Signature_f67d9a39-725a-4d80-afa9-7704b6e824ae</t>
  </si>
  <si>
    <t xml:space="preserve">2024-04-30 07:41:35-05:00</t>
  </si>
  <si>
    <t xml:space="preserve">2024:04:30 07:41:35-05:00</t>
  </si>
  <si>
    <t xml:space="preserve">[0 - 436545], [452931 - 455966]</t>
  </si>
  <si>
    <t xml:space="preserve">Signature_46e98ea0-157a-48b9-bf9c-a318719ef94c</t>
  </si>
  <si>
    <t xml:space="preserve">2024-04-30 07:41:30-05:00</t>
  </si>
  <si>
    <t xml:space="preserve">2024:04:30 07:41:30-05:00</t>
  </si>
  <si>
    <t xml:space="preserve">[0 - 898238], [914624 - 920363]</t>
  </si>
  <si>
    <t xml:space="preserve">232 0 obj</t>
  </si>
  <si>
    <t xml:space="preserve">Signature_4f4a961c-b91f-43dc-8f16-4c9de2ae2f55</t>
  </si>
  <si>
    <t xml:space="preserve">2024-04-30 07:41:28-05:00</t>
  </si>
  <si>
    <t xml:space="preserve">2024:04:30 07:41:28-05:00</t>
  </si>
  <si>
    <t xml:space="preserve">[0 - 273431], [289817 - 298304]</t>
  </si>
  <si>
    <t xml:space="preserve">Signature_28fcb7d9-2684-4325-903d-1ca31bf1ba68</t>
  </si>
  <si>
    <t xml:space="preserve">2024-04-30 07:41:31-05:00</t>
  </si>
  <si>
    <t xml:space="preserve">2024:04:30 07:41:31-05:00</t>
  </si>
  <si>
    <t xml:space="preserve">[0 - 834398], [850784 - 855381]</t>
  </si>
  <si>
    <t xml:space="preserve">Signature_7b9a07e0-7148-48ae-af72-dd13a141888a</t>
  </si>
  <si>
    <t xml:space="preserve">2024-04-30 07:41:33-05:00</t>
  </si>
  <si>
    <t xml:space="preserve">2024:04:30 07:41:33-05:00</t>
  </si>
  <si>
    <t xml:space="preserve">[0 - 252250], [268636 - 273087]</t>
  </si>
  <si>
    <t xml:space="preserve">Signature_c3a0b3c6-8ed2-4c0a-a63b-4d8817c29187</t>
  </si>
  <si>
    <t xml:space="preserve">2024-04-30 07:41:32-05:00</t>
  </si>
  <si>
    <t xml:space="preserve">2024:04:30 07:41:32-05:00</t>
  </si>
  <si>
    <t xml:space="preserve">[0 - 123696], [140082 - 144528]</t>
  </si>
  <si>
    <t xml:space="preserve">Signature_d98165ec-2a6d-434d-9609-06249aa2e279</t>
  </si>
  <si>
    <t xml:space="preserve">2024-04-30 07:41:27-05:00</t>
  </si>
  <si>
    <t xml:space="preserve">2024:04:30 07:41:27-05:00</t>
  </si>
  <si>
    <t xml:space="preserve">[0 - 294651], [311037 - 316488]</t>
  </si>
  <si>
    <t xml:space="preserve">Signature_33bdbb5b-da26-4d00-987f-4e2b139698e6</t>
  </si>
  <si>
    <t xml:space="preserve">2024-04-30 07:23:13-05:00</t>
  </si>
  <si>
    <t xml:space="preserve">2024:04:30 07:23:13-05:00</t>
  </si>
  <si>
    <t xml:space="preserve">[0 - 86125], [102511 - 103796]</t>
  </si>
  <si>
    <t xml:space="preserve">Signature_c90e9229-1c0a-4004-8ba4-d0666975a70e</t>
  </si>
  <si>
    <t xml:space="preserve">2024-04-30 07:23:08-05:00</t>
  </si>
  <si>
    <t xml:space="preserve">2024:04:30 07:23:08-05:00</t>
  </si>
  <si>
    <t xml:space="preserve">[0 - 72657], [89043 - 97528]</t>
  </si>
  <si>
    <t xml:space="preserve">Signature_caa384b4-b170-4a38-a524-16cef247c7c6</t>
  </si>
  <si>
    <t xml:space="preserve">2024-04-30 07:23:09-05:00</t>
  </si>
  <si>
    <t xml:space="preserve">2024:04:30 07:23:09-05:00</t>
  </si>
  <si>
    <t xml:space="preserve">[0 - 75495], [91881 - 100366]</t>
  </si>
  <si>
    <t xml:space="preserve">Signature_7190deac-b1a1-4ae3-88cd-38e2ae14221f</t>
  </si>
  <si>
    <t xml:space="preserve">2024-04-30 07:23:10-05:00</t>
  </si>
  <si>
    <t xml:space="preserve">2024:04:30 07:23:10-05:00</t>
  </si>
  <si>
    <t xml:space="preserve">[0 - 106236], [122622 - 131153]</t>
  </si>
  <si>
    <t xml:space="preserve">Signature_c05fb7e4-7550-4c23-b1d3-ec6387332944</t>
  </si>
  <si>
    <t xml:space="preserve">2024-04-30 07:23:07-05:00</t>
  </si>
  <si>
    <t xml:space="preserve">2024:04:30 07:23:07-05:00</t>
  </si>
  <si>
    <t xml:space="preserve">[0 - 820815], [837201 - 842806]</t>
  </si>
  <si>
    <t xml:space="preserve">Signature_e83ba3cd-33fa-4023-b072-b87e5bf30dae</t>
  </si>
  <si>
    <t xml:space="preserve">2024-04-30 07:23:11-05:00</t>
  </si>
  <si>
    <t xml:space="preserve">2024:04:30 07:23:11-05:00</t>
  </si>
  <si>
    <t xml:space="preserve">[0 - 111865], [128251 - 136782]</t>
  </si>
  <si>
    <t xml:space="preserve">Signature_b73be8da-6f61-47b7-8c6b-61c52e2ee665</t>
  </si>
  <si>
    <t xml:space="preserve">2024-04-30 07:23:04-05:00</t>
  </si>
  <si>
    <t xml:space="preserve">2024:04:30 07:23:04-05:00</t>
  </si>
  <si>
    <t xml:space="preserve">[0 - 111387], [127773 - 136304]</t>
  </si>
  <si>
    <t xml:space="preserve">Signature_21d46c20-41a7-4949-8ff8-6671c3b0f140</t>
  </si>
  <si>
    <t xml:space="preserve">2024-04-30 07:23:06-05:00</t>
  </si>
  <si>
    <t xml:space="preserve">2024:04:30 07:23:06-05:00</t>
  </si>
  <si>
    <t xml:space="preserve">[0 - 422594], [438980 - 447467]</t>
  </si>
  <si>
    <t xml:space="preserve">Signature_ce9c3fab-3ccf-48fc-a8ff-98e93f5a4c8c</t>
  </si>
  <si>
    <t xml:space="preserve">2024-04-30 07:23:12-05:00</t>
  </si>
  <si>
    <t xml:space="preserve">2024:04:30 07:23:12-05:00</t>
  </si>
  <si>
    <t xml:space="preserve">[0 - 672121], [688507 - 693977]</t>
  </si>
  <si>
    <t xml:space="preserve">Signature_cb1aad26-e48f-48cc-a346-dd836a2b5e30</t>
  </si>
  <si>
    <t xml:space="preserve">2024-04-30 07:45:37-05:00</t>
  </si>
  <si>
    <t xml:space="preserve">2024:04:30 07:45:37-05:00</t>
  </si>
  <si>
    <t xml:space="preserve">[0 - 12447465], [12463851 - 12468645]</t>
  </si>
  <si>
    <t xml:space="preserve">Signature_90b52505-65c6-433b-be16-dead85b20864</t>
  </si>
  <si>
    <t xml:space="preserve">2024:04:30 07:45:38-05:00</t>
  </si>
  <si>
    <t xml:space="preserve">[0 - 423379], [439765 - 442424]</t>
  </si>
  <si>
    <t xml:space="preserve">Signature_2b0898a2-7bab-4012-844b-91f82f9c7b12</t>
  </si>
  <si>
    <t xml:space="preserve">2024-04-30 07:45:29-05:00</t>
  </si>
  <si>
    <t xml:space="preserve">2024:04:30 07:45:29-05:00</t>
  </si>
  <si>
    <t xml:space="preserve">Signature_d23db591-8d48-431c-b387-6b575555a839</t>
  </si>
  <si>
    <t xml:space="preserve">2024-04-30 07:45:28-05:00</t>
  </si>
  <si>
    <t xml:space="preserve">2024:04:30 07:45:28-05:00</t>
  </si>
  <si>
    <t xml:space="preserve">[0 - 708110], [724496 - 729079]</t>
  </si>
  <si>
    <t xml:space="preserve">Signature_a64c8be4-c11c-4535-9bdd-a99452039406</t>
  </si>
  <si>
    <t xml:space="preserve">2024-04-30 07:45:36-05:00</t>
  </si>
  <si>
    <t xml:space="preserve">2024:04:30 07:45:36-05:00</t>
  </si>
  <si>
    <t xml:space="preserve">[0 - 831468], [847854 - 856385]</t>
  </si>
  <si>
    <t xml:space="preserve">Signature_c8cb89f7-868b-47d7-a24d-583380823468</t>
  </si>
  <si>
    <t xml:space="preserve">2024-04-30 07:45:33-05:00</t>
  </si>
  <si>
    <t xml:space="preserve">2024:04:30 07:45:33-05:00</t>
  </si>
  <si>
    <t xml:space="preserve">Signature_fdb278b1-e5f3-47f1-8b5c-ebd3c8de8f5c</t>
  </si>
  <si>
    <t xml:space="preserve">2024-04-30 07:45:32-05:00</t>
  </si>
  <si>
    <t xml:space="preserve">2024:04:30 07:45:32-05:00</t>
  </si>
  <si>
    <t xml:space="preserve">[0 - 821444], [837830 - 843399]</t>
  </si>
  <si>
    <t xml:space="preserve">Signature_178d53da-a937-4cc4-a166-dd0762ee5f6d</t>
  </si>
  <si>
    <t xml:space="preserve">2024-04-30 07:45:34-05:00</t>
  </si>
  <si>
    <t xml:space="preserve">2024:04:30 07:45:34-05:00</t>
  </si>
  <si>
    <t xml:space="preserve">[0 - 847481], [863867 - 868843]</t>
  </si>
  <si>
    <t xml:space="preserve">Signature_4f507089-c00f-4dab-ade2-9591b114b6f8</t>
  </si>
  <si>
    <t xml:space="preserve">2024-04-30 07:45:30-05:00</t>
  </si>
  <si>
    <t xml:space="preserve">2024:04:30 07:45:30-05:00</t>
  </si>
  <si>
    <t xml:space="preserve">Signature_d11b1f23-78d3-4ba8-a80c-93f1e174328b</t>
  </si>
  <si>
    <t xml:space="preserve">2024-04-30 07:45:31-05:00</t>
  </si>
  <si>
    <t xml:space="preserve">2024:04:30 07:45:31-05:00</t>
  </si>
  <si>
    <t xml:space="preserve">[0 - 306688], [323074 - 331561]</t>
  </si>
  <si>
    <t xml:space="preserve">Signature_a6815383-4994-4c5f-bffc-777b651f7c04</t>
  </si>
  <si>
    <t xml:space="preserve">2024-04-30 07:46:16-05:00</t>
  </si>
  <si>
    <t xml:space="preserve">2024:04:30 07:46:16-05:00</t>
  </si>
  <si>
    <t xml:space="preserve">[0 - 754326], [770712 - 775869]</t>
  </si>
  <si>
    <t xml:space="preserve">Signature_5c28023e-ff39-4b3e-bf73-864dafc78e89</t>
  </si>
  <si>
    <t xml:space="preserve">2024-04-30 07:46:24-05:00</t>
  </si>
  <si>
    <t xml:space="preserve">2024:04:30 07:46:24-05:00</t>
  </si>
  <si>
    <t xml:space="preserve">[0 - 74223], [90609 - 99094]</t>
  </si>
  <si>
    <t xml:space="preserve">Signature_f1928987-9342-4a57-84d1-a9f9fd5687e1</t>
  </si>
  <si>
    <t xml:space="preserve">2024-04-30 07:46:25-05:00</t>
  </si>
  <si>
    <t xml:space="preserve">2024:04:30 07:46:25-05:00</t>
  </si>
  <si>
    <t xml:space="preserve">[0 - 113407], [129793 - 138324]</t>
  </si>
  <si>
    <t xml:space="preserve">Signature_ddccd8fd-c16b-4b3f-8aac-810d6b842f5d</t>
  </si>
  <si>
    <t xml:space="preserve">2024-04-30 07:46:21-05:00</t>
  </si>
  <si>
    <t xml:space="preserve">2024:04:30 07:46:21-05:00</t>
  </si>
  <si>
    <t xml:space="preserve">[0 - 237276], [253662 - 259150]</t>
  </si>
  <si>
    <t xml:space="preserve">Signature_323c5026-2c46-4cb0-95a0-b71571e2066e</t>
  </si>
  <si>
    <t xml:space="preserve">2024-04-30 07:46:20-05:00</t>
  </si>
  <si>
    <t xml:space="preserve">2024:04:30 07:46:20-05:00</t>
  </si>
  <si>
    <t xml:space="preserve">[0 - 821656], [838042 - 843612]</t>
  </si>
  <si>
    <t xml:space="preserve">Signature_4ce3b835-ab7e-406a-bced-efb0028a5629</t>
  </si>
  <si>
    <t xml:space="preserve">2024-04-30 07:46:19-05:00</t>
  </si>
  <si>
    <t xml:space="preserve">2024:04:30 07:46:19-05:00</t>
  </si>
  <si>
    <t xml:space="preserve">[0 - 889380], [905766 - 910363]</t>
  </si>
  <si>
    <t xml:space="preserve">Signature_df05a78f-cf0b-4484-8f36-9ab3afbf2cc3</t>
  </si>
  <si>
    <t xml:space="preserve">2024-04-30 07:46:18-05:00</t>
  </si>
  <si>
    <t xml:space="preserve">2024:04:30 07:46:18-05:00</t>
  </si>
  <si>
    <t xml:space="preserve">[0 - 810741], [827127 - 832284]</t>
  </si>
  <si>
    <t xml:space="preserve">Signature_3634a46c-bc3d-4643-87a5-090ff71fda58</t>
  </si>
  <si>
    <t xml:space="preserve">2024-04-30 07:46:17-05:00</t>
  </si>
  <si>
    <t xml:space="preserve">2024:04:30 07:46:17-05:00</t>
  </si>
  <si>
    <t xml:space="preserve">Signature_a879b826-6d96-48b0-91dd-19d93fd49e5e</t>
  </si>
  <si>
    <t xml:space="preserve">2024-04-30 07:46:23-05:00</t>
  </si>
  <si>
    <t xml:space="preserve">2024:04:30 07:46:23-05:00</t>
  </si>
  <si>
    <t xml:space="preserve">[0 - 113073], [129459 - 137990]</t>
  </si>
  <si>
    <t xml:space="preserve">Signature_926a5605-ab1a-4bc9-ac54-89dfcb566aaf</t>
  </si>
  <si>
    <t xml:space="preserve">2024-04-30 07:46:26-05:00</t>
  </si>
  <si>
    <t xml:space="preserve">2024:04:30 07:46:26-05:00</t>
  </si>
  <si>
    <t xml:space="preserve">[0 - 85404], [101790 - 110276]</t>
  </si>
  <si>
    <t xml:space="preserve">Signature_2a5a4255-b9df-4465-8e57-1abf3386812f</t>
  </si>
  <si>
    <t xml:space="preserve">2024-04-30 07:47:10-05:00</t>
  </si>
  <si>
    <t xml:space="preserve">2024:04:30 07:47:10-05:00</t>
  </si>
  <si>
    <t xml:space="preserve">[0 - 389612], [405998 - 410624]</t>
  </si>
  <si>
    <t xml:space="preserve">Signature_c1a4d7b5-717c-41ac-a03f-e314694bb635</t>
  </si>
  <si>
    <t xml:space="preserve">2024-04-30 07:47:14-05:00</t>
  </si>
  <si>
    <t xml:space="preserve">2024:04:30 07:47:15-05:00</t>
  </si>
  <si>
    <t xml:space="preserve">[0 - 426567], [442953 - 445612]</t>
  </si>
  <si>
    <t xml:space="preserve">Signature_afa5a08a-4eb4-4ea3-888c-a8a87c2adffb</t>
  </si>
  <si>
    <t xml:space="preserve">2024-04-30 07:47:09-05:00</t>
  </si>
  <si>
    <t xml:space="preserve">2024:04:30 07:47:09-05:00</t>
  </si>
  <si>
    <t xml:space="preserve">[0 - 838054], [854440 - 859020]</t>
  </si>
  <si>
    <t xml:space="preserve">Signature_a0ce6872-8c4a-4bf0-8e43-10ef09c240f2</t>
  </si>
  <si>
    <t xml:space="preserve">2024-04-30 07:47:08-05:00</t>
  </si>
  <si>
    <t xml:space="preserve">2024:04:30 07:47:08-05:00</t>
  </si>
  <si>
    <t xml:space="preserve">[0 - 889400], [905786 - 910383]</t>
  </si>
  <si>
    <t xml:space="preserve">Signature_618a25d2-12a4-4cac-852f-d0fe19920c1f</t>
  </si>
  <si>
    <t xml:space="preserve">2024-04-30 07:47:06-05:00</t>
  </si>
  <si>
    <t xml:space="preserve">2024:04:30 07:47:06-05:00</t>
  </si>
  <si>
    <t xml:space="preserve">[0 - 833952], [850338 - 854935]</t>
  </si>
  <si>
    <t xml:space="preserve">Signature_d1e9db6a-a704-484a-89cd-39e2cfd82b0c</t>
  </si>
  <si>
    <t xml:space="preserve">2024-04-30 07:47:02-05:00</t>
  </si>
  <si>
    <t xml:space="preserve">2024:04:30 07:47:02-05:00</t>
  </si>
  <si>
    <t xml:space="preserve">[0 - 821454], [837840 - 843411]</t>
  </si>
  <si>
    <t xml:space="preserve">Signature_ceb66ee9-944e-4eac-bc46-6593c41e005f</t>
  </si>
  <si>
    <t xml:space="preserve">2024-04-30 07:47:13-05:00</t>
  </si>
  <si>
    <t xml:space="preserve">2024:04:30 07:47:13-05:00</t>
  </si>
  <si>
    <t xml:space="preserve">[0 - 111991], [128377 - 136908]</t>
  </si>
  <si>
    <t xml:space="preserve">Signature_d6edbef5-f520-43ea-b2a1-36a8ee5fb51f</t>
  </si>
  <si>
    <t xml:space="preserve">2024-04-30 07:47:01-05:00</t>
  </si>
  <si>
    <t xml:space="preserve">2024:04:30 07:47:01-05:00</t>
  </si>
  <si>
    <t xml:space="preserve">[0 - 740225], [756611 - 761201]</t>
  </si>
  <si>
    <t xml:space="preserve">Signature_db760933-21a8-4827-9cb2-690d615c02fe</t>
  </si>
  <si>
    <t xml:space="preserve">2024-04-30 07:47:12-05:00</t>
  </si>
  <si>
    <t xml:space="preserve">2024:04:30 07:47:12-05:00</t>
  </si>
  <si>
    <t xml:space="preserve">[0 - 86779], [103165 - 111651]</t>
  </si>
  <si>
    <t xml:space="preserve">Signature_21c3ecc5-89bc-4746-87a0-2724c517d177</t>
  </si>
  <si>
    <t xml:space="preserve">2024-04-30 07:47:03-05:00</t>
  </si>
  <si>
    <t xml:space="preserve">2024:04:30 07:47:03-05:00</t>
  </si>
  <si>
    <t xml:space="preserve">[0 - 678019], [694405 - 699353]</t>
  </si>
  <si>
    <t xml:space="preserve">Signature_19371756-1324-4c03-aee2-1a0a23243f23</t>
  </si>
  <si>
    <t xml:space="preserve">2024-04-30 07:47:11-05:00</t>
  </si>
  <si>
    <t xml:space="preserve">2024:04:30 07:47:11-05:00</t>
  </si>
  <si>
    <t xml:space="preserve">[0 - 73931], [90317 - 98802]</t>
  </si>
  <si>
    <t xml:space="preserve">Signature_8e954366-351d-488d-823b-e55a5778f73b</t>
  </si>
  <si>
    <t xml:space="preserve">2024-04-30 07:47:07-05:00</t>
  </si>
  <si>
    <t xml:space="preserve">2024:04:30 07:47:07-05:00</t>
  </si>
  <si>
    <t xml:space="preserve">[0 - 653723], [670109 - 678640]</t>
  </si>
  <si>
    <t xml:space="preserve">Signature_70dfe16e-628f-4825-9901-4e412843123c</t>
  </si>
  <si>
    <t xml:space="preserve">2024-04-30 07:47:04-05:00</t>
  </si>
  <si>
    <t xml:space="preserve">2024:04:30 07:47:04-05:00</t>
  </si>
  <si>
    <t xml:space="preserve">[0 - 73970], [90356 - 98850]</t>
  </si>
  <si>
    <t xml:space="preserve">Signature_b5b724e1-6ac4-4c9f-8d77-ddfda3200740</t>
  </si>
  <si>
    <t xml:space="preserve">2024-04-30 07:47:47-05:00</t>
  </si>
  <si>
    <t xml:space="preserve">2024:04:30 07:47:47-05:00</t>
  </si>
  <si>
    <t xml:space="preserve">Signature_58ce6674-84d7-4eca-8181-5ea7bd30ed05</t>
  </si>
  <si>
    <t xml:space="preserve">2024-04-30 07:47:51-05:00</t>
  </si>
  <si>
    <t xml:space="preserve">2024:04:30 07:47:52-05:00</t>
  </si>
  <si>
    <t xml:space="preserve">[0 - 426642], [443028 - 445687]</t>
  </si>
  <si>
    <t xml:space="preserve">Signature_1074b7c3-e2ea-4be1-8b08-564c4e222b5a</t>
  </si>
  <si>
    <t xml:space="preserve">2024-04-30 07:47:46-05:00</t>
  </si>
  <si>
    <t xml:space="preserve">2024:04:30 07:47:46-05:00</t>
  </si>
  <si>
    <t xml:space="preserve">[0 - 838054], [854440 - 859021]</t>
  </si>
  <si>
    <t xml:space="preserve">Signature_593f28e4-34ae-48d9-9c7f-abb5b3df4343</t>
  </si>
  <si>
    <t xml:space="preserve">2024-04-30 07:47:45-05:00</t>
  </si>
  <si>
    <t xml:space="preserve">2024:04:30 07:47:45-05:00</t>
  </si>
  <si>
    <t xml:space="preserve">[0 - 889402], [905788 - 910386]</t>
  </si>
  <si>
    <t xml:space="preserve">Signature_7f7b44ba-8d96-443b-a794-d3ee59db06a8</t>
  </si>
  <si>
    <t xml:space="preserve">2024-04-30 07:47:43-05:00</t>
  </si>
  <si>
    <t xml:space="preserve">2024:04:30 07:47:43-05:00</t>
  </si>
  <si>
    <t xml:space="preserve">Signature_ea3740a4-534e-41e8-b0c9-521d9a19081f</t>
  </si>
  <si>
    <t xml:space="preserve">2024-04-30 07:47:40-05:00</t>
  </si>
  <si>
    <t xml:space="preserve">2024:04:30 07:47:40-05:00</t>
  </si>
  <si>
    <t xml:space="preserve">[0 - 821455], [837841 - 843411]</t>
  </si>
  <si>
    <t xml:space="preserve">Signature_ae85884d-886e-4d04-99b7-22a30661bd1a</t>
  </si>
  <si>
    <t xml:space="preserve">2024-04-30 07:47:48-05:00</t>
  </si>
  <si>
    <t xml:space="preserve">2024:04:30 07:47:48-05:00</t>
  </si>
  <si>
    <t xml:space="preserve">[0 - 112959], [129345 - 137876]</t>
  </si>
  <si>
    <t xml:space="preserve">Signature_9fb2b480-6c34-4eb2-897b-a876f2929733</t>
  </si>
  <si>
    <t xml:space="preserve">2024-04-30 07:47:39-05:00</t>
  </si>
  <si>
    <t xml:space="preserve">2024:04:30 07:47:39-05:00</t>
  </si>
  <si>
    <t xml:space="preserve">[0 - 740224], [756610 - 761200]</t>
  </si>
  <si>
    <t xml:space="preserve">Signature_a7be997f-709d-43cd-b788-92fcb4c255fb</t>
  </si>
  <si>
    <t xml:space="preserve">2024-04-30 07:47:50-05:00</t>
  </si>
  <si>
    <t xml:space="preserve">2024:04:30 07:47:50-05:00</t>
  </si>
  <si>
    <t xml:space="preserve">[0 - 85804], [102190 - 110676]</t>
  </si>
  <si>
    <t xml:space="preserve">Signature_5193d094-ecbe-447e-9c39-f4293165535a</t>
  </si>
  <si>
    <t xml:space="preserve">2024-04-30 07:47:41-05:00</t>
  </si>
  <si>
    <t xml:space="preserve">2024:04:30 07:47:41-05:00</t>
  </si>
  <si>
    <t xml:space="preserve">[0 - 678018], [694404 - 699353]</t>
  </si>
  <si>
    <t xml:space="preserve">Signature_e191abb4-69d5-4647-94a8-29597dcb1831</t>
  </si>
  <si>
    <t xml:space="preserve">2024-04-30 07:47:49-05:00</t>
  </si>
  <si>
    <t xml:space="preserve">2024:04:30 07:47:49-05:00</t>
  </si>
  <si>
    <t xml:space="preserve">[0 - 74926], [91312 - 99797]</t>
  </si>
  <si>
    <t xml:space="preserve">Signature_e383b7b3-8ad5-49ed-9a6c-c2464a719a7e</t>
  </si>
  <si>
    <t xml:space="preserve">2024-04-30 07:47:44-05:00</t>
  </si>
  <si>
    <t xml:space="preserve">2024:04:30 07:47:44-05:00</t>
  </si>
  <si>
    <t xml:space="preserve">[0 - 646292], [662678 - 671209]</t>
  </si>
  <si>
    <t xml:space="preserve">Signature_fd3eaac2-9448-4119-9eaa-447e3eef10b6</t>
  </si>
  <si>
    <t xml:space="preserve">2024-04-30 07:47:42-05:00</t>
  </si>
  <si>
    <t xml:space="preserve">2024:04:30 07:47:42-05:00</t>
  </si>
  <si>
    <t xml:space="preserve">[0 - 74604], [90990 - 99487]</t>
  </si>
  <si>
    <t xml:space="preserve">Signature_6104c314-aaef-419f-9bf4-9b5426f1ccba</t>
  </si>
  <si>
    <t xml:space="preserve">2024-04-30 07:23:52-05:00</t>
  </si>
  <si>
    <t xml:space="preserve">2024:04:30 07:23:52-05:00</t>
  </si>
  <si>
    <t xml:space="preserve">[0 - 21529459], [21545845 - 21550353]</t>
  </si>
  <si>
    <t xml:space="preserve">3634 0 obj</t>
  </si>
  <si>
    <t xml:space="preserve">Signature_a2924893-ad97-4fef-9c7b-9e4085228b1a</t>
  </si>
  <si>
    <t xml:space="preserve">2024-04-30 07:24:01-05:00</t>
  </si>
  <si>
    <t xml:space="preserve">2024:04:30 07:24:01-05:00</t>
  </si>
  <si>
    <t xml:space="preserve">[0 - 75426], [91812 - 96610]</t>
  </si>
  <si>
    <t xml:space="preserve">Signature_3cfc91d7-e361-4021-854d-06e8fcb45e32</t>
  </si>
  <si>
    <t xml:space="preserve">2024-04-30 07:23:43-05:00</t>
  </si>
  <si>
    <t xml:space="preserve">2024:04:30 07:23:43-05:00</t>
  </si>
  <si>
    <t xml:space="preserve">[0 - 60956], [77342 - 82678]</t>
  </si>
  <si>
    <t xml:space="preserve">Signature_7fa30fe4-6b30-49b6-b8ba-ace3b48e9d40</t>
  </si>
  <si>
    <t xml:space="preserve">2024-04-30 07:23:46-05:00</t>
  </si>
  <si>
    <t xml:space="preserve">2024:04:30 07:23:46-05:00</t>
  </si>
  <si>
    <t xml:space="preserve">[0 - 276322], [292708 - 297235]</t>
  </si>
  <si>
    <t xml:space="preserve">Signature_d407cff7-c0cd-4de6-af51-b083624e5fee</t>
  </si>
  <si>
    <t xml:space="preserve">2024-04-30 07:24:00-05:00</t>
  </si>
  <si>
    <t xml:space="preserve">2024:04:30 07:24:00-05:00</t>
  </si>
  <si>
    <t xml:space="preserve">[0 - 96764], [113150 - 117875]</t>
  </si>
  <si>
    <t xml:space="preserve">Signature_5a71b584-4282-4841-977a-1f8e8fc58ff8</t>
  </si>
  <si>
    <t xml:space="preserve">2024-04-30 07:23:53-05:00</t>
  </si>
  <si>
    <t xml:space="preserve">2024:04:30 07:23:53-05:00</t>
  </si>
  <si>
    <t xml:space="preserve">[0 - 88404], [104790 - 109828]</t>
  </si>
  <si>
    <t xml:space="preserve">Signature_c9a30e69-9ba2-4603-88fe-96ba61a86d94</t>
  </si>
  <si>
    <t xml:space="preserve">2024-04-30 07:24:07-05:00</t>
  </si>
  <si>
    <t xml:space="preserve">2024:04:30 07:24:07-05:00</t>
  </si>
  <si>
    <t xml:space="preserve">[0 - 477495], [493881 - 497057]</t>
  </si>
  <si>
    <t xml:space="preserve">Signature_456868f0-576e-4b21-ae23-42d1d186a2d2</t>
  </si>
  <si>
    <t xml:space="preserve">2024-04-30 07:23:56-05:00</t>
  </si>
  <si>
    <t xml:space="preserve">2024:04:30 07:23:56-05:00</t>
  </si>
  <si>
    <t xml:space="preserve">[0 - 488749], [505135 - 511028]</t>
  </si>
  <si>
    <t xml:space="preserve">Signature_37d21389-08f2-4711-a418-aa7da56b192c</t>
  </si>
  <si>
    <t xml:space="preserve">[0 - 910659], [927045 - 932303]</t>
  </si>
  <si>
    <t xml:space="preserve">Signature_d596d92d-60d3-4ec8-840e-166f3b949326</t>
  </si>
  <si>
    <t xml:space="preserve">2024-04-30 07:24:04-05:00</t>
  </si>
  <si>
    <t xml:space="preserve">2024:04:30 07:24:04-05:00</t>
  </si>
  <si>
    <t xml:space="preserve">[0 - 81435], [97821 - 106307]</t>
  </si>
  <si>
    <t xml:space="preserve">Signature_2d4909ea-1b10-465c-a9c9-28d09c125d52</t>
  </si>
  <si>
    <t xml:space="preserve">2024-04-30 07:23:49-05:00</t>
  </si>
  <si>
    <t xml:space="preserve">2024:04:30 07:23:49-05:00</t>
  </si>
  <si>
    <t xml:space="preserve">[0 - 8287882], [8304268 - 8308581]</t>
  </si>
  <si>
    <t xml:space="preserve">847 0 obj</t>
  </si>
  <si>
    <t xml:space="preserve">Signature_157a240c-6f72-4c7c-b905-082c15874cd6</t>
  </si>
  <si>
    <t xml:space="preserve">2024-04-30 07:24:05-05:00</t>
  </si>
  <si>
    <t xml:space="preserve">2024:04:30 07:24:05-05:00</t>
  </si>
  <si>
    <t xml:space="preserve">[0 - 173972], [190358 - 198889]</t>
  </si>
  <si>
    <t xml:space="preserve">Signature_77e9a32d-914c-42a1-8b9f-4e80c44091da</t>
  </si>
  <si>
    <t xml:space="preserve">2024-04-30 07:24:03-05:00</t>
  </si>
  <si>
    <t xml:space="preserve">2024:04:30 07:24:03-05:00</t>
  </si>
  <si>
    <t xml:space="preserve">[0 - 76217], [92603 - 101089]</t>
  </si>
  <si>
    <t xml:space="preserve">Signature_b21b0de3-c58a-47a3-a150-f404763e95a7</t>
  </si>
  <si>
    <t xml:space="preserve">[0 - 30184176], [30200562 - 30204896]</t>
  </si>
  <si>
    <t xml:space="preserve">6234 0 obj</t>
  </si>
  <si>
    <t xml:space="preserve">Signature_7089a058-cab0-424f-896e-a9a753b8a720</t>
  </si>
  <si>
    <t xml:space="preserve">[0 - 248985], [265371 - 269979]</t>
  </si>
  <si>
    <t xml:space="preserve">Signature_2fcbb502-3964-4bc9-b018-7132d7071bdb</t>
  </si>
  <si>
    <t xml:space="preserve">2024-04-30 07:23:45-05:00</t>
  </si>
  <si>
    <t xml:space="preserve">2024:04:30 07:23:45-05:00</t>
  </si>
  <si>
    <t xml:space="preserve">[0 - 343917], [360303 - 365930]</t>
  </si>
  <si>
    <t xml:space="preserve">Signature_c401aceb-c407-4321-bb2b-319c851123a1</t>
  </si>
  <si>
    <t xml:space="preserve">2024-04-30 07:24:06-05:00</t>
  </si>
  <si>
    <t xml:space="preserve">2024:04:30 07:24:06-05:00</t>
  </si>
  <si>
    <t xml:space="preserve">[0 - 113856], [130242 - 138773]</t>
  </si>
  <si>
    <t xml:space="preserve">Signature_f037f3fa-b70a-46a7-8bfb-d377e4ce3ae0</t>
  </si>
  <si>
    <t xml:space="preserve">2024-04-30 07:23:54-05:00</t>
  </si>
  <si>
    <t xml:space="preserve">2024:04:30 07:23:54-05:00</t>
  </si>
  <si>
    <t xml:space="preserve">[0 - 846454], [862840 - 867817]</t>
  </si>
  <si>
    <t xml:space="preserve">Signature_f1454f6c-5d55-4f53-8ccc-6a3e3bc77e7a</t>
  </si>
  <si>
    <t xml:space="preserve">2024-04-30 07:23:57-05:00</t>
  </si>
  <si>
    <t xml:space="preserve">2024:04:30 07:23:57-05:00</t>
  </si>
  <si>
    <t xml:space="preserve">[0 - 222232], [238618 - 244403]</t>
  </si>
  <si>
    <t xml:space="preserve">Signature_cb743085-e289-4666-ba79-2bbd1b92a09a</t>
  </si>
  <si>
    <t xml:space="preserve">2024-04-30 07:23:55-05:00</t>
  </si>
  <si>
    <t xml:space="preserve">2024:04:30 07:23:55-05:00</t>
  </si>
  <si>
    <t xml:space="preserve">[0 - 1085178], [1101564 - 1107468]</t>
  </si>
  <si>
    <t xml:space="preserve">Signature_a53ed3f8-12a4-4c5d-8ec1-bee93ade37bc</t>
  </si>
  <si>
    <t xml:space="preserve">2024-04-30 07:23:50-05:00</t>
  </si>
  <si>
    <t xml:space="preserve">2024:04:30 07:23:50-05:00</t>
  </si>
  <si>
    <t xml:space="preserve">[0 - 547872], [564258 - 568587]</t>
  </si>
  <si>
    <t xml:space="preserve">187 0 obj</t>
  </si>
  <si>
    <t xml:space="preserve">Signature_4636e5e7-f7ec-4817-8450-41d4bad3ae5e</t>
  </si>
  <si>
    <t xml:space="preserve">2024-04-30 07:23:59-05:00</t>
  </si>
  <si>
    <t xml:space="preserve">2024:04:30 07:23:59-05:00</t>
  </si>
  <si>
    <t xml:space="preserve">[0 - 97393], [113779 - 118497]</t>
  </si>
  <si>
    <t xml:space="preserve">Signature_06e3ac8d-3d22-4c9c-b6f4-754078bc1f8c</t>
  </si>
  <si>
    <t xml:space="preserve">2024-04-30 07:23:58-05:00</t>
  </si>
  <si>
    <t xml:space="preserve">2024:04:30 07:23:58-05:00</t>
  </si>
  <si>
    <t xml:space="preserve">[0 - 110483], [126869 - 131600]</t>
  </si>
  <si>
    <t xml:space="preserve">60 0 obj</t>
  </si>
  <si>
    <t xml:space="preserve">Signature_fac8df77-cbcd-40a7-9a5c-25026c080f4c</t>
  </si>
  <si>
    <t xml:space="preserve">2024-04-30 07:48:23-05:00</t>
  </si>
  <si>
    <t xml:space="preserve">2024:04:30 07:48:23-05:00</t>
  </si>
  <si>
    <t xml:space="preserve">[0 - 268063], [284449 - 289164]</t>
  </si>
  <si>
    <t xml:space="preserve">Signature_b2221abc-a173-448c-b088-f967d34b162a</t>
  </si>
  <si>
    <t xml:space="preserve">2024-04-30 07:48:26-05:00</t>
  </si>
  <si>
    <t xml:space="preserve">2024:04:30 07:48:27-05:00</t>
  </si>
  <si>
    <t xml:space="preserve">[0 - 440293], [456679 - 459714]</t>
  </si>
  <si>
    <t xml:space="preserve">Signature_7252a5a8-0e22-4fc0-9547-4f28187cffbc</t>
  </si>
  <si>
    <t xml:space="preserve">2024-04-30 07:48:22-05:00</t>
  </si>
  <si>
    <t xml:space="preserve">2024:04:30 07:48:22-05:00</t>
  </si>
  <si>
    <t xml:space="preserve">[0 - 923321], [939707 - 945440]</t>
  </si>
  <si>
    <t xml:space="preserve">250 0 obj</t>
  </si>
  <si>
    <t xml:space="preserve">Signature_097c6db1-0378-4523-8446-7f910fa27afe</t>
  </si>
  <si>
    <t xml:space="preserve">2024-04-30 07:48:24-05:00</t>
  </si>
  <si>
    <t xml:space="preserve">2024:04:30 07:48:24-05:00</t>
  </si>
  <si>
    <t xml:space="preserve">[0 - 113846], [130232 - 138763]</t>
  </si>
  <si>
    <t xml:space="preserve">Signature_191100de-ba83-4e8d-91aa-25854f46a050</t>
  </si>
  <si>
    <t xml:space="preserve">2024-04-30 07:48:25-05:00</t>
  </si>
  <si>
    <t xml:space="preserve">2024:04:30 07:48:25-05:00</t>
  </si>
  <si>
    <t xml:space="preserve">[0 - 70169], [86555 - 95040]</t>
  </si>
  <si>
    <t xml:space="preserve">Signature_4154d8eb-d6ee-4c50-bbca-f699cc28a94f</t>
  </si>
  <si>
    <t xml:space="preserve">2024-04-30 07:48:57-05:00</t>
  </si>
  <si>
    <t xml:space="preserve">2024:04:30 07:48:57-05:00</t>
  </si>
  <si>
    <t xml:space="preserve">[0 - 351234], [367620 - 372283]</t>
  </si>
  <si>
    <t xml:space="preserve">Signature_8a1f79ec-646b-496a-835a-f5a195041ac8</t>
  </si>
  <si>
    <t xml:space="preserve">2024-04-30 07:48:59-05:00</t>
  </si>
  <si>
    <t xml:space="preserve">2024:04:30 07:49:00-05:00</t>
  </si>
  <si>
    <t xml:space="preserve">[0 - 435902], [452288 - 455323]</t>
  </si>
  <si>
    <t xml:space="preserve">366 0 obj</t>
  </si>
  <si>
    <t xml:space="preserve">Signature_797f02b4-ed0e-4acc-84bb-82a048b0a0eb</t>
  </si>
  <si>
    <t xml:space="preserve">2024-04-30 07:48:56-05:00</t>
  </si>
  <si>
    <t xml:space="preserve">2024:04:30 07:48:56-05:00</t>
  </si>
  <si>
    <t xml:space="preserve">[0 - 859151], [875537 - 880821]</t>
  </si>
  <si>
    <t xml:space="preserve">Signature_8c25eecf-d2ec-470c-a958-a9598e64d7ad</t>
  </si>
  <si>
    <t xml:space="preserve">2024-04-30 07:48:58-05:00</t>
  </si>
  <si>
    <t xml:space="preserve">2024:04:30 07:48:58-05:00</t>
  </si>
  <si>
    <t xml:space="preserve">[0 - 119274], [135660 - 144191]</t>
  </si>
  <si>
    <t xml:space="preserve">Signature_0fa7e9ec-f7fa-4a44-9c1f-5ed094d5fc8f</t>
  </si>
  <si>
    <t xml:space="preserve">2024-04-30 07:48:55-05:00</t>
  </si>
  <si>
    <t xml:space="preserve">2024:04:30 07:48:55-05:00</t>
  </si>
  <si>
    <t xml:space="preserve">[0 - 845616], [862002 - 866979]</t>
  </si>
  <si>
    <t xml:space="preserve">Signature_86cb5083-e98a-4809-a05c-2fa261422b08</t>
  </si>
  <si>
    <t xml:space="preserve">2024-04-30 07:24:59-05:00</t>
  </si>
  <si>
    <t xml:space="preserve">2024:04:30 07:24:59-05:00</t>
  </si>
  <si>
    <t xml:space="preserve">[0 - 422230], [438616 - 441275]</t>
  </si>
  <si>
    <t xml:space="preserve">Signature_1ac3bf26-4ac9-4ea7-accd-0515cd33a2d8</t>
  </si>
  <si>
    <t xml:space="preserve">2024-04-30 07:24:57-05:00</t>
  </si>
  <si>
    <t xml:space="preserve">2024:04:30 07:24:57-05:00</t>
  </si>
  <si>
    <t xml:space="preserve">[0 - 717783], [734169 - 739681]</t>
  </si>
  <si>
    <t xml:space="preserve">Signature_1475fbc7-5f43-4671-952c-61b6d2ab9822</t>
  </si>
  <si>
    <t xml:space="preserve">2024-04-30 07:24:55-05:00</t>
  </si>
  <si>
    <t xml:space="preserve">2024:04:30 07:24:55-05:00</t>
  </si>
  <si>
    <t xml:space="preserve">[0 - 692546], [708932 - 714207]</t>
  </si>
  <si>
    <t xml:space="preserve">Signature_0bf87909-6c45-48e3-9e75-77357932790a</t>
  </si>
  <si>
    <t xml:space="preserve">2024-04-30 07:24:54-05:00</t>
  </si>
  <si>
    <t xml:space="preserve">2024:04:30 07:24:54-05:00</t>
  </si>
  <si>
    <t xml:space="preserve">[0 - 1012964], [1029350 - 1035718]</t>
  </si>
  <si>
    <t xml:space="preserve">Signature_d8a5d534-198d-4440-bdd6-cd642bdaa5fe</t>
  </si>
  <si>
    <t xml:space="preserve">2024-04-30 07:24:58-05:00</t>
  </si>
  <si>
    <t xml:space="preserve">2024:04:30 07:24:58-05:00</t>
  </si>
  <si>
    <t xml:space="preserve">[0 - 681329], [697715 - 703211]</t>
  </si>
  <si>
    <t xml:space="preserve">Signature_d6cf39ba-900a-429d-a65d-26abd2b74b01</t>
  </si>
  <si>
    <t xml:space="preserve">2024-04-30 07:49:41-05:00</t>
  </si>
  <si>
    <t xml:space="preserve">2024:04:30 07:49:41-05:00</t>
  </si>
  <si>
    <t xml:space="preserve">[0 - 457518], [473904 - 476563]</t>
  </si>
  <si>
    <t xml:space="preserve">Signature_7326ae8d-1f10-4a81-aaaf-002828049c66</t>
  </si>
  <si>
    <t xml:space="preserve">2024-04-30 07:49:32-05:00</t>
  </si>
  <si>
    <t xml:space="preserve">2024:04:30 07:49:32-05:00</t>
  </si>
  <si>
    <t xml:space="preserve">[0 - 797153], [813539 - 818784]</t>
  </si>
  <si>
    <t xml:space="preserve">Signature_e8947cdb-630d-408a-ad00-442480f65f36</t>
  </si>
  <si>
    <t xml:space="preserve">2024-04-30 07:49:33-05:00</t>
  </si>
  <si>
    <t xml:space="preserve">2024:04:30 07:49:33-05:00</t>
  </si>
  <si>
    <t xml:space="preserve">[0 - 422795], [439181 - 444949]</t>
  </si>
  <si>
    <t xml:space="preserve">Signature_092e96a8-4ebe-4128-8fae-c724029e92bc</t>
  </si>
  <si>
    <t xml:space="preserve">2024-04-30 07:49:38-05:00</t>
  </si>
  <si>
    <t xml:space="preserve">2024:04:30 07:49:38-05:00</t>
  </si>
  <si>
    <t xml:space="preserve">[0 - 76376], [92762 - 101248]</t>
  </si>
  <si>
    <t xml:space="preserve">Signature_8ada61fc-e18b-442f-874d-b8220a4e681a</t>
  </si>
  <si>
    <t xml:space="preserve">2024-04-30 07:49:34-05:00</t>
  </si>
  <si>
    <t xml:space="preserve">2024:04:30 07:49:34-05:00</t>
  </si>
  <si>
    <t xml:space="preserve">[0 - 708163], [724549 - 729133]</t>
  </si>
  <si>
    <t xml:space="preserve">Signature_a911732e-1124-4a7a-8382-64c8a325af33</t>
  </si>
  <si>
    <t xml:space="preserve">2024-04-30 07:49:39-05:00</t>
  </si>
  <si>
    <t xml:space="preserve">2024:04:30 07:49:39-05:00</t>
  </si>
  <si>
    <t xml:space="preserve">[0 - 115122], [131508 - 140039]</t>
  </si>
  <si>
    <t xml:space="preserve">Signature_28e5c909-de28-4d0c-bfd3-f65af2f28a53</t>
  </si>
  <si>
    <t xml:space="preserve">2024-04-30 07:49:37-05:00</t>
  </si>
  <si>
    <t xml:space="preserve">2024:04:30 07:49:37-05:00</t>
  </si>
  <si>
    <t xml:space="preserve">[0 - 825161], [841547 - 847148]</t>
  </si>
  <si>
    <t xml:space="preserve">Signature_e9291823-1baa-4815-b8f7-84c4141596aa</t>
  </si>
  <si>
    <t xml:space="preserve">2024-04-30 07:49:36-05:00</t>
  </si>
  <si>
    <t xml:space="preserve">2024:04:30 07:49:36-05:00</t>
  </si>
  <si>
    <t xml:space="preserve">[0 - 822725], [839111 - 844679]</t>
  </si>
  <si>
    <t xml:space="preserve">Signature_03e1224a-3263-4200-a242-519677740252</t>
  </si>
  <si>
    <t xml:space="preserve">2024-04-30 07:49:40-05:00</t>
  </si>
  <si>
    <t xml:space="preserve">2024:04:30 07:49:40-05:00</t>
  </si>
  <si>
    <t xml:space="preserve">[0 - 158191], [174577 - 183158]</t>
  </si>
  <si>
    <t xml:space="preserve">Signature_7612c74e-9924-4b9b-a0e6-959bf216fa04</t>
  </si>
  <si>
    <t xml:space="preserve">2024-04-30 07:25:56-05:00</t>
  </si>
  <si>
    <t xml:space="preserve">2024:04:30 07:25:57-05:00</t>
  </si>
  <si>
    <t xml:space="preserve">[0 - 85451], [101837 - 103122]</t>
  </si>
  <si>
    <t xml:space="preserve">Signature_af83f742-aa1e-42f8-aa11-6c6cf34bdc6e</t>
  </si>
  <si>
    <t xml:space="preserve">2024-04-30 07:25:54-05:00</t>
  </si>
  <si>
    <t xml:space="preserve">2024:04:30 07:25:54-05:00</t>
  </si>
  <si>
    <t xml:space="preserve">[0 - 718749], [735135 - 740669]</t>
  </si>
  <si>
    <t xml:space="preserve">307 0 obj</t>
  </si>
  <si>
    <t xml:space="preserve">Signature_6ee2e5f9-1b70-473f-9378-f9c4be60ab33</t>
  </si>
  <si>
    <t xml:space="preserve">2024-04-30 07:25:52-05:00</t>
  </si>
  <si>
    <t xml:space="preserve">2024:04:30 07:25:52-05:00</t>
  </si>
  <si>
    <t xml:space="preserve">[0 - 80003], [96389 - 104875]</t>
  </si>
  <si>
    <t xml:space="preserve">Signature_be9befc8-1c33-48d2-8d5d-323127ef64a7</t>
  </si>
  <si>
    <t xml:space="preserve">2024-04-30 07:25:47-05:00</t>
  </si>
  <si>
    <t xml:space="preserve">2024:04:30 07:25:47-05:00</t>
  </si>
  <si>
    <t xml:space="preserve">[0 - 77389], [93775 - 102261]</t>
  </si>
  <si>
    <t xml:space="preserve">Signature_103c770d-2fd2-4487-a622-62eb8e37c939</t>
  </si>
  <si>
    <t xml:space="preserve">2024-04-30 07:25:44-05:00</t>
  </si>
  <si>
    <t xml:space="preserve">2024:04:30 07:25:44-05:00</t>
  </si>
  <si>
    <t xml:space="preserve">[0 - 396983], [413369 - 421856]</t>
  </si>
  <si>
    <t xml:space="preserve">Signature_1cb53c07-b9d1-4f30-ac46-9f1477023f82</t>
  </si>
  <si>
    <t xml:space="preserve">2024-04-30 07:25:37-05:00</t>
  </si>
  <si>
    <t xml:space="preserve">2024:04:30 07:25:37-05:00</t>
  </si>
  <si>
    <t xml:space="preserve">[0 - 708106], [724492 - 729078]</t>
  </si>
  <si>
    <t xml:space="preserve">Signature_3e040fe8-5b0d-461a-98a5-1ab565d3f9f9</t>
  </si>
  <si>
    <t xml:space="preserve">2024-04-30 07:25:34-05:00</t>
  </si>
  <si>
    <t xml:space="preserve">2024:04:30 07:25:34-05:00</t>
  </si>
  <si>
    <t xml:space="preserve">[0 - 122638], [139024 - 143626]</t>
  </si>
  <si>
    <t xml:space="preserve">Signature_d4c7d6bd-46c6-4926-adce-2e52fdbfb5bf</t>
  </si>
  <si>
    <t xml:space="preserve">2024-04-30 07:25:53-05:00</t>
  </si>
  <si>
    <t xml:space="preserve">2024:04:30 07:25:53-05:00</t>
  </si>
  <si>
    <t xml:space="preserve">[0 - 112580], [128966 - 137497]</t>
  </si>
  <si>
    <t xml:space="preserve">Signature_3a1bbedf-4ac9-4722-8c6f-f71257c243f0</t>
  </si>
  <si>
    <t xml:space="preserve">2024-04-30 07:25:48-05:00</t>
  </si>
  <si>
    <t xml:space="preserve">2024:04:30 07:25:48-05:00</t>
  </si>
  <si>
    <t xml:space="preserve">[0 - 112469], [128855 - 137386]</t>
  </si>
  <si>
    <t xml:space="preserve">Signature_82be0f3c-ef73-408e-8b7e-d2a577f2a5e5</t>
  </si>
  <si>
    <t xml:space="preserve">2024-04-30 07:25:45-05:00</t>
  </si>
  <si>
    <t xml:space="preserve">2024:04:30 07:25:45-05:00</t>
  </si>
  <si>
    <t xml:space="preserve">[0 - 114020], [130406 - 138937]</t>
  </si>
  <si>
    <t xml:space="preserve">Signature_41394436-1ccb-4f8b-bdb8-b69d87e270ad</t>
  </si>
  <si>
    <t xml:space="preserve">2024-04-30 07:25:42-05:00</t>
  </si>
  <si>
    <t xml:space="preserve">2024:04:30 07:25:42-05:00</t>
  </si>
  <si>
    <t xml:space="preserve">[0 - 888910], [905296 - 909893]</t>
  </si>
  <si>
    <t xml:space="preserve">Signature_1f41ef1b-1c4a-4262-9ba0-77129c661538</t>
  </si>
  <si>
    <t xml:space="preserve">2024-04-30 07:25:38-05:00</t>
  </si>
  <si>
    <t xml:space="preserve">2024:04:30 07:25:38-05:00</t>
  </si>
  <si>
    <t xml:space="preserve">[0 - 248842], [265228 - 269838]</t>
  </si>
  <si>
    <t xml:space="preserve">Signature_aff8d46b-3609-46bc-bd36-b0bebe535ba7</t>
  </si>
  <si>
    <t xml:space="preserve">2024-04-30 07:25:35-05:00</t>
  </si>
  <si>
    <t xml:space="preserve">2024:04:30 07:25:35-05:00</t>
  </si>
  <si>
    <t xml:space="preserve">[0 - 890793], [907179 - 911775]</t>
  </si>
  <si>
    <t xml:space="preserve">Signature_4761671c-c84d-4bbb-b88b-651ae2df9229</t>
  </si>
  <si>
    <t xml:space="preserve">2024-04-30 07:25:51-05:00</t>
  </si>
  <si>
    <t xml:space="preserve">2024:04:30 07:25:51-05:00</t>
  </si>
  <si>
    <t xml:space="preserve">[0 - 153580], [169966 - 178547]</t>
  </si>
  <si>
    <t xml:space="preserve">Signature_8476c1bd-639c-4adf-acce-3058bee64877</t>
  </si>
  <si>
    <t xml:space="preserve">2024-04-30 07:25:46-05:00</t>
  </si>
  <si>
    <t xml:space="preserve">2024:04:30 07:25:46-05:00</t>
  </si>
  <si>
    <t xml:space="preserve">[0 - 117073], [133459 - 141990]</t>
  </si>
  <si>
    <t xml:space="preserve">Signature_17cacad1-eea7-40c4-88b2-02250cbe9333</t>
  </si>
  <si>
    <t xml:space="preserve">2024-04-30 07:25:43-05:00</t>
  </si>
  <si>
    <t xml:space="preserve">2024:04:30 07:25:43-05:00</t>
  </si>
  <si>
    <t xml:space="preserve">[0 - 116810], [133196 - 141727]</t>
  </si>
  <si>
    <t xml:space="preserve">Signature_4aa1aabf-bc8e-48b6-8089-f3bf6c3ff704</t>
  </si>
  <si>
    <t xml:space="preserve">2024-04-30 07:25:39-05:00</t>
  </si>
  <si>
    <t xml:space="preserve">2024:04:30 07:25:39-05:00</t>
  </si>
  <si>
    <t xml:space="preserve">Signature_07c7a069-3cc3-4069-9057-23f05ff9f86e</t>
  </si>
  <si>
    <t xml:space="preserve">2024-04-30 07:25:49-05:00</t>
  </si>
  <si>
    <t xml:space="preserve">2024:04:30 07:25:49-05:00</t>
  </si>
  <si>
    <t xml:space="preserve">[0 - 253168], [269554 - 278041]</t>
  </si>
  <si>
    <t xml:space="preserve">Signature_fab1dc96-5ea3-49e0-a171-0703cffbfb6b</t>
  </si>
  <si>
    <t xml:space="preserve">2024-04-30 07:25:50-05:00</t>
  </si>
  <si>
    <t xml:space="preserve">2024:04:30 07:25:50-05:00</t>
  </si>
  <si>
    <t xml:space="preserve">[0 - 245697], [262083 - 270570]</t>
  </si>
  <si>
    <t xml:space="preserve">Signature_ebe999ac-9d40-4322-96e5-a53570a4701c</t>
  </si>
  <si>
    <t xml:space="preserve">2024-04-30 07:25:40-05:00</t>
  </si>
  <si>
    <t xml:space="preserve">2024:04:30 07:25:40-05:00</t>
  </si>
  <si>
    <t xml:space="preserve">[0 - 78737], [95123 - 103621]</t>
  </si>
  <si>
    <t xml:space="preserve">Signature_02e77eea-00d0-44e7-8d26-3da69076a0f5</t>
  </si>
  <si>
    <t xml:space="preserve">2024-04-30 07:25:36-05:00</t>
  </si>
  <si>
    <t xml:space="preserve">2024:04:30 07:25:36-05:00</t>
  </si>
  <si>
    <t xml:space="preserve">[0 - 298692], [315078 - 323565]</t>
  </si>
  <si>
    <t xml:space="preserve">Signature_8b07619a-a344-4bc8-8d89-2f06545c86ce</t>
  </si>
  <si>
    <t xml:space="preserve">2024-04-30 07:25:32-05:00</t>
  </si>
  <si>
    <t xml:space="preserve">2024:04:30 07:25:32-05:00</t>
  </si>
  <si>
    <t xml:space="preserve">[0 - 259606], [275992 - 284479]</t>
  </si>
  <si>
    <t xml:space="preserve">Signature_46536e49-b014-48e5-a073-4df8e107467a</t>
  </si>
  <si>
    <t xml:space="preserve">2024-04-30 07:25:33-05:00</t>
  </si>
  <si>
    <t xml:space="preserve">2024:04:30 07:25:33-05:00</t>
  </si>
  <si>
    <t xml:space="preserve">[0 - 269805], [286191 - 294678]</t>
  </si>
  <si>
    <t xml:space="preserve">Signature_34805485-5a93-48bc-9cbc-ed9bda4d9055</t>
  </si>
  <si>
    <t xml:space="preserve">2024-04-30 07:25:55-05:00</t>
  </si>
  <si>
    <t xml:space="preserve">2024:04:30 07:25:55-05:00</t>
  </si>
  <si>
    <t xml:space="preserve">[0 - 85529], [101915 - 110401]</t>
  </si>
  <si>
    <t xml:space="preserve">Signature_5ff33570-7bfe-48f0-9673-57fd48ae582a</t>
  </si>
  <si>
    <t xml:space="preserve">2024-04-30 07:50:09-05:00</t>
  </si>
  <si>
    <t xml:space="preserve">2024:04:30 07:50:09-05:00</t>
  </si>
  <si>
    <t xml:space="preserve">[0 - 336131], [352517 - 357921]</t>
  </si>
  <si>
    <t xml:space="preserve">Signature_8c89a4fb-e5f6-4928-a95c-65953d8c955a</t>
  </si>
  <si>
    <t xml:space="preserve">2024-04-30 07:50:15-05:00</t>
  </si>
  <si>
    <t xml:space="preserve">2024:04:30 07:50:15-05:00</t>
  </si>
  <si>
    <t xml:space="preserve">[0 - 390792], [407178 - 411804]</t>
  </si>
  <si>
    <t xml:space="preserve">Signature_afabea5c-29d5-45fe-8dff-bb0fc0e0bbca</t>
  </si>
  <si>
    <t xml:space="preserve">2024-04-30 07:50:17-05:00</t>
  </si>
  <si>
    <t xml:space="preserve">2024:04:30 07:50:17-05:00</t>
  </si>
  <si>
    <t xml:space="preserve">[0 - 428777], [445163 - 447822]</t>
  </si>
  <si>
    <t xml:space="preserve">Signature_c9e84fd9-4c79-4b33-b722-1da56e276e3a</t>
  </si>
  <si>
    <t xml:space="preserve">2024-04-30 07:50:12-05:00</t>
  </si>
  <si>
    <t xml:space="preserve">2024:04:30 07:50:12-05:00</t>
  </si>
  <si>
    <t xml:space="preserve">[0 - 960343], [976729 - 982013]</t>
  </si>
  <si>
    <t xml:space="preserve">Signature_fec9c9ad-d514-42fa-bde9-c508e52c7b60</t>
  </si>
  <si>
    <t xml:space="preserve">2024-04-30 07:50:14-05:00</t>
  </si>
  <si>
    <t xml:space="preserve">2024:04:30 07:50:14-05:00</t>
  </si>
  <si>
    <t xml:space="preserve">[0 - 166949], [183335 - 188616]</t>
  </si>
  <si>
    <t xml:space="preserve">Signature_67c6abcd-31b4-4ce5-a2f6-6541a75bad6c</t>
  </si>
  <si>
    <t xml:space="preserve">2024-04-30 07:50:10-05:00</t>
  </si>
  <si>
    <t xml:space="preserve">2024:04:30 07:50:10-05:00</t>
  </si>
  <si>
    <t xml:space="preserve">[0 - 166911], [183297 - 188576]</t>
  </si>
  <si>
    <t xml:space="preserve">Signature_8e7c007f-b489-45cf-b1f1-9a99b790ff4e</t>
  </si>
  <si>
    <t xml:space="preserve">2024-04-30 07:50:13-05:00</t>
  </si>
  <si>
    <t xml:space="preserve">2024:04:30 07:50:13-05:00</t>
  </si>
  <si>
    <t xml:space="preserve">[0 - 834276], [850662 - 855257]</t>
  </si>
  <si>
    <t xml:space="preserve">Signature_378d0dbc-8452-44d3-a682-351d0ba1e01c</t>
  </si>
  <si>
    <t xml:space="preserve">2024-04-30 07:50:16-05:00</t>
  </si>
  <si>
    <t xml:space="preserve">2024:04:30 07:50:16-05:00</t>
  </si>
  <si>
    <t xml:space="preserve">[0 - 121248], [137634 - 146165]</t>
  </si>
  <si>
    <t xml:space="preserve">Signature_fcdd6055-325f-49ec-afca-18cc9a9be61b</t>
  </si>
  <si>
    <t xml:space="preserve">2024-04-30 07:50:47-05:00</t>
  </si>
  <si>
    <t xml:space="preserve">2024:04:30 07:50:47-05:00</t>
  </si>
  <si>
    <t xml:space="preserve">[0 - 348059], [364445 - 370563]</t>
  </si>
  <si>
    <t xml:space="preserve">Signature_7120b0a3-ebb8-4fbd-80ba-89e51f7d4fdd</t>
  </si>
  <si>
    <t xml:space="preserve">2024-04-30 07:50:50-05:00</t>
  </si>
  <si>
    <t xml:space="preserve">2024:04:30 07:50:51-05:00</t>
  </si>
  <si>
    <t xml:space="preserve">[0 - 419793], [436179 - 438779]</t>
  </si>
  <si>
    <t xml:space="preserve">Signature_7e9144cd-1023-4d56-afe4-d79e744d13b5</t>
  </si>
  <si>
    <t xml:space="preserve">2024-04-30 07:50:48-05:00</t>
  </si>
  <si>
    <t xml:space="preserve">2024:04:30 07:50:48-05:00</t>
  </si>
  <si>
    <t xml:space="preserve">[0 - 939595], [955981 - 961725]</t>
  </si>
  <si>
    <t xml:space="preserve">Signature_136df96b-f28b-4893-9603-d86326b17f26</t>
  </si>
  <si>
    <t xml:space="preserve">2024-04-30 07:50:46-05:00</t>
  </si>
  <si>
    <t xml:space="preserve">2024:04:30 07:50:46-05:00</t>
  </si>
  <si>
    <t xml:space="preserve">[0 - 823238], [839624 - 845189]</t>
  </si>
  <si>
    <t xml:space="preserve">Signature_d83053eb-3fff-4b1f-9ecc-ec707c695de1</t>
  </si>
  <si>
    <t xml:space="preserve">2024-04-30 07:50:49-05:00</t>
  </si>
  <si>
    <t xml:space="preserve">2024:04:30 07:50:49-05:00</t>
  </si>
  <si>
    <t xml:space="preserve">[0 - 118144], [134530 - 143061]</t>
  </si>
  <si>
    <t xml:space="preserve">Signature_88bc4fca-b254-46cf-aaab-82f5e72398aa</t>
  </si>
  <si>
    <t xml:space="preserve">2024-04-30 07:26:28-05:00</t>
  </si>
  <si>
    <t xml:space="preserve">2024:04:30 07:26:28-05:00</t>
  </si>
  <si>
    <t xml:space="preserve">[0 - 69775], [86161 - 91553]</t>
  </si>
  <si>
    <t xml:space="preserve">Signature_3817cc14-82e9-4de1-9c59-0039cc3b320e</t>
  </si>
  <si>
    <t xml:space="preserve">2024-04-30 07:26:29-05:00</t>
  </si>
  <si>
    <t xml:space="preserve">2024:04:30 07:26:29-05:00</t>
  </si>
  <si>
    <t xml:space="preserve">[0 - 245222], [261608 - 266123]</t>
  </si>
  <si>
    <t xml:space="preserve">Signature_931600a1-7e81-4440-a9ec-8691f17b01c5</t>
  </si>
  <si>
    <t xml:space="preserve">2024-04-30 07:26:42-05:00</t>
  </si>
  <si>
    <t xml:space="preserve">2024:04:30 07:26:42-05:00</t>
  </si>
  <si>
    <t xml:space="preserve">[0 - 294243], [310629 - 316620]</t>
  </si>
  <si>
    <t xml:space="preserve">Signature_78a3dea4-dfba-46e4-8f05-1415de278e89</t>
  </si>
  <si>
    <t xml:space="preserve">2024-04-30 07:26:44-05:00</t>
  </si>
  <si>
    <t xml:space="preserve">2024:04:30 07:26:45-05:00</t>
  </si>
  <si>
    <t xml:space="preserve">[0 - 435343], [451729 - 454764]</t>
  </si>
  <si>
    <t xml:space="preserve">Signature_1c994573-2098-4b48-a3af-e3a1f17f8988</t>
  </si>
  <si>
    <t xml:space="preserve">2024-04-30 07:26:40-05:00</t>
  </si>
  <si>
    <t xml:space="preserve">2024:04:30 07:26:40-05:00</t>
  </si>
  <si>
    <t xml:space="preserve">[0 - 901526], [917912 - 923649]</t>
  </si>
  <si>
    <t xml:space="preserve">Signature_1b271566-7547-4a99-8e4c-9a348a988adf</t>
  </si>
  <si>
    <t xml:space="preserve">2024-04-30 07:26:31-05:00</t>
  </si>
  <si>
    <t xml:space="preserve">2024:04:30 07:26:31-05:00</t>
  </si>
  <si>
    <t xml:space="preserve">[0 - 887536], [903922 - 909662]</t>
  </si>
  <si>
    <t xml:space="preserve">Signature_fbc25961-77d2-4af6-b586-6d178bec5d9f</t>
  </si>
  <si>
    <t xml:space="preserve">2024-04-30 07:26:34-05:00</t>
  </si>
  <si>
    <t xml:space="preserve">2024:04:30 07:26:34-05:00</t>
  </si>
  <si>
    <t xml:space="preserve">[0 - 270899], [287285 - 295772]</t>
  </si>
  <si>
    <t xml:space="preserve">Signature_56bbeb0e-e2cc-474a-8e7b-ca9d900f2172</t>
  </si>
  <si>
    <t xml:space="preserve">2024-04-30 07:26:39-05:00</t>
  </si>
  <si>
    <t xml:space="preserve">2024:04:30 07:26:39-05:00</t>
  </si>
  <si>
    <t xml:space="preserve">[0 - 100749], [117135 - 121753]</t>
  </si>
  <si>
    <t xml:space="preserve">Signature_b7467641-f38f-49d9-b4ad-7b0ea25390e6</t>
  </si>
  <si>
    <t xml:space="preserve">2024-04-30 07:26:37-05:00</t>
  </si>
  <si>
    <t xml:space="preserve">2024:04:30 07:26:37-05:00</t>
  </si>
  <si>
    <t xml:space="preserve">[0 - 821530], [837916 - 843488]</t>
  </si>
  <si>
    <t xml:space="preserve">Signature_08e18c3c-77f2-46c9-abc4-1dd30be92022</t>
  </si>
  <si>
    <t xml:space="preserve">2024-04-30 07:26:32-05:00</t>
  </si>
  <si>
    <t xml:space="preserve">2024:04:30 07:26:32-05:00</t>
  </si>
  <si>
    <t xml:space="preserve">[0 - 234468], [250854 - 255462]</t>
  </si>
  <si>
    <t xml:space="preserve">Signature_78b38f67-fb12-4a9e-b4a2-40580b73ea92</t>
  </si>
  <si>
    <t xml:space="preserve">2024-04-30 07:26:43-05:00</t>
  </si>
  <si>
    <t xml:space="preserve">2024:04:30 07:26:43-05:00</t>
  </si>
  <si>
    <t xml:space="preserve">[0 - 112949], [129335 - 137866]</t>
  </si>
  <si>
    <t xml:space="preserve">Signature_565159c2-e667-4a96-927b-979f809a1891</t>
  </si>
  <si>
    <t xml:space="preserve">2024-04-30 07:26:38-05:00</t>
  </si>
  <si>
    <t xml:space="preserve">2024:04:30 07:26:38-05:00</t>
  </si>
  <si>
    <t xml:space="preserve">[0 - 870561], [886947 - 891921]</t>
  </si>
  <si>
    <t xml:space="preserve">Signature_43aef140-9231-4414-8181-0834344f65f9</t>
  </si>
  <si>
    <t xml:space="preserve">2024-04-30 07:26:36-05:00</t>
  </si>
  <si>
    <t xml:space="preserve">2024:04:30 07:26:36-05:00</t>
  </si>
  <si>
    <t xml:space="preserve">[0 - 868749], [885135 - 890106]</t>
  </si>
  <si>
    <t xml:space="preserve">Signature_c136519a-0ed9-41cb-8283-1f6d956ec7f8</t>
  </si>
  <si>
    <t xml:space="preserve">2024-04-30 07:26:33-05:00</t>
  </si>
  <si>
    <t xml:space="preserve">2024:04:30 07:26:33-05:00</t>
  </si>
  <si>
    <t xml:space="preserve">[0 - 1000506], [1016892 - 1025050]</t>
  </si>
  <si>
    <t xml:space="preserve">Signature_acf31a53-db25-4c03-8c95-9cea61504521</t>
  </si>
  <si>
    <t xml:space="preserve">2024-04-30 07:26:35-05:00</t>
  </si>
  <si>
    <t xml:space="preserve">2024:04:30 07:26:35-05:00</t>
  </si>
  <si>
    <t xml:space="preserve">[0 - 450808], [467194 - 475681]</t>
  </si>
  <si>
    <t xml:space="preserve">Signature_6740fefa-27fb-4771-9fcc-453dea1b1fc6</t>
  </si>
  <si>
    <t xml:space="preserve">2024-04-30 07:17:47-05:00</t>
  </si>
  <si>
    <t xml:space="preserve">2024:04:30 07:17:48-05:00</t>
  </si>
  <si>
    <t xml:space="preserve">[0 - 422907], [439293 - 441952]</t>
  </si>
  <si>
    <t xml:space="preserve">Signature_ec4d7f13-7754-4ebe-aebc-0039e5bf01f6</t>
  </si>
  <si>
    <t xml:space="preserve">2024-04-30 07:17:40-05:00</t>
  </si>
  <si>
    <t xml:space="preserve">2024:04:30 07:17:40-05:00</t>
  </si>
  <si>
    <t xml:space="preserve">[0 - 969472], [985858 - 991655]</t>
  </si>
  <si>
    <t xml:space="preserve">280 0 obj</t>
  </si>
  <si>
    <t xml:space="preserve">Signature_fd58f7be-8130-4048-a855-5820877b23ad</t>
  </si>
  <si>
    <t xml:space="preserve">2024-04-30 07:17:46-05:00</t>
  </si>
  <si>
    <t xml:space="preserve">2024:04:30 07:17:46-05:00</t>
  </si>
  <si>
    <t xml:space="preserve">[0 - 460261], [476647 - 485178]</t>
  </si>
  <si>
    <t xml:space="preserve">Signature_1b48d7ea-370d-4df9-a8d9-bbda0f6d7776</t>
  </si>
  <si>
    <t xml:space="preserve">2024-04-30 07:17:43-05:00</t>
  </si>
  <si>
    <t xml:space="preserve">2024:04:30 07:17:43-05:00</t>
  </si>
  <si>
    <t xml:space="preserve">[0 - 116963], [133349 - 141880]</t>
  </si>
  <si>
    <t xml:space="preserve">Signature_d081c1ec-5672-434f-ac3b-5938d5601920</t>
  </si>
  <si>
    <t xml:space="preserve">2024-04-30 07:17:44-05:00</t>
  </si>
  <si>
    <t xml:space="preserve">2024:04:30 07:17:44-05:00</t>
  </si>
  <si>
    <t xml:space="preserve">[0 - 207545], [223931 - 228578]</t>
  </si>
  <si>
    <t xml:space="preserve">Signature_578d04a2-102b-4102-a8a1-acbbbfe6b57a</t>
  </si>
  <si>
    <t xml:space="preserve">2024-04-30 07:17:39-05:00</t>
  </si>
  <si>
    <t xml:space="preserve">2024:04:30 07:17:39-05:00</t>
  </si>
  <si>
    <t xml:space="preserve">[0 - 907505], [923891 - 929397]</t>
  </si>
  <si>
    <t xml:space="preserve">Signature_13f8126b-10dd-4b2f-8e43-0cab9e449e02</t>
  </si>
  <si>
    <t xml:space="preserve">2024-04-30 07:17:38-05:00</t>
  </si>
  <si>
    <t xml:space="preserve">2024:04:30 07:17:38-05:00</t>
  </si>
  <si>
    <t xml:space="preserve">[0 - 224162], [240548 - 245666]</t>
  </si>
  <si>
    <t xml:space="preserve">Signature_bc7227b0-4ca2-4c5b-ae41-270226bf0110</t>
  </si>
  <si>
    <t xml:space="preserve">2024-04-30 07:17:45-05:00</t>
  </si>
  <si>
    <t xml:space="preserve">2024:04:30 07:17:45-05:00</t>
  </si>
  <si>
    <t xml:space="preserve">[0 - 88319], [104705 - 109874]</t>
  </si>
  <si>
    <t xml:space="preserve">Signature_0e716d5f-50a1-427e-b483-ddb7a3de5bb1</t>
  </si>
  <si>
    <t xml:space="preserve">2024-04-30 07:17:42-05:00</t>
  </si>
  <si>
    <t xml:space="preserve">2024:04:30 07:17:42-05:00</t>
  </si>
  <si>
    <t xml:space="preserve">[0 - 463059], [479445 - 487932]</t>
  </si>
  <si>
    <t xml:space="preserve">Signature_62c5c4d8-cff7-4b3f-bb10-99c1478dbe3a</t>
  </si>
  <si>
    <t xml:space="preserve">2024-04-30 07:27:36-05:00</t>
  </si>
  <si>
    <t xml:space="preserve">2024:04:30 07:27:36-05:00</t>
  </si>
  <si>
    <t xml:space="preserve">[0 - 267884], [284270 - 288985]</t>
  </si>
  <si>
    <t xml:space="preserve">Signature_e5ca4f0e-24b9-467f-abc1-275c0736b30c</t>
  </si>
  <si>
    <t xml:space="preserve">2024-04-30 07:27:32-05:00</t>
  </si>
  <si>
    <t xml:space="preserve">2024:04:30 07:27:32-05:00</t>
  </si>
  <si>
    <t xml:space="preserve">[0 - 492842], [509228 - 514524]</t>
  </si>
  <si>
    <t xml:space="preserve">Signature_92976821-e0ca-4b22-9087-b85a6540f77c</t>
  </si>
  <si>
    <t xml:space="preserve">2024-04-30 07:27:31-05:00</t>
  </si>
  <si>
    <t xml:space="preserve">2024:04:30 07:27:31-05:00</t>
  </si>
  <si>
    <t xml:space="preserve">[0 - 958861], [975247 - 980536]</t>
  </si>
  <si>
    <t xml:space="preserve">Signature_bdd2a57a-5f29-43c3-8b4b-1f6573c1a0b8</t>
  </si>
  <si>
    <t xml:space="preserve">2024-04-30 07:27:29-05:00</t>
  </si>
  <si>
    <t xml:space="preserve">2024:04:30 07:27:29-05:00</t>
  </si>
  <si>
    <t xml:space="preserve">[0 - 222525], [238911 - 244523]</t>
  </si>
  <si>
    <t xml:space="preserve">Signature_85f36e06-66ae-47f0-a42b-55797f9f0505</t>
  </si>
  <si>
    <t xml:space="preserve">2024-04-30 07:27:28-05:00</t>
  </si>
  <si>
    <t xml:space="preserve">2024:04:30 07:27:28-05:00</t>
  </si>
  <si>
    <t xml:space="preserve">[0 - 421108], [437494 - 443298]</t>
  </si>
  <si>
    <t xml:space="preserve">265 0 obj</t>
  </si>
  <si>
    <t xml:space="preserve">Signature_92658562-5f8c-46f9-8159-ee7c8f499286</t>
  </si>
  <si>
    <t xml:space="preserve">2024-04-30 07:27:24-05:00</t>
  </si>
  <si>
    <t xml:space="preserve">2024:04:30 07:27:24-05:00</t>
  </si>
  <si>
    <t xml:space="preserve">[0 - 155277], [171663 - 177345]</t>
  </si>
  <si>
    <t xml:space="preserve">Signature_119217c8-439f-424a-ad5e-d4c6ab91fae5</t>
  </si>
  <si>
    <t xml:space="preserve">2024-04-30 07:27:22-05:00</t>
  </si>
  <si>
    <t xml:space="preserve">2024:04:30 07:27:22-05:00</t>
  </si>
  <si>
    <t xml:space="preserve">[0 - 114067], [130453 - 136108]</t>
  </si>
  <si>
    <t xml:space="preserve">Signature_2331f76f-38d9-40ae-b125-cecc9d5bc58b</t>
  </si>
  <si>
    <t xml:space="preserve">2024-04-30 07:27:18-05:00</t>
  </si>
  <si>
    <t xml:space="preserve">2024:04:30 07:27:18-05:00</t>
  </si>
  <si>
    <t xml:space="preserve">[0 - 718002], [734388 - 739905]</t>
  </si>
  <si>
    <t xml:space="preserve">Signature_1baf2f0d-5c31-459e-83df-1dbfb37cb826</t>
  </si>
  <si>
    <t xml:space="preserve">2024-04-30 07:27:30-05:00</t>
  </si>
  <si>
    <t xml:space="preserve">2024:04:30 07:27:30-05:00</t>
  </si>
  <si>
    <t xml:space="preserve">[0 - 115677], [132063 - 137353]</t>
  </si>
  <si>
    <t xml:space="preserve">Signature_d2168162-c49f-4fdd-b244-387bfac2dca8</t>
  </si>
  <si>
    <t xml:space="preserve">2024-04-30 07:27:26-05:00</t>
  </si>
  <si>
    <t xml:space="preserve">2024:04:30 07:27:26-05:00</t>
  </si>
  <si>
    <t xml:space="preserve">[0 - 281057], [297443 - 303347]</t>
  </si>
  <si>
    <t xml:space="preserve">Signature_c661aa5c-57da-42e0-a0a7-e1547f52234c</t>
  </si>
  <si>
    <t xml:space="preserve">2024-04-30 07:27:27-05:00</t>
  </si>
  <si>
    <t xml:space="preserve">2024:04:30 07:27:27-05:00</t>
  </si>
  <si>
    <t xml:space="preserve">[0 - 254926], [271312 - 276513]</t>
  </si>
  <si>
    <t xml:space="preserve">Signature_016c92f4-5894-4435-b55d-a78844fc9a59</t>
  </si>
  <si>
    <t xml:space="preserve">2024-04-30 07:27:35-05:00</t>
  </si>
  <si>
    <t xml:space="preserve">2024:04:30 07:27:35-05:00</t>
  </si>
  <si>
    <t xml:space="preserve">[0 - 909878], [926264 - 930862]</t>
  </si>
  <si>
    <t xml:space="preserve">Signature_6fdccd49-7c47-4a7e-997a-7246aaea58f3</t>
  </si>
  <si>
    <t xml:space="preserve">2024-04-30 07:27:34-05:00</t>
  </si>
  <si>
    <t xml:space="preserve">2024:04:30 07:27:34-05:00</t>
  </si>
  <si>
    <t xml:space="preserve">[0 - 959236], [975622 - 980221]</t>
  </si>
  <si>
    <t xml:space="preserve">Signature_e181b103-c284-4037-9ede-9c9a5d505228</t>
  </si>
  <si>
    <t xml:space="preserve">2024-04-30 07:27:33-05:00</t>
  </si>
  <si>
    <t xml:space="preserve">2024:04:30 07:27:33-05:00</t>
  </si>
  <si>
    <t xml:space="preserve">[0 - 297834], [314220 - 318963]</t>
  </si>
  <si>
    <t xml:space="preserve">148 0 obj</t>
  </si>
  <si>
    <t xml:space="preserve">Signature_d871af1b-983d-4567-ae59-90c504b3db95</t>
  </si>
  <si>
    <t xml:space="preserve">2024-04-30 07:27:21-05:00</t>
  </si>
  <si>
    <t xml:space="preserve">2024:04:30 07:27:21-05:00</t>
  </si>
  <si>
    <t xml:space="preserve">[0 - 742680], [759066 - 764676]</t>
  </si>
  <si>
    <t xml:space="preserve">Signature_07664c83-f7aa-4cff-9172-e5e63c5fb82b</t>
  </si>
  <si>
    <t xml:space="preserve">2024-04-30 07:27:25-05:00</t>
  </si>
  <si>
    <t xml:space="preserve">2024:04:30 07:27:25-05:00</t>
  </si>
  <si>
    <t xml:space="preserve">[0 - 438152], [454538 - 460208]</t>
  </si>
  <si>
    <t xml:space="preserve">Signature_fa8844a5-d86c-481f-a45a-256769070164</t>
  </si>
  <si>
    <t xml:space="preserve">2024-04-30 07:27:19-05:00</t>
  </si>
  <si>
    <t xml:space="preserve">2024:04:30 07:27:19-05:00</t>
  </si>
  <si>
    <t xml:space="preserve">[0 - 320933], [337319 - 342213]</t>
  </si>
  <si>
    <t xml:space="preserve">Signature_13932493-fcb1-4866-990e-6347526fbf1d</t>
  </si>
  <si>
    <t xml:space="preserve">2024-04-30 07:27:20-05:00</t>
  </si>
  <si>
    <t xml:space="preserve">2024:04:30 07:27:20-05:00</t>
  </si>
  <si>
    <t xml:space="preserve">[0 - 152119], [168505 - 173658]</t>
  </si>
  <si>
    <t xml:space="preserve">Signature_93aef07d-b928-4b55-9824-54994c96f4c6</t>
  </si>
  <si>
    <t xml:space="preserve">2024-04-30 07:28:23-05:00</t>
  </si>
  <si>
    <t xml:space="preserve">2024:04:30 07:28:23-05:00</t>
  </si>
  <si>
    <t xml:space="preserve">[0 - 429945], [446331 - 449366]</t>
  </si>
  <si>
    <t xml:space="preserve">Signature_1856561b-e1fd-46ea-92c2-fc939c0ca1e6</t>
  </si>
  <si>
    <t xml:space="preserve">2024-04-30 07:28:21-05:00</t>
  </si>
  <si>
    <t xml:space="preserve">2024:04:30 07:28:21-05:00</t>
  </si>
  <si>
    <t xml:space="preserve">[0 - 969472], [985858 - 991656]</t>
  </si>
  <si>
    <t xml:space="preserve">Signature_e60f8582-5b4e-44d9-982b-db937ea47270</t>
  </si>
  <si>
    <t xml:space="preserve">2024-04-30 07:28:19-05:00</t>
  </si>
  <si>
    <t xml:space="preserve">2024:04:30 07:28:19-05:00</t>
  </si>
  <si>
    <t xml:space="preserve">[0 - 210787], [227173 - 232495]</t>
  </si>
  <si>
    <t xml:space="preserve">Signature_25ba9dfa-de78-4222-9183-976780c20f61</t>
  </si>
  <si>
    <t xml:space="preserve">2024-04-30 07:28:12-05:00</t>
  </si>
  <si>
    <t xml:space="preserve">2024:04:30 07:28:12-05:00</t>
  </si>
  <si>
    <t xml:space="preserve">[0 - 240368], [256754 - 262114]</t>
  </si>
  <si>
    <t xml:space="preserve">Signature_44acf1ed-9b6f-415d-8035-a4f8a2d674d0</t>
  </si>
  <si>
    <t xml:space="preserve">2024-04-30 07:28:16-05:00</t>
  </si>
  <si>
    <t xml:space="preserve">2024:04:30 07:28:16-05:00</t>
  </si>
  <si>
    <t xml:space="preserve">[0 - 821702], [838088 - 843659]</t>
  </si>
  <si>
    <t xml:space="preserve">Signature_a4f1a758-e554-4373-ac98-2227069899d3</t>
  </si>
  <si>
    <t xml:space="preserve">2024-04-30 07:28:13-05:00</t>
  </si>
  <si>
    <t xml:space="preserve">2024:04:30 07:28:13-05:00</t>
  </si>
  <si>
    <t xml:space="preserve">[0 - 234019], [250405 - 255888]</t>
  </si>
  <si>
    <t xml:space="preserve">Signature_50ac71bb-637d-48dd-b398-9322b77d10a1</t>
  </si>
  <si>
    <t xml:space="preserve">2024-04-30 07:28:22-05:00</t>
  </si>
  <si>
    <t xml:space="preserve">2024:04:30 07:28:22-05:00</t>
  </si>
  <si>
    <t xml:space="preserve">[0 - 116459], [132845 - 141376]</t>
  </si>
  <si>
    <t xml:space="preserve">Signature_d2c84473-1d85-47c5-b2de-eda0857e1a99</t>
  </si>
  <si>
    <t xml:space="preserve">2024-04-30 07:28:14-05:00</t>
  </si>
  <si>
    <t xml:space="preserve">2024:04:30 07:28:14-05:00</t>
  </si>
  <si>
    <t xml:space="preserve">[0 - 739758], [756144 - 760734]</t>
  </si>
  <si>
    <t xml:space="preserve">Signature_db096709-b79e-4003-9b47-77134a6c3b25</t>
  </si>
  <si>
    <t xml:space="preserve">2024-04-30 07:28:18-05:00</t>
  </si>
  <si>
    <t xml:space="preserve">2024:04:30 07:28:18-05:00</t>
  </si>
  <si>
    <t xml:space="preserve">[0 - 908807], [925193 - 930698]</t>
  </si>
  <si>
    <t xml:space="preserve">Signature_2acd2224-0528-4e79-ad7b-5ab685eb2cd2</t>
  </si>
  <si>
    <t xml:space="preserve">2024-04-30 07:28:17-05:00</t>
  </si>
  <si>
    <t xml:space="preserve">2024:04:30 07:28:17-05:00</t>
  </si>
  <si>
    <t xml:space="preserve">[0 - 156914], [173300 - 178646]</t>
  </si>
  <si>
    <t xml:space="preserve">Signature_5ae2755b-cb58-4df8-ad7c-685a529b5352</t>
  </si>
  <si>
    <t xml:space="preserve">2024-04-30 07:28:15-05:00</t>
  </si>
  <si>
    <t xml:space="preserve">2024:04:30 07:28:15-05:00</t>
  </si>
  <si>
    <t xml:space="preserve">[0 - 664294], [680680 - 689211]</t>
  </si>
  <si>
    <t xml:space="preserve">Signature_1101cf60-fcf5-4dfa-98b4-d451ba9ee655</t>
  </si>
  <si>
    <t xml:space="preserve">2024-04-30 07:28:11-05:00</t>
  </si>
  <si>
    <t xml:space="preserve">2024:04:30 07:28:11-05:00</t>
  </si>
  <si>
    <t xml:space="preserve">[0 - 298545], [314931 - 323418]</t>
  </si>
  <si>
    <t xml:space="preserve">Signature_9a489b2c-a89a-4fd3-b3c7-5f8b8ea87cbb</t>
  </si>
  <si>
    <t xml:space="preserve">2024-04-30 07:29:07-05:00</t>
  </si>
  <si>
    <t xml:space="preserve">2024:04:30 07:29:07-05:00</t>
  </si>
  <si>
    <t xml:space="preserve">[0 - 349277], [365663 - 371767]</t>
  </si>
  <si>
    <t xml:space="preserve">Signature_bb707470-d63f-4c9c-be8b-435d7b360919</t>
  </si>
  <si>
    <t xml:space="preserve">2024-04-30 07:28:52-05:00</t>
  </si>
  <si>
    <t xml:space="preserve">2024:04:30 07:28:52-05:00</t>
  </si>
  <si>
    <t xml:space="preserve">[0 - 153532], [169918 - 175645]</t>
  </si>
  <si>
    <t xml:space="preserve">939 0 obj</t>
  </si>
  <si>
    <t xml:space="preserve">Signature_d6ab13b7-75b4-44cb-815d-a5e4290d3f54</t>
  </si>
  <si>
    <t xml:space="preserve">2024-04-30 07:29:09-05:00</t>
  </si>
  <si>
    <t xml:space="preserve">2024:04:30 07:29:09-05:00</t>
  </si>
  <si>
    <t xml:space="preserve">[0 - 426155], [442541 - 445200]</t>
  </si>
  <si>
    <t xml:space="preserve">Signature_6af3bd0b-5d20-4fd3-9727-e27a6791377a</t>
  </si>
  <si>
    <t xml:space="preserve">2024-04-30 07:29:06-05:00</t>
  </si>
  <si>
    <t xml:space="preserve">2024:04:30 07:29:06-05:00</t>
  </si>
  <si>
    <t xml:space="preserve">[0 - 938410], [954796 - 960548]</t>
  </si>
  <si>
    <t xml:space="preserve">Signature_54c38cc9-ec78-43c2-ade6-2305268b43eb</t>
  </si>
  <si>
    <t xml:space="preserve">2024-04-30 07:29:01-05:00</t>
  </si>
  <si>
    <t xml:space="preserve">2024:04:30 07:29:01-05:00</t>
  </si>
  <si>
    <t xml:space="preserve">[0 - 672969], [689355 - 694583]</t>
  </si>
  <si>
    <t xml:space="preserve">290 0 obj</t>
  </si>
  <si>
    <t xml:space="preserve">Signature_59fb634a-2512-4419-8fd7-84b42d584330</t>
  </si>
  <si>
    <t xml:space="preserve">2024-04-30 07:29:05-05:00</t>
  </si>
  <si>
    <t xml:space="preserve">2024:04:30 07:29:05-05:00</t>
  </si>
  <si>
    <t xml:space="preserve">[0 - 223499], [239885 - 245330]</t>
  </si>
  <si>
    <t xml:space="preserve">Signature_b9718e02-f485-41b6-8637-aa49f01c43a6</t>
  </si>
  <si>
    <t xml:space="preserve">2024-04-30 07:29:02-05:00</t>
  </si>
  <si>
    <t xml:space="preserve">2024:04:30 07:29:02-05:00</t>
  </si>
  <si>
    <t xml:space="preserve">[0 - 888829], [905215 - 909811]</t>
  </si>
  <si>
    <t xml:space="preserve">Signature_3b6153cc-bb3b-4d08-8dcd-c7d2a55754e5</t>
  </si>
  <si>
    <t xml:space="preserve">2024-04-30 07:29:00-05:00</t>
  </si>
  <si>
    <t xml:space="preserve">2024:04:30 07:29:00-05:00</t>
  </si>
  <si>
    <t xml:space="preserve">[0 - 846701], [863087 - 868359]</t>
  </si>
  <si>
    <t xml:space="preserve">Signature_c1b3b6fc-9c86-462f-adf5-3ed568971b53</t>
  </si>
  <si>
    <t xml:space="preserve">2024-04-30 07:28:59-05:00</t>
  </si>
  <si>
    <t xml:space="preserve">2024:04:30 07:28:59-05:00</t>
  </si>
  <si>
    <t xml:space="preserve">[0 - 870958], [887344 - 892630]</t>
  </si>
  <si>
    <t xml:space="preserve">Signature_8b9bee26-a22c-4ddb-b64e-c1a1bca8cc40</t>
  </si>
  <si>
    <t xml:space="preserve">2024-04-30 07:28:56-05:00</t>
  </si>
  <si>
    <t xml:space="preserve">2024:04:30 07:28:56-05:00</t>
  </si>
  <si>
    <t xml:space="preserve">[0 - 830415], [846801 - 851390]</t>
  </si>
  <si>
    <t xml:space="preserve">Signature_59cc1ba6-af4c-4b64-8582-47c39833f97b</t>
  </si>
  <si>
    <t xml:space="preserve">2024-04-30 07:29:08-05:00</t>
  </si>
  <si>
    <t xml:space="preserve">2024:04:30 07:29:08-05:00</t>
  </si>
  <si>
    <t xml:space="preserve">[0 - 114587], [130973 - 139505]</t>
  </si>
  <si>
    <t xml:space="preserve">Signature_97e6a243-2ff9-41fd-a2ac-beabba9702fb</t>
  </si>
  <si>
    <t xml:space="preserve">2024-04-30 07:29:04-05:00</t>
  </si>
  <si>
    <t xml:space="preserve">2024:04:30 07:29:04-05:00</t>
  </si>
  <si>
    <t xml:space="preserve">[0 - 891559], [907945 - 914366]</t>
  </si>
  <si>
    <t xml:space="preserve">566 0 obj</t>
  </si>
  <si>
    <t xml:space="preserve">Signature_f6abcb36-9e58-47c1-b55e-46e72d835ef8</t>
  </si>
  <si>
    <t xml:space="preserve">2024-04-30 07:28:54-05:00</t>
  </si>
  <si>
    <t xml:space="preserve">2024:04:30 07:28:54-05:00</t>
  </si>
  <si>
    <t xml:space="preserve">[0 - 826599], [842985 - 848827]</t>
  </si>
  <si>
    <t xml:space="preserve">Signature_9cc06bd7-7119-4f57-bba1-4adbe19f24d9</t>
  </si>
  <si>
    <t xml:space="preserve">2024-04-30 07:28:58-05:00</t>
  </si>
  <si>
    <t xml:space="preserve">2024:04:30 07:28:58-05:00</t>
  </si>
  <si>
    <t xml:space="preserve">[0 - 712989], [729375 - 734680]</t>
  </si>
  <si>
    <t xml:space="preserve">407 0 obj</t>
  </si>
  <si>
    <t xml:space="preserve">Signature_ec1b7f27-6203-4d3e-82f5-2259d3806ca8</t>
  </si>
  <si>
    <t xml:space="preserve">2024-04-30 07:28:55-05:00</t>
  </si>
  <si>
    <t xml:space="preserve">2024:04:30 07:28:55-05:00</t>
  </si>
  <si>
    <t xml:space="preserve">[0 - 784477], [800863 - 805384]</t>
  </si>
  <si>
    <t xml:space="preserve">Signature_035c5bf4-790e-45c9-89e1-5620c54b3b91</t>
  </si>
  <si>
    <t xml:space="preserve">2024-04-30 07:28:57-05:00</t>
  </si>
  <si>
    <t xml:space="preserve">2024:04:30 07:28:57-05:00</t>
  </si>
  <si>
    <t xml:space="preserve">[0 - 282992], [299378 - 304188]</t>
  </si>
  <si>
    <t xml:space="preserve">Signature_809e6436-236b-44c1-9621-df3e1d7fe6c9</t>
  </si>
  <si>
    <t xml:space="preserve">2024-04-30 07:28:53-05:00</t>
  </si>
  <si>
    <t xml:space="preserve">2024:04:30 07:28:53-05:00</t>
  </si>
  <si>
    <t xml:space="preserve">[0 - 228398], [244784 - 249368]</t>
  </si>
  <si>
    <t xml:space="preserve">Signature_6af67606-e3c3-41c5-ac9a-a4317a126bc7</t>
  </si>
  <si>
    <t xml:space="preserve">2024-04-30 07:29:44-05:00</t>
  </si>
  <si>
    <t xml:space="preserve">2024:04:30 07:29:44-05:00</t>
  </si>
  <si>
    <t xml:space="preserve">[0 - 349232], [365618 - 371721]</t>
  </si>
  <si>
    <t xml:space="preserve">Signature_a66d87e2-d754-4610-b8d5-842556fa64b6</t>
  </si>
  <si>
    <t xml:space="preserve">2024-04-30 07:29:46-05:00</t>
  </si>
  <si>
    <t xml:space="preserve">2024:04:30 07:29:46-05:00</t>
  </si>
  <si>
    <t xml:space="preserve">[0 - 436124], [452510 - 455545]</t>
  </si>
  <si>
    <t xml:space="preserve">Signature_fb9bc6f0-d08b-4290-8e03-6192ebdb73e2</t>
  </si>
  <si>
    <t xml:space="preserve">2024-04-30 07:29:43-05:00</t>
  </si>
  <si>
    <t xml:space="preserve">2024:04:30 07:29:43-05:00</t>
  </si>
  <si>
    <t xml:space="preserve">[0 - 938410], [954796 - 960549]</t>
  </si>
  <si>
    <t xml:space="preserve">Signature_98fe4d5b-2c65-4d9b-96da-8d7ceb47ca10</t>
  </si>
  <si>
    <t xml:space="preserve">2024-04-30 07:29:40-05:00</t>
  </si>
  <si>
    <t xml:space="preserve">2024:04:30 07:29:40-05:00</t>
  </si>
  <si>
    <t xml:space="preserve">Signature_a5799738-dd9a-4ceb-a6b1-a8d48e5cba68</t>
  </si>
  <si>
    <t xml:space="preserve">2024-04-30 07:29:39-05:00</t>
  </si>
  <si>
    <t xml:space="preserve">2024:04:30 07:29:39-05:00</t>
  </si>
  <si>
    <t xml:space="preserve">[0 - 870960], [887346 - 892630]</t>
  </si>
  <si>
    <t xml:space="preserve">Signature_cb1af577-dba8-4804-826c-f666f614fb54</t>
  </si>
  <si>
    <t xml:space="preserve">2024-04-30 07:29:36-05:00</t>
  </si>
  <si>
    <t xml:space="preserve">2024:04:30 07:29:36-05:00</t>
  </si>
  <si>
    <t xml:space="preserve">[0 - 838156], [854542 - 859816]</t>
  </si>
  <si>
    <t xml:space="preserve">Signature_23b3c488-6273-4cd4-897b-6897c21bca6b</t>
  </si>
  <si>
    <t xml:space="preserve">2024-04-30 07:29:45-05:00</t>
  </si>
  <si>
    <t xml:space="preserve">2024:04:30 07:29:45-05:00</t>
  </si>
  <si>
    <t xml:space="preserve">[0 - 115262], [131648 - 140180]</t>
  </si>
  <si>
    <t xml:space="preserve">Signature_43aa36b8-f13d-4f08-8a9d-8af8e8e53a71</t>
  </si>
  <si>
    <t xml:space="preserve">2024-04-30 07:29:42-05:00</t>
  </si>
  <si>
    <t xml:space="preserve">2024:04:30 07:29:42-05:00</t>
  </si>
  <si>
    <t xml:space="preserve">[0 - 893465], [909851 - 916270]</t>
  </si>
  <si>
    <t xml:space="preserve">Signature_0658c02d-3084-4524-b051-1a926468edae</t>
  </si>
  <si>
    <t xml:space="preserve">2024-04-30 07:29:38-05:00</t>
  </si>
  <si>
    <t xml:space="preserve">2024:04:30 07:29:38-05:00</t>
  </si>
  <si>
    <t xml:space="preserve">[0 - 713869], [730255 - 735557]</t>
  </si>
  <si>
    <t xml:space="preserve">Signature_052dc5cf-f702-4f43-97b9-ffd36d769970</t>
  </si>
  <si>
    <t xml:space="preserve">2024-04-30 07:29:37-05:00</t>
  </si>
  <si>
    <t xml:space="preserve">2024:04:30 07:29:37-05:00</t>
  </si>
  <si>
    <t xml:space="preserve">[0 - 853092], [869478 - 874283]</t>
  </si>
  <si>
    <t xml:space="preserve">Signature_5a6dda8e-e673-4543-b8a4-07f728be3812</t>
  </si>
  <si>
    <t xml:space="preserve">2024-04-30 07:30:22-05:00</t>
  </si>
  <si>
    <t xml:space="preserve">2024:04:30 07:30:22-05:00</t>
  </si>
  <si>
    <t xml:space="preserve">[0 - 348613], [364999 - 371102]</t>
  </si>
  <si>
    <t xml:space="preserve">Signature_339aac04-e48f-4168-aad3-dbd7c5514a4e</t>
  </si>
  <si>
    <t xml:space="preserve">2024-04-30 07:30:25-05:00</t>
  </si>
  <si>
    <t xml:space="preserve">2024:04:30 07:30:25-05:00</t>
  </si>
  <si>
    <t xml:space="preserve">[0 - 427442], [443828 - 446487]</t>
  </si>
  <si>
    <t xml:space="preserve">Signature_3354815f-a940-4b23-b527-c9ad9ef5709a</t>
  </si>
  <si>
    <t xml:space="preserve">2024-04-30 07:30:21-05:00</t>
  </si>
  <si>
    <t xml:space="preserve">2024:04:30 07:30:21-05:00</t>
  </si>
  <si>
    <t xml:space="preserve">[0 - 929314], [945700 - 951446]</t>
  </si>
  <si>
    <t xml:space="preserve">Signature_3abbcebe-af02-4279-a297-9ed45800b84b</t>
  </si>
  <si>
    <t xml:space="preserve">2024-04-30 07:30:19-05:00</t>
  </si>
  <si>
    <t xml:space="preserve">2024:04:30 07:30:19-05:00</t>
  </si>
  <si>
    <t xml:space="preserve">[0 - 235636], [252022 - 256630]</t>
  </si>
  <si>
    <t xml:space="preserve">Signature_e302f8c7-c7d9-4ed7-acb4-0de4f7a5c436</t>
  </si>
  <si>
    <t xml:space="preserve">2024-04-30 07:30:23-05:00</t>
  </si>
  <si>
    <t xml:space="preserve">2024:04:30 07:30:23-05:00</t>
  </si>
  <si>
    <t xml:space="preserve">[0 - 114514], [130900 - 139431]</t>
  </si>
  <si>
    <t xml:space="preserve">Signature_b4871137-45c4-4dd9-9e30-d84aae33edd9</t>
  </si>
  <si>
    <t xml:space="preserve">2024-04-30 07:30:20-05:00</t>
  </si>
  <si>
    <t xml:space="preserve">2024:04:30 07:30:20-05:00</t>
  </si>
  <si>
    <t xml:space="preserve">[0 - 739309], [755695 - 760283]</t>
  </si>
  <si>
    <t xml:space="preserve">Signature_c48ed18a-44a0-4b78-a5e9-7d4a806371e3</t>
  </si>
  <si>
    <t xml:space="preserve">2024-04-30 07:18:40-05:00</t>
  </si>
  <si>
    <t xml:space="preserve">2024:04:30 07:18:40-05:00</t>
  </si>
  <si>
    <t xml:space="preserve">[0 - 85170], [101556 - 102841]</t>
  </si>
  <si>
    <t xml:space="preserve">Signature_6249546b-feaf-464c-b68a-c4b55424cce1</t>
  </si>
  <si>
    <t xml:space="preserve">2024-04-30 07:18:36-05:00</t>
  </si>
  <si>
    <t xml:space="preserve">2024:04:30 07:18:36-05:00</t>
  </si>
  <si>
    <t xml:space="preserve">Signature_a9d92510-b2aa-4236-9e40-77cf8da6cd42</t>
  </si>
  <si>
    <t xml:space="preserve">2024-04-30 07:18:38-05:00</t>
  </si>
  <si>
    <t xml:space="preserve">2024:04:30 07:18:38-05:00</t>
  </si>
  <si>
    <t xml:space="preserve">Signature_dc24b133-0ae6-4fdf-b97a-e4466597e69a</t>
  </si>
  <si>
    <t xml:space="preserve">2024-04-30 07:18:37-05:00</t>
  </si>
  <si>
    <t xml:space="preserve">2024:04:30 07:18:37-05:00</t>
  </si>
  <si>
    <t xml:space="preserve">[0 - 867068], [883454 - 888439]</t>
  </si>
  <si>
    <t xml:space="preserve">Signature_e6051cf1-f0d4-4465-8897-3df2e4315ce3</t>
  </si>
  <si>
    <t xml:space="preserve">2024-04-30 07:18:39-05:00</t>
  </si>
  <si>
    <t xml:space="preserve">2024:04:30 07:18:39-05:00</t>
  </si>
  <si>
    <t xml:space="preserve">[0 - 519949], [536335 - 544822]</t>
  </si>
  <si>
    <t xml:space="preserve">Signature_73554d35-04c7-49b2-bc19-9c3edfb207d8</t>
  </si>
  <si>
    <t xml:space="preserve">2024-04-30 07:31:09-05:00</t>
  </si>
  <si>
    <t xml:space="preserve">2024:04:30 07:31:09-05:00</t>
  </si>
  <si>
    <t xml:space="preserve">[0 - 280746], [297132 - 302947]</t>
  </si>
  <si>
    <t xml:space="preserve">423 0 obj</t>
  </si>
  <si>
    <t xml:space="preserve">Signature_e77da6da-8f65-46df-bc16-5fbae3a7bde0</t>
  </si>
  <si>
    <t xml:space="preserve">2024-04-30 07:31:25-05:00</t>
  </si>
  <si>
    <t xml:space="preserve">2024:04:30 07:31:25-05:00</t>
  </si>
  <si>
    <t xml:space="preserve">[0 - 425376], [441762 - 444421]</t>
  </si>
  <si>
    <t xml:space="preserve">Signature_47c23bb5-023b-481a-a4a6-f5d40cfe7ed3</t>
  </si>
  <si>
    <t xml:space="preserve">2024-04-30 07:31:06-05:00</t>
  </si>
  <si>
    <t xml:space="preserve">2024:04:30 07:31:06-05:00</t>
  </si>
  <si>
    <t xml:space="preserve">[0 - 148678], [165064 - 170389]</t>
  </si>
  <si>
    <t xml:space="preserve">Signature_446b215e-b93e-4a0a-886f-6b2326f3353b</t>
  </si>
  <si>
    <t xml:space="preserve">2024-04-30 07:31:22-05:00</t>
  </si>
  <si>
    <t xml:space="preserve">2024:04:30 07:31:22-05:00</t>
  </si>
  <si>
    <t xml:space="preserve">[0 - 77614], [94000 - 102486]</t>
  </si>
  <si>
    <t xml:space="preserve">Signature_3784d42c-6084-46e9-9ebd-08b6a0185bf4</t>
  </si>
  <si>
    <t xml:space="preserve">2024-04-30 07:31:19-05:00</t>
  </si>
  <si>
    <t xml:space="preserve">2024:04:30 07:31:19-05:00</t>
  </si>
  <si>
    <t xml:space="preserve">[0 - 668114], [684500 - 688960]</t>
  </si>
  <si>
    <t xml:space="preserve">Signature_8608e30f-c3b8-4697-9114-58127003d26a</t>
  </si>
  <si>
    <t xml:space="preserve">2024-04-30 07:31:16-05:00</t>
  </si>
  <si>
    <t xml:space="preserve">2024:04:30 07:31:16-05:00</t>
  </si>
  <si>
    <t xml:space="preserve">[0 - 692845], [709231 - 714509]</t>
  </si>
  <si>
    <t xml:space="preserve">Signature_6e2284cd-0ffd-495b-8627-fea2972d4886</t>
  </si>
  <si>
    <t xml:space="preserve">2024-04-30 07:31:13-05:00</t>
  </si>
  <si>
    <t xml:space="preserve">2024:04:30 07:31:13-05:00</t>
  </si>
  <si>
    <t xml:space="preserve">[0 - 709222], [725608 - 730182]</t>
  </si>
  <si>
    <t xml:space="preserve">Signature_43be076c-c968-4373-af9e-d840aba25605</t>
  </si>
  <si>
    <t xml:space="preserve">2024-04-30 07:31:10-05:00</t>
  </si>
  <si>
    <t xml:space="preserve">2024:04:30 07:31:10-05:00</t>
  </si>
  <si>
    <t xml:space="preserve">Signature_29817904-a21b-4623-9d04-0d06077ef246</t>
  </si>
  <si>
    <t xml:space="preserve">2024-04-30 07:31:08-05:00</t>
  </si>
  <si>
    <t xml:space="preserve">2024:04:30 07:31:08-05:00</t>
  </si>
  <si>
    <t xml:space="preserve">Signature_d006362b-58bc-4f0a-af5a-cfe03817c8f7</t>
  </si>
  <si>
    <t xml:space="preserve">2024-04-30 07:31:20-05:00</t>
  </si>
  <si>
    <t xml:space="preserve">2024:04:30 07:31:20-05:00</t>
  </si>
  <si>
    <t xml:space="preserve">[0 - 234600], [250986 - 255638]</t>
  </si>
  <si>
    <t xml:space="preserve">Signature_b6704308-a0c5-4aa6-8da2-eb25ae0f958c</t>
  </si>
  <si>
    <t xml:space="preserve">2024-04-30 07:31:18-05:00</t>
  </si>
  <si>
    <t xml:space="preserve">2024:04:30 07:31:18-05:00</t>
  </si>
  <si>
    <t xml:space="preserve">[0 - 234960], [251346 - 255997]</t>
  </si>
  <si>
    <t xml:space="preserve">Signature_1708fcf9-2688-417c-b617-742e7cbf15d2</t>
  </si>
  <si>
    <t xml:space="preserve">2024-04-30 07:31:17-05:00</t>
  </si>
  <si>
    <t xml:space="preserve">2024:04:30 07:31:17-05:00</t>
  </si>
  <si>
    <t xml:space="preserve">[0 - 824253], [840639 - 846244]</t>
  </si>
  <si>
    <t xml:space="preserve">Signature_6af889f7-b575-4d36-9744-6ad743be9fde</t>
  </si>
  <si>
    <t xml:space="preserve">2024-04-30 07:31:15-05:00</t>
  </si>
  <si>
    <t xml:space="preserve">2024:04:30 07:31:15-05:00</t>
  </si>
  <si>
    <t xml:space="preserve">[0 - 833772], [850158 - 854754]</t>
  </si>
  <si>
    <t xml:space="preserve">Signature_2e7f34e9-7e80-4345-ace3-701945f0dbd4</t>
  </si>
  <si>
    <t xml:space="preserve">2024-04-30 07:31:11-05:00</t>
  </si>
  <si>
    <t xml:space="preserve">2024:04:30 07:31:11-05:00</t>
  </si>
  <si>
    <t xml:space="preserve">[0 - 821124], [837510 - 843092]</t>
  </si>
  <si>
    <t xml:space="preserve">Signature_687cd8aa-40a3-41a2-8c87-13154d84a872</t>
  </si>
  <si>
    <t xml:space="preserve">2024-04-30 07:31:05-05:00</t>
  </si>
  <si>
    <t xml:space="preserve">2024:04:30 07:31:05-05:00</t>
  </si>
  <si>
    <t xml:space="preserve">[0 - 248785], [265171 - 269778]</t>
  </si>
  <si>
    <t xml:space="preserve">Signature_d6b79fb3-a36b-4b64-908b-4a0341ece652</t>
  </si>
  <si>
    <t xml:space="preserve">2024-04-30 07:31:21-05:00</t>
  </si>
  <si>
    <t xml:space="preserve">2024:04:30 07:31:21-05:00</t>
  </si>
  <si>
    <t xml:space="preserve">[0 - 758321], [774707 - 779167]</t>
  </si>
  <si>
    <t xml:space="preserve">Signature_ddb701ee-3ece-40cc-9460-2b35476da95e</t>
  </si>
  <si>
    <t xml:space="preserve">2024-04-30 07:31:23-05:00</t>
  </si>
  <si>
    <t xml:space="preserve">2024:04:30 07:31:23-05:00</t>
  </si>
  <si>
    <t xml:space="preserve">[0 - 90774], [107160 - 115646]</t>
  </si>
  <si>
    <t xml:space="preserve">Signature_6ad92494-7c54-4fb4-9f93-b696abc127ac</t>
  </si>
  <si>
    <t xml:space="preserve">2024-04-30 07:31:04-05:00</t>
  </si>
  <si>
    <t xml:space="preserve">2024:04:30 07:31:04-05:00</t>
  </si>
  <si>
    <t xml:space="preserve">[0 - 189519], [205905 - 210485]</t>
  </si>
  <si>
    <t xml:space="preserve">Signature_2fc3840b-f657-4bf0-8cf3-3b34f12f9f09</t>
  </si>
  <si>
    <t xml:space="preserve">2024-04-30 07:31:14-05:00</t>
  </si>
  <si>
    <t xml:space="preserve">2024:04:30 07:31:14-05:00</t>
  </si>
  <si>
    <t xml:space="preserve">[0 - 335180], [351566 - 357088]</t>
  </si>
  <si>
    <t xml:space="preserve">160 0 obj</t>
  </si>
  <si>
    <t xml:space="preserve">Signature_59e3eece-a1d9-4f6d-a01a-6676cf3d721c</t>
  </si>
  <si>
    <t xml:space="preserve">2024-04-30 07:19:38-05:00</t>
  </si>
  <si>
    <t xml:space="preserve">2024:04:30 07:19:38-05:00</t>
  </si>
  <si>
    <t xml:space="preserve">[0 - 463411], [479797 - 482785]</t>
  </si>
  <si>
    <t xml:space="preserve">Signature_286e1916-e167-4e19-99ec-2d9763e4a127</t>
  </si>
  <si>
    <t xml:space="preserve">2024-04-30 07:19:35-05:00</t>
  </si>
  <si>
    <t xml:space="preserve">2024:04:30 07:19:35-05:00</t>
  </si>
  <si>
    <t xml:space="preserve">[0 - 944887], [961273 - 967029]</t>
  </si>
  <si>
    <t xml:space="preserve">Signature_1f489588-5ad5-4d9d-862d-77ccc30c1f01</t>
  </si>
  <si>
    <t xml:space="preserve">2024-04-30 07:19:36-05:00</t>
  </si>
  <si>
    <t xml:space="preserve">2024:04:30 07:19:36-05:00</t>
  </si>
  <si>
    <t xml:space="preserve">[0 - 59757], [76143 - 81422]</t>
  </si>
  <si>
    <t xml:space="preserve">Signature_8da01213-eab1-4807-a22a-d96d783054b0</t>
  </si>
  <si>
    <t xml:space="preserve">2024-04-30 07:19:34-05:00</t>
  </si>
  <si>
    <t xml:space="preserve">2024:04:30 07:19:34-05:00</t>
  </si>
  <si>
    <t xml:space="preserve">[0 - 79138], [95524 - 100808]</t>
  </si>
  <si>
    <t xml:space="preserve">Signature_7b9fd30d-89fa-432a-a2f6-96b2911bc1dd</t>
  </si>
  <si>
    <t xml:space="preserve">2024-04-30 07:19:37-05:00</t>
  </si>
  <si>
    <t xml:space="preserve">2024:04:30 07:19:37-05:00</t>
  </si>
  <si>
    <t xml:space="preserve">[0 - 115023], [131409 - 139940]</t>
  </si>
  <si>
    <t xml:space="preserve">Signature_7fc8361e-3014-42ce-835f-408dc7c5ef98</t>
  </si>
  <si>
    <t xml:space="preserve">2024-04-30 07:19:32-05:00</t>
  </si>
  <si>
    <t xml:space="preserve">2024:04:30 07:19:32-05:00</t>
  </si>
  <si>
    <t xml:space="preserve">[0 - 87356], [103742 - 112228]</t>
  </si>
  <si>
    <t xml:space="preserve">Signature_f610660a-8f34-4175-b459-88f3f36423a3</t>
  </si>
  <si>
    <t xml:space="preserve">2024-04-30 07:19:30-05:00</t>
  </si>
  <si>
    <t xml:space="preserve">2024:04:30 07:19:30-05:00</t>
  </si>
  <si>
    <t xml:space="preserve">[0 - 237096], [253482 - 258601]</t>
  </si>
  <si>
    <t xml:space="preserve">Signature_bdb379fb-332a-47fd-95f3-1ea3112df026</t>
  </si>
  <si>
    <t xml:space="preserve">2024-04-30 07:19:33-05:00</t>
  </si>
  <si>
    <t xml:space="preserve">2024:04:30 07:19:33-05:00</t>
  </si>
  <si>
    <t xml:space="preserve">[0 - 116998], [133384 - 138691]</t>
  </si>
  <si>
    <t xml:space="preserve">156 0 obj</t>
  </si>
  <si>
    <t xml:space="preserve">Signature_d0e1ec60-1659-45a2-af8d-7efb0c376bcf</t>
  </si>
  <si>
    <t xml:space="preserve">2024-04-30 07:31:59-05:00</t>
  </si>
  <si>
    <t xml:space="preserve">2024:04:30 07:32:00-05:00</t>
  </si>
  <si>
    <t xml:space="preserve">[0 - 428133], [444519 - 447554]</t>
  </si>
  <si>
    <t xml:space="preserve">Signature_6eb3c45d-d3e8-465e-807d-939a8ecf668d</t>
  </si>
  <si>
    <t xml:space="preserve">2024-04-30 07:31:56-05:00</t>
  </si>
  <si>
    <t xml:space="preserve">2024:04:30 07:31:56-05:00</t>
  </si>
  <si>
    <t xml:space="preserve">[0 - 887806], [904192 - 909478]</t>
  </si>
  <si>
    <t xml:space="preserve">Signature_1805ad08-1895-46e8-9d62-f2bf74fa8d49</t>
  </si>
  <si>
    <t xml:space="preserve">2024-04-30 07:31:55-05:00</t>
  </si>
  <si>
    <t xml:space="preserve">2024:04:30 07:31:55-05:00</t>
  </si>
  <si>
    <t xml:space="preserve">[0 - 398033], [414419 - 419985]</t>
  </si>
  <si>
    <t xml:space="preserve">Signature_f4ca9514-8f8e-41a1-ad09-fa4aa746be16</t>
  </si>
  <si>
    <t xml:space="preserve">2024-04-30 07:31:57-05:00</t>
  </si>
  <si>
    <t xml:space="preserve">2024:04:30 07:31:57-05:00</t>
  </si>
  <si>
    <t xml:space="preserve">[0 - 112466], [128852 - 137383]</t>
  </si>
  <si>
    <t xml:space="preserve">Signature_892311e0-e0f4-4189-85d7-b2ca57a3c13c</t>
  </si>
  <si>
    <t xml:space="preserve">2024-04-30 07:31:58-05:00</t>
  </si>
  <si>
    <t xml:space="preserve">2024:04:30 07:31:58-05:00</t>
  </si>
  <si>
    <t xml:space="preserve">[0 - 91686], [108072 - 116558]</t>
  </si>
  <si>
    <t xml:space="preserve">Signature_580de515-86ea-4e7a-8e2b-090270d4aa00</t>
  </si>
  <si>
    <t xml:space="preserve">2024-04-30 07:31:54-05:00</t>
  </si>
  <si>
    <t xml:space="preserve">2024:04:30 07:31:54-05:00</t>
  </si>
  <si>
    <t xml:space="preserve">[0 - 286213], [302599 - 308243]</t>
  </si>
  <si>
    <t xml:space="preserve">Signature_2e2a1c53-5339-40cc-9d10-2a688072f3cf</t>
  </si>
  <si>
    <t xml:space="preserve">2024-04-30 07:32:44-05:00</t>
  </si>
  <si>
    <t xml:space="preserve">2024:04:30 07:32:44-05:00</t>
  </si>
  <si>
    <t xml:space="preserve">[0 - 800299], [816685 - 822548]</t>
  </si>
  <si>
    <t xml:space="preserve">976 0 obj</t>
  </si>
  <si>
    <t xml:space="preserve">Signature_6acacecf-4f4b-46a1-9098-02b44110490c</t>
  </si>
  <si>
    <t xml:space="preserve">2024-04-30 07:32:46-05:00</t>
  </si>
  <si>
    <t xml:space="preserve">2024:04:30 07:32:47-05:00</t>
  </si>
  <si>
    <t xml:space="preserve">[0 - 428607], [444993 - 447652]</t>
  </si>
  <si>
    <t xml:space="preserve">Signature_99810a46-21d4-412e-93d6-ddf29748932a</t>
  </si>
  <si>
    <t xml:space="preserve">2024-04-30 07:32:42-05:00</t>
  </si>
  <si>
    <t xml:space="preserve">2024:04:30 07:32:42-05:00</t>
  </si>
  <si>
    <t xml:space="preserve">[0 - 930177], [946563 - 951845]</t>
  </si>
  <si>
    <t xml:space="preserve">Signature_d12d9511-7514-46da-97bf-01fbb78e3907</t>
  </si>
  <si>
    <t xml:space="preserve">2024-04-30 07:32:39-05:00</t>
  </si>
  <si>
    <t xml:space="preserve">2024:04:30 07:32:39-05:00</t>
  </si>
  <si>
    <t xml:space="preserve">[0 - 902831], [919217 - 924947]</t>
  </si>
  <si>
    <t xml:space="preserve">Signature_459c84f6-e61a-4a13-81f6-5d548ad81d0b</t>
  </si>
  <si>
    <t xml:space="preserve">2024-04-30 07:32:38-05:00</t>
  </si>
  <si>
    <t xml:space="preserve">2024:04:30 07:32:38-05:00</t>
  </si>
  <si>
    <t xml:space="preserve">[0 - 276499], [292885 - 301372]</t>
  </si>
  <si>
    <t xml:space="preserve">Signature_4da24ca7-2ae2-4b2a-bda1-78b8d99e183b</t>
  </si>
  <si>
    <t xml:space="preserve">2024-04-30 07:32:43-05:00</t>
  </si>
  <si>
    <t xml:space="preserve">2024:04:30 07:32:43-05:00</t>
  </si>
  <si>
    <t xml:space="preserve">Signature_13a83f42-9022-419d-9b07-07c48af0552f</t>
  </si>
  <si>
    <t xml:space="preserve">2024-04-30 07:32:40-05:00</t>
  </si>
  <si>
    <t xml:space="preserve">2024:04:30 07:32:40-05:00</t>
  </si>
  <si>
    <t xml:space="preserve">[0 - 856092], [872478 - 877451]</t>
  </si>
  <si>
    <t xml:space="preserve">Signature_a30bbe41-ed10-49b8-bac0-777c874d871b</t>
  </si>
  <si>
    <t xml:space="preserve">2024-04-30 07:32:37-05:00</t>
  </si>
  <si>
    <t xml:space="preserve">2024:04:30 07:32:37-05:00</t>
  </si>
  <si>
    <t xml:space="preserve">Signature_e2961ad9-fdd8-4d35-9736-4349b531902b</t>
  </si>
  <si>
    <t xml:space="preserve">2024-04-30 07:32:45-05:00</t>
  </si>
  <si>
    <t xml:space="preserve">2024:04:30 07:32:45-05:00</t>
  </si>
  <si>
    <t xml:space="preserve">[0 - 991511], [1007897 - 1016429]</t>
  </si>
  <si>
    <t xml:space="preserve">Signature_48ff5192-732d-4092-98aa-543b1e2236a9</t>
  </si>
  <si>
    <t xml:space="preserve">2024-04-30 07:32:41-05:00</t>
  </si>
  <si>
    <t xml:space="preserve">2024:04:30 07:32:41-05:00</t>
  </si>
  <si>
    <t xml:space="preserve">[0 - 854386], [870772 - 876650]</t>
  </si>
  <si>
    <t xml:space="preserve">Signature_81c16eb3-ccf6-4f1d-a862-c24993aa0eca</t>
  </si>
  <si>
    <t xml:space="preserve">2024-04-30 07:34:10-05:00</t>
  </si>
  <si>
    <t xml:space="preserve">2024:04:30 07:34:10-05:00</t>
  </si>
  <si>
    <t xml:space="preserve">[0 - 349583], [365969 - 372110]</t>
  </si>
  <si>
    <t xml:space="preserve">Signature_7f4b278a-011c-494f-87e2-da8bf3333a78</t>
  </si>
  <si>
    <t xml:space="preserve">2024-04-30 07:34:12-05:00</t>
  </si>
  <si>
    <t xml:space="preserve">2024:04:30 07:34:13-05:00</t>
  </si>
  <si>
    <t xml:space="preserve">[0 - 424183], [440569 - 443228]</t>
  </si>
  <si>
    <t xml:space="preserve">Signature_69daa075-c3bf-4a17-a89a-76b7486b412d</t>
  </si>
  <si>
    <t xml:space="preserve">2024-04-30 07:34:08-05:00</t>
  </si>
  <si>
    <t xml:space="preserve">2024:04:30 07:34:08-05:00</t>
  </si>
  <si>
    <t xml:space="preserve">[0 - 90745], [107131 - 111570]</t>
  </si>
  <si>
    <t xml:space="preserve">Signature_c5747b32-c0d1-4ec2-8530-d207a68a1dc0</t>
  </si>
  <si>
    <t xml:space="preserve">2024-04-30 07:34:03-05:00</t>
  </si>
  <si>
    <t xml:space="preserve">2024:04:30 07:34:03-05:00</t>
  </si>
  <si>
    <t xml:space="preserve">[0 - 248336], [264722 - 269330]</t>
  </si>
  <si>
    <t xml:space="preserve">Signature_3e480479-6963-401a-960f-24598cf70603</t>
  </si>
  <si>
    <t xml:space="preserve">2024-04-30 07:34:00-05:00</t>
  </si>
  <si>
    <t xml:space="preserve">2024:04:30 07:34:00-05:00</t>
  </si>
  <si>
    <t xml:space="preserve">[0 - 234758], [251144 - 255753]</t>
  </si>
  <si>
    <t xml:space="preserve">Signature_5a11b338-34c7-4dce-b9a6-585ba6b678f1</t>
  </si>
  <si>
    <t xml:space="preserve">2024-04-30 07:34:09-05:00</t>
  </si>
  <si>
    <t xml:space="preserve">2024:04:30 07:34:09-05:00</t>
  </si>
  <si>
    <t xml:space="preserve">[0 - 185017], [201403 - 205843]</t>
  </si>
  <si>
    <t xml:space="preserve">Signature_7222d3ac-9f23-48d1-b649-733960e8f51f</t>
  </si>
  <si>
    <t xml:space="preserve">2024-04-30 07:34:04-05:00</t>
  </si>
  <si>
    <t xml:space="preserve">2024:04:30 07:34:04-05:00</t>
  </si>
  <si>
    <t xml:space="preserve">[0 - 837799], [854185 - 859158]</t>
  </si>
  <si>
    <t xml:space="preserve">Signature_f2ecde52-448d-48cc-83b3-e97a666e81dd</t>
  </si>
  <si>
    <t xml:space="preserve">2024-04-30 07:34:02-05:00</t>
  </si>
  <si>
    <t xml:space="preserve">2024:04:30 07:34:02-05:00</t>
  </si>
  <si>
    <t xml:space="preserve">[0 - 1019090], [1035476 - 1044009]</t>
  </si>
  <si>
    <t xml:space="preserve">Signature_99376d4f-4aab-42d0-aa5b-2f9fefa9ffa3</t>
  </si>
  <si>
    <t xml:space="preserve">2024-04-30 07:34:07-05:00</t>
  </si>
  <si>
    <t xml:space="preserve">2024:04:30 07:34:07-05:00</t>
  </si>
  <si>
    <t xml:space="preserve">[0 - 740823], [757209 - 763210]</t>
  </si>
  <si>
    <t xml:space="preserve">Signature_fd96564a-9874-484b-abcb-09dc017bffc8</t>
  </si>
  <si>
    <t xml:space="preserve">2024-04-30 07:34:05-05:00</t>
  </si>
  <si>
    <t xml:space="preserve">2024:04:30 07:34:05-05:00</t>
  </si>
  <si>
    <t xml:space="preserve">[0 - 956938], [973324 - 977826]</t>
  </si>
  <si>
    <t xml:space="preserve">Signature_40303ac8-3108-4363-9d1a-2670df5b3fb8</t>
  </si>
  <si>
    <t xml:space="preserve">2024-04-30 07:34:11-05:00</t>
  </si>
  <si>
    <t xml:space="preserve">2024:04:30 07:34:11-05:00</t>
  </si>
  <si>
    <t xml:space="preserve">[0 - 513265], [529651 - 538182]</t>
  </si>
  <si>
    <t xml:space="preserve">Signature_302d4d61-1f25-4197-8aef-0a9829edd140</t>
  </si>
  <si>
    <t xml:space="preserve">2024-04-30 07:34:06-05:00</t>
  </si>
  <si>
    <t xml:space="preserve">2024:04:30 07:34:06-05:00</t>
  </si>
  <si>
    <t xml:space="preserve">[0 - 798163], [814549 - 819280]</t>
  </si>
  <si>
    <t xml:space="preserve">Signature_6267a619-a3d6-45f8-90b0-925c15f67dff</t>
  </si>
  <si>
    <t xml:space="preserve">2024-04-30 07:34:51-05:00</t>
  </si>
  <si>
    <t xml:space="preserve">2024:04:30 07:34:52-05:00</t>
  </si>
  <si>
    <t xml:space="preserve">[0 - 475658], [492044 - 495267]</t>
  </si>
  <si>
    <t xml:space="preserve">Signature_1a63ff67-51c4-4aa8-af6d-e8fe2f36d7aa</t>
  </si>
  <si>
    <t xml:space="preserve">2024-04-30 07:34:49-05:00</t>
  </si>
  <si>
    <t xml:space="preserve">2024:04:30 07:34:49-05:00</t>
  </si>
  <si>
    <t xml:space="preserve">[0 - 938891], [955277 - 961026]</t>
  </si>
  <si>
    <t xml:space="preserve">Signature_6dc695b4-81dd-422c-b38b-f4b8417c09c2</t>
  </si>
  <si>
    <t xml:space="preserve">2024-04-30 07:34:48-05:00</t>
  </si>
  <si>
    <t xml:space="preserve">2024:04:30 07:34:48-05:00</t>
  </si>
  <si>
    <t xml:space="preserve">[0 - 97800], [114186 - 118688]</t>
  </si>
  <si>
    <t xml:space="preserve">Signature_ddf47b88-5506-4afe-8b07-2210639c7bf8</t>
  </si>
  <si>
    <t xml:space="preserve">2024-04-30 07:34:50-05:00</t>
  </si>
  <si>
    <t xml:space="preserve">2024:04:30 07:34:50-05:00</t>
  </si>
  <si>
    <t xml:space="preserve">[0 - 114161], [130547 - 139078]</t>
  </si>
  <si>
    <t xml:space="preserve">Signature_2ae1e031-39b1-4ad7-9714-19978698d29e</t>
  </si>
  <si>
    <t xml:space="preserve">2024-04-30 07:35:50-05:00</t>
  </si>
  <si>
    <t xml:space="preserve">2024:04:30 07:35:50-05:00</t>
  </si>
  <si>
    <t xml:space="preserve">Signature_7b428a26-7434-4f5c-b9ae-c41e8687c9d5</t>
  </si>
  <si>
    <t xml:space="preserve">2024-04-30 07:35:58-05:00</t>
  </si>
  <si>
    <t xml:space="preserve">2024:04:30 07:35:58-05:00</t>
  </si>
  <si>
    <t xml:space="preserve">[0 - 970049], [986435 - 990670]</t>
  </si>
  <si>
    <t xml:space="preserve">Signature_c0a7f4f4-18c2-467b-a74e-2ce694b1325b</t>
  </si>
  <si>
    <t xml:space="preserve">2024-04-30 07:35:48-05:00</t>
  </si>
  <si>
    <t xml:space="preserve">2024:04:30 07:35:48-05:00</t>
  </si>
  <si>
    <t xml:space="preserve">[0 - 234846], [251232 - 255844]</t>
  </si>
  <si>
    <t xml:space="preserve">Signature_b6491ad9-1de3-4d01-9464-2b0aca78576e</t>
  </si>
  <si>
    <t xml:space="preserve">2024-04-30 07:35:57-05:00</t>
  </si>
  <si>
    <t xml:space="preserve">2024:04:30 07:35:57-05:00</t>
  </si>
  <si>
    <t xml:space="preserve">[0 - 113950], [130336 - 135979]</t>
  </si>
  <si>
    <t xml:space="preserve">Signature_8439a4f6-2d63-4202-b101-4d22b7daf246</t>
  </si>
  <si>
    <t xml:space="preserve">2024-04-30 07:35:53-05:00</t>
  </si>
  <si>
    <t xml:space="preserve">2024:04:30 07:35:53-05:00</t>
  </si>
  <si>
    <t xml:space="preserve">[0 - 114980], [131366 - 137081]</t>
  </si>
  <si>
    <t xml:space="preserve">Signature_e686b8fb-73f0-483a-9575-9890262194a1</t>
  </si>
  <si>
    <t xml:space="preserve">2024-04-30 07:35:56-05:00</t>
  </si>
  <si>
    <t xml:space="preserve">2024:04:30 07:35:56-05:00</t>
  </si>
  <si>
    <t xml:space="preserve">[0 - 822698], [839084 - 844616]</t>
  </si>
  <si>
    <t xml:space="preserve">Signature_a8779f14-4151-42d7-8378-4429dbd1aaa2</t>
  </si>
  <si>
    <t xml:space="preserve">2024-04-30 07:35:52-05:00</t>
  </si>
  <si>
    <t xml:space="preserve">2024:04:30 07:35:52-05:00</t>
  </si>
  <si>
    <t xml:space="preserve">[0 - 234887], [251273 - 255884]</t>
  </si>
  <si>
    <t xml:space="preserve">Signature_947a298b-7129-4901-b34f-d3cef51c30df</t>
  </si>
  <si>
    <t xml:space="preserve">2024-04-30 07:35:51-05:00</t>
  </si>
  <si>
    <t xml:space="preserve">2024:04:30 07:35:51-05:00</t>
  </si>
  <si>
    <t xml:space="preserve">[0 - 234670], [251056 - 255668]</t>
  </si>
  <si>
    <t xml:space="preserve">Signature_277e8c41-904e-4d8d-b499-35e31afc5ba7</t>
  </si>
  <si>
    <t xml:space="preserve">2024-04-30 07:35:49-05:00</t>
  </si>
  <si>
    <t xml:space="preserve">2024:04:30 07:35:49-05:00</t>
  </si>
  <si>
    <t xml:space="preserve">Signature_e8dc7d18-ecc2-4d23-b5e5-fd1f6af26424</t>
  </si>
  <si>
    <t xml:space="preserve">2024-04-30 07:35:55-05:00</t>
  </si>
  <si>
    <t xml:space="preserve">2024:04:30 07:35:55-05:00</t>
  </si>
  <si>
    <t xml:space="preserve">Signature_d203eadc-10df-47c0-a13c-67a2c0909012</t>
  </si>
  <si>
    <t xml:space="preserve">2024-04-30 07:35:47-05:00</t>
  </si>
  <si>
    <t xml:space="preserve">2024:04:30 07:35:47-05:00</t>
  </si>
  <si>
    <t xml:space="preserve">[0 - 63161], [79547 - 88032]</t>
  </si>
  <si>
    <t xml:space="preserve">Signature_14d29760-cac3-4eb9-ac74-b91d54076645</t>
  </si>
  <si>
    <t xml:space="preserve">2024-04-30 07:36:34-05:00</t>
  </si>
  <si>
    <t xml:space="preserve">2024:04:30 07:36:35-05:00</t>
  </si>
  <si>
    <t xml:space="preserve">[0 - 424191], [440577 - 443236]</t>
  </si>
  <si>
    <t xml:space="preserve">Signature_9485bc35-f5df-497e-960d-849817103183</t>
  </si>
  <si>
    <t xml:space="preserve">2024-04-30 07:36:33-05:00</t>
  </si>
  <si>
    <t xml:space="preserve">2024:04:30 07:36:33-05:00</t>
  </si>
  <si>
    <t xml:space="preserve">[0 - 430508], [446894 - 455381]</t>
  </si>
  <si>
    <t xml:space="preserve">Signature_c1c258f4-0d0c-42f0-a6e9-ee5e6d58d8d4</t>
  </si>
  <si>
    <t xml:space="preserve">2024-04-30 07:36:31-05:00</t>
  </si>
  <si>
    <t xml:space="preserve">2024:04:30 07:36:31-05:00</t>
  </si>
  <si>
    <t xml:space="preserve">[0 - 830485], [846871 - 855402]</t>
  </si>
  <si>
    <t xml:space="preserve">Signature_0df59587-1b2b-4afb-8cb7-7eed49c43d03</t>
  </si>
  <si>
    <t xml:space="preserve">2024-04-30 07:36:29-05:00</t>
  </si>
  <si>
    <t xml:space="preserve">2024:04:30 07:36:29-05:00</t>
  </si>
  <si>
    <t xml:space="preserve">[0 - 822926], [839312 - 844883]</t>
  </si>
  <si>
    <t xml:space="preserve">Signature_918cd28b-6ba0-4f7a-9882-f100cd221a8f</t>
  </si>
  <si>
    <t xml:space="preserve">2024-04-30 07:36:27-05:00</t>
  </si>
  <si>
    <t xml:space="preserve">2024:04:30 07:36:27-05:00</t>
  </si>
  <si>
    <t xml:space="preserve">[0 - 720573], [736959 - 741960]</t>
  </si>
  <si>
    <t xml:space="preserve">Signature_a06139e7-9c6f-4aa6-b386-e4c5282f5762</t>
  </si>
  <si>
    <t xml:space="preserve">2024-04-30 07:36:25-05:00</t>
  </si>
  <si>
    <t xml:space="preserve">2024:04:30 07:36:25-05:00</t>
  </si>
  <si>
    <t xml:space="preserve">[0 - 265770], [282156 - 286916]</t>
  </si>
  <si>
    <t xml:space="preserve">Signature_7207ba91-9514-4f67-bbc3-fdca819c3733</t>
  </si>
  <si>
    <t xml:space="preserve">2024-04-30 07:36:26-05:00</t>
  </si>
  <si>
    <t xml:space="preserve">2024:04:30 07:36:26-05:00</t>
  </si>
  <si>
    <t xml:space="preserve">[0 - 248232], [264618 - 269227]</t>
  </si>
  <si>
    <t xml:space="preserve">Signature_f1074919-bca1-4d98-b2ad-200b4265d096</t>
  </si>
  <si>
    <t xml:space="preserve">2024-04-30 07:36:24-05:00</t>
  </si>
  <si>
    <t xml:space="preserve">2024:04:30 07:36:24-05:00</t>
  </si>
  <si>
    <t xml:space="preserve">[0 - 234434], [250820 - 255428]</t>
  </si>
  <si>
    <t xml:space="preserve">Signature_c52e4b4e-18e2-421a-9085-af31392bcb97</t>
  </si>
  <si>
    <t xml:space="preserve">2024-04-30 07:36:32-05:00</t>
  </si>
  <si>
    <t xml:space="preserve">2024:04:30 07:36:32-05:00</t>
  </si>
  <si>
    <t xml:space="preserve">[0 - 997468], [1013854 - 1022386]</t>
  </si>
  <si>
    <t xml:space="preserve">Signature_27302d75-a96f-42c5-92b6-0281ccdbbf9c</t>
  </si>
  <si>
    <t xml:space="preserve">2024-04-30 07:36:28-05:00</t>
  </si>
  <si>
    <t xml:space="preserve">2024:04:30 07:36:28-05:00</t>
  </si>
  <si>
    <t xml:space="preserve">[0 - 815767], [832153 - 837229]</t>
  </si>
  <si>
    <t xml:space="preserve">Signature_159fbd97-7333-4fb3-a1ac-7296d84be4ce</t>
  </si>
  <si>
    <t xml:space="preserve">2024-04-30 07:36:30-05:00</t>
  </si>
  <si>
    <t xml:space="preserve">2024:04:30 07:36:30-05:00</t>
  </si>
  <si>
    <t xml:space="preserve">[0 - 801223], [817609 - 826096]</t>
  </si>
  <si>
    <t xml:space="preserve">Signature_2c976a87-4a6c-4af4-8210-ecf60f13eee5</t>
  </si>
  <si>
    <t xml:space="preserve">2024-04-30 07:20:30-05:00</t>
  </si>
  <si>
    <t xml:space="preserve">2024:04:30 07:20:30-05:00</t>
  </si>
  <si>
    <t xml:space="preserve">[0 - 463671], [480057 - 483045]</t>
  </si>
  <si>
    <t xml:space="preserve">Signature_3b465381-ec11-49cc-8778-8edc7d4ce79c</t>
  </si>
  <si>
    <t xml:space="preserve">2024-04-30 07:20:27-05:00</t>
  </si>
  <si>
    <t xml:space="preserve">2024:04:30 07:20:27-05:00</t>
  </si>
  <si>
    <t xml:space="preserve">[0 - 87770], [104156 - 112642]</t>
  </si>
  <si>
    <t xml:space="preserve">Signature_5c6cdc15-d1ca-4a4e-961e-7e12d1ed529d</t>
  </si>
  <si>
    <t xml:space="preserve">2024-04-30 07:20:26-05:00</t>
  </si>
  <si>
    <t xml:space="preserve">2024:04:30 07:20:26-05:00</t>
  </si>
  <si>
    <t xml:space="preserve">[0 - 235870], [252256 - 257375]</t>
  </si>
  <si>
    <t xml:space="preserve">Signature_18e950cc-e011-4890-8bde-000b89f7787c</t>
  </si>
  <si>
    <t xml:space="preserve">2024-04-30 07:20:29-05:00</t>
  </si>
  <si>
    <t xml:space="preserve">2024:04:30 07:20:29-05:00</t>
  </si>
  <si>
    <t xml:space="preserve">[0 - 681368], [697754 - 703249]</t>
  </si>
  <si>
    <t xml:space="preserve">Signature_a5910120-2981-4322-90d7-495f258a7acc</t>
  </si>
  <si>
    <t xml:space="preserve">2024-04-30 07:37:27-05:00</t>
  </si>
  <si>
    <t xml:space="preserve">2024:04:30 07:37:27-05:00</t>
  </si>
  <si>
    <t xml:space="preserve">[0 - 348527], [364913 - 371019]</t>
  </si>
  <si>
    <t xml:space="preserve">Signature_8a769c28-a552-4d05-8727-86de41c1f52d</t>
  </si>
  <si>
    <t xml:space="preserve">2024-04-30 07:37:31-05:00</t>
  </si>
  <si>
    <t xml:space="preserve">2024:04:30 07:37:31-05:00</t>
  </si>
  <si>
    <t xml:space="preserve">[0 - 425924], [442310 - 444969]</t>
  </si>
  <si>
    <t xml:space="preserve">Signature_bb854758-756c-41a6-8171-658453506ac2</t>
  </si>
  <si>
    <t xml:space="preserve">2024-04-30 07:37:29-05:00</t>
  </si>
  <si>
    <t xml:space="preserve">2024:04:30 07:37:29-05:00</t>
  </si>
  <si>
    <t xml:space="preserve">[0 - 72355], [88741 - 97226]</t>
  </si>
  <si>
    <t xml:space="preserve">Signature_d752f80e-23da-4343-9325-0f52d3fd763a</t>
  </si>
  <si>
    <t xml:space="preserve">2024-04-30 07:37:14-05:00</t>
  </si>
  <si>
    <t xml:space="preserve">2024:04:30 07:37:14-05:00</t>
  </si>
  <si>
    <t xml:space="preserve">[0 - 88278], [104664 - 113150]</t>
  </si>
  <si>
    <t xml:space="preserve">Signature_b66e516e-1866-4333-bac0-414f6532f50d</t>
  </si>
  <si>
    <t xml:space="preserve">2024-04-30 07:37:16-05:00</t>
  </si>
  <si>
    <t xml:space="preserve">2024:04:30 07:37:16-05:00</t>
  </si>
  <si>
    <t xml:space="preserve">[0 - 181788], [198174 - 206705]</t>
  </si>
  <si>
    <t xml:space="preserve">Signature_9df3e10b-fec5-4575-9df3-81143d2c8cab</t>
  </si>
  <si>
    <t xml:space="preserve">2024-04-30 07:37:20-05:00</t>
  </si>
  <si>
    <t xml:space="preserve">2024:04:30 07:37:20-05:00</t>
  </si>
  <si>
    <t xml:space="preserve">[0 - 93525], [109911 - 114463]</t>
  </si>
  <si>
    <t xml:space="preserve">Signature_24ddef0b-ec53-4742-923c-e7bbd775cedc</t>
  </si>
  <si>
    <t xml:space="preserve">2024-04-30 07:37:28-05:00</t>
  </si>
  <si>
    <t xml:space="preserve">2024:04:30 07:37:28-05:00</t>
  </si>
  <si>
    <t xml:space="preserve">[0 - 75364], [91750 - 100235]</t>
  </si>
  <si>
    <t xml:space="preserve">Signature_cc57d3c2-2ed5-42a5-9f51-53c82f719c71</t>
  </si>
  <si>
    <t xml:space="preserve">2024-04-30 07:37:26-05:00</t>
  </si>
  <si>
    <t xml:space="preserve">2024:04:30 07:37:26-05:00</t>
  </si>
  <si>
    <t xml:space="preserve">[0 - 93159], [109545 - 113990]</t>
  </si>
  <si>
    <t xml:space="preserve">Signature_e3ddf857-6d74-4652-b620-b730fc8a4c27</t>
  </si>
  <si>
    <t xml:space="preserve">2024-04-30 07:37:23-05:00</t>
  </si>
  <si>
    <t xml:space="preserve">2024:04:30 07:37:23-05:00</t>
  </si>
  <si>
    <t xml:space="preserve">[0 - 75926], [92312 - 96784]</t>
  </si>
  <si>
    <t xml:space="preserve">Signature_d8424d6a-d684-4628-a01e-3c1726ee7de5</t>
  </si>
  <si>
    <t xml:space="preserve">2024-04-30 07:37:25-05:00</t>
  </si>
  <si>
    <t xml:space="preserve">2024:04:30 07:37:25-05:00</t>
  </si>
  <si>
    <t xml:space="preserve">[0 - 74478], [90864 - 95336]</t>
  </si>
  <si>
    <t xml:space="preserve">Signature_9057e41b-6a21-4d81-8bf6-dabd4ad9bb41</t>
  </si>
  <si>
    <t xml:space="preserve">2024-04-30 07:37:19-05:00</t>
  </si>
  <si>
    <t xml:space="preserve">2024:04:30 07:37:19-05:00</t>
  </si>
  <si>
    <t xml:space="preserve">[0 - 709401], [725787 - 730368]</t>
  </si>
  <si>
    <t xml:space="preserve">Signature_72cf60e7-37f4-40c1-a4a0-8361659d9b3f</t>
  </si>
  <si>
    <t xml:space="preserve">2024-04-30 07:37:13-05:00</t>
  </si>
  <si>
    <t xml:space="preserve">2024:04:30 07:37:13-05:00</t>
  </si>
  <si>
    <t xml:space="preserve">[0 - 539592], [555978 - 564465]</t>
  </si>
  <si>
    <t xml:space="preserve">Signature_70ed4001-96ca-4a20-b5d2-3334fae67cef</t>
  </si>
  <si>
    <t xml:space="preserve">2024-04-30 07:37:22-05:00</t>
  </si>
  <si>
    <t xml:space="preserve">2024:04:30 07:37:22-05:00</t>
  </si>
  <si>
    <t xml:space="preserve">[0 - 821037], [837423 - 843025]</t>
  </si>
  <si>
    <t xml:space="preserve">Signature_3984a9db-0684-46d2-b6f2-42fe63abfab2</t>
  </si>
  <si>
    <t xml:space="preserve">2024-04-30 07:37:21-05:00</t>
  </si>
  <si>
    <t xml:space="preserve">2024:04:30 07:37:21-05:00</t>
  </si>
  <si>
    <t xml:space="preserve">[0 - 833173], [849559 - 854155]</t>
  </si>
  <si>
    <t xml:space="preserve">Signature_d6f04b38-c5a3-4755-90ed-a8fa14aecb13</t>
  </si>
  <si>
    <t xml:space="preserve">2024-04-30 07:37:24-05:00</t>
  </si>
  <si>
    <t xml:space="preserve">2024:04:30 07:37:24-05:00</t>
  </si>
  <si>
    <t xml:space="preserve">[0 - 193417], [209803 - 214282]</t>
  </si>
  <si>
    <t xml:space="preserve">Signature_d3fcf9c2-7146-449d-9ea8-14f8c58ee37c</t>
  </si>
  <si>
    <t xml:space="preserve">2024-04-30 07:37:17-05:00</t>
  </si>
  <si>
    <t xml:space="preserve">2024:04:30 07:37:17-05:00</t>
  </si>
  <si>
    <t xml:space="preserve">[0 - 119978], [136364 - 144895]</t>
  </si>
  <si>
    <t xml:space="preserve">Signature_cc9387af-e0c8-46da-96d9-30892a9eb98a</t>
  </si>
  <si>
    <t xml:space="preserve">2024-04-30 07:37:18-05:00</t>
  </si>
  <si>
    <t xml:space="preserve">2024:04:30 07:37:18-05:00</t>
  </si>
  <si>
    <t xml:space="preserve">[0 - 193537], [209923 - 218410]</t>
  </si>
  <si>
    <t xml:space="preserve">Signature_c9c4bdbf-dd49-4891-a33c-1e0e864e56a5</t>
  </si>
  <si>
    <t xml:space="preserve">2024-04-30 07:38:06-05:00</t>
  </si>
  <si>
    <t xml:space="preserve">2024:04:30 07:38:06-05:00</t>
  </si>
  <si>
    <t xml:space="preserve">[0 - 2512209], [2528595 - 2533186]</t>
  </si>
  <si>
    <t xml:space="preserve">Signature_2c30da46-b2a4-4adf-a626-67582d4aa313</t>
  </si>
  <si>
    <t xml:space="preserve">2024-04-30 07:38:07-05:00</t>
  </si>
  <si>
    <t xml:space="preserve">2024:04:30 07:38:07-05:00</t>
  </si>
  <si>
    <t xml:space="preserve">[0 - 366868], [383254 - 387757]</t>
  </si>
  <si>
    <t xml:space="preserve">Signature_ccc852bd-a9e5-4e66-85d5-88fb28211609</t>
  </si>
  <si>
    <t xml:space="preserve">2024-04-30 07:38:08-05:00</t>
  </si>
  <si>
    <t xml:space="preserve">2024:04:30 07:38:09-05:00</t>
  </si>
  <si>
    <t xml:space="preserve">[0 - 425787], [442173 - 444832]</t>
  </si>
  <si>
    <t xml:space="preserve">Signature_644e2655-656d-4b5b-b5e1-448a938a4a98</t>
  </si>
  <si>
    <t xml:space="preserve">2024-04-30 07:38:02-05:00</t>
  </si>
  <si>
    <t xml:space="preserve">2024:04:30 07:38:02-05:00</t>
  </si>
  <si>
    <t xml:space="preserve">[0 - 806629], [823015 - 828277]</t>
  </si>
  <si>
    <t xml:space="preserve">Signature_8f76c0a5-a7dd-405d-890a-1987eebfd140</t>
  </si>
  <si>
    <t xml:space="preserve">2024-04-30 07:38:04-05:00</t>
  </si>
  <si>
    <t xml:space="preserve">2024:04:30 07:38:04-05:00</t>
  </si>
  <si>
    <t xml:space="preserve">[0 - 709430], [725816 - 730399]</t>
  </si>
  <si>
    <t xml:space="preserve">Signature_6c2019c0-1389-4214-9a10-d63726552d6c</t>
  </si>
  <si>
    <t xml:space="preserve">2024-04-30 07:38:03-05:00</t>
  </si>
  <si>
    <t xml:space="preserve">2024:04:30 07:38:03-05:00</t>
  </si>
  <si>
    <t xml:space="preserve">[0 - 800812], [817198 - 821796]</t>
  </si>
  <si>
    <t xml:space="preserve">Signature_e72ac2ca-2fe7-4b3a-a806-dd4dce9e6d51</t>
  </si>
  <si>
    <t xml:space="preserve">[0 - 824142], [840528 - 846099]</t>
  </si>
  <si>
    <t xml:space="preserve">Signature_beb7f219-da93-439e-bb65-3d99b794ea62</t>
  </si>
  <si>
    <t xml:space="preserve">2024-04-30 07:38:05-05:00</t>
  </si>
  <si>
    <t xml:space="preserve">2024:04:30 07:38:05-05:00</t>
  </si>
  <si>
    <t xml:space="preserve">[0 - 966416], [982802 - 987373]</t>
  </si>
  <si>
    <t xml:space="preserve">Signature_673077bf-6689-4fbe-a9d0-ea56299a8793</t>
  </si>
  <si>
    <t xml:space="preserve">2024-04-30 07:38:01-05:00</t>
  </si>
  <si>
    <t xml:space="preserve">2024:04:30 07:38:01-05:00</t>
  </si>
  <si>
    <t xml:space="preserve">[0 - 896021], [912407 - 916983]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</si>
</sst>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sz val="10"/>
      <color rgb="FF000080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T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3" activeCellId="0" sqref="F13"/>
    </sheetView>
  </sheetViews>
  <sheetFormatPr defaultColWidth="11.53515625" defaultRowHeight="15" zeroHeight="false" outlineLevelRow="0" outlineLevelCol="0"/>
  <cols>
    <col collapsed="false" customWidth="true" hidden="false" outlineLevel="0" max="1" min="1" style="1" width="12.5"/>
    <col collapsed="false" customWidth="true" hidden="false" outlineLevel="0" max="2" min="2" style="2" width="124.21"/>
    <col collapsed="false" customWidth="true" hidden="false" outlineLevel="0" max="5" min="3" style="1" width="17.48"/>
    <col collapsed="false" customWidth="true" hidden="false" outlineLevel="0" max="6" min="6" style="3" width="17.48"/>
    <col collapsed="false" customWidth="true" hidden="false" outlineLevel="0" max="7" min="7" style="3" width="58.07"/>
    <col collapsed="false" customWidth="true" hidden="false" outlineLevel="0" max="8" min="8" style="1" width="57.23"/>
    <col collapsed="false" customWidth="true" hidden="false" outlineLevel="0" max="9" min="9" style="1" width="22.92"/>
    <col collapsed="false" customWidth="true" hidden="false" outlineLevel="0" max="10" min="10" style="3" width="31.1"/>
    <col collapsed="false" customWidth="true" hidden="false" outlineLevel="0" max="11" min="11" style="3" width="30.7"/>
    <col collapsed="false" customWidth="true" hidden="false" outlineLevel="0" max="12" min="12" style="3" width="42.79"/>
    <col collapsed="false" customWidth="true" hidden="false" outlineLevel="0" max="13" min="13" style="3" width="17.64"/>
    <col collapsed="false" customWidth="true" hidden="false" outlineLevel="0" max="14" min="14" style="3" width="17.36"/>
    <col collapsed="false" customWidth="true" hidden="false" outlineLevel="0" max="16" min="15" style="1" width="19.17"/>
    <col collapsed="false" customWidth="true" hidden="false" outlineLevel="0" max="17" min="17" style="1" width="25.42"/>
    <col collapsed="false" customWidth="true" hidden="false" outlineLevel="0" max="18" min="18" style="1" width="28.9"/>
    <col collapsed="false" customWidth="true" hidden="false" outlineLevel="0" max="19" min="19" style="1" width="26.95"/>
    <col collapsed="false" customWidth="true" hidden="false" outlineLevel="0" max="20" min="20" style="1" width="23.2"/>
    <col collapsed="false" customWidth="true" hidden="false" outlineLevel="0" max="21" min="21" style="0" width="27.46"/>
    <col collapsed="false" customWidth="false" hidden="false" outlineLevel="0" max="1014" min="22" style="4" width="11.52"/>
  </cols>
  <sheetData>
    <row r="1" customFormat="false" ht="23.05" hidden="false" customHeight="true" outlineLevel="0" collapsed="false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customFormat="false" ht="18.7" hidden="false" customHeight="true" outlineLevel="0" collapsed="false">
      <c r="A2" s="1" t="n">
        <v>1</v>
      </c>
      <c r="B2" s="6" t="str">
        <f aca="false">HYPERLINK("https://mncourtfraud.com/file/MCRO_27-CR-17-1555_Correspondence for Judicial Approval_2022-12-27_20240430093546.pdf","MCRO_27-CR-17-1555_Correspondence for Judicial Approval_2022-12-27_20240430093546.pdf")</f>
        <v>MCRO_27-CR-17-1555_Correspondence for Judicial Approval_2022-12-27_20240430093546.pdf</v>
      </c>
      <c r="C2" s="1" t="n">
        <v>4</v>
      </c>
      <c r="D2" s="1" t="n">
        <v>1</v>
      </c>
      <c r="E2" s="1" t="n">
        <v>1</v>
      </c>
      <c r="F2" s="3" t="s">
        <v>20</v>
      </c>
      <c r="G2" s="3" t="s">
        <v>21</v>
      </c>
      <c r="H2" s="1" t="s">
        <v>22</v>
      </c>
      <c r="I2" s="1" t="n">
        <v>20240430093546</v>
      </c>
      <c r="J2" s="3" t="s">
        <v>23</v>
      </c>
      <c r="K2" s="3" t="s">
        <v>24</v>
      </c>
      <c r="L2" s="3" t="s">
        <v>25</v>
      </c>
      <c r="M2" s="3" t="n">
        <v>207899</v>
      </c>
      <c r="N2" s="3" t="s">
        <v>26</v>
      </c>
      <c r="O2" s="1" t="n">
        <v>191513</v>
      </c>
      <c r="P2" s="1" t="n">
        <v>92.12</v>
      </c>
      <c r="Q2" s="1" t="s">
        <v>20</v>
      </c>
      <c r="R2" s="1" t="s">
        <v>27</v>
      </c>
      <c r="S2" s="1" t="s">
        <v>28</v>
      </c>
      <c r="T2" s="1" t="s">
        <v>29</v>
      </c>
    </row>
    <row r="3" customFormat="false" ht="18.7" hidden="false" customHeight="true" outlineLevel="0" collapsed="false">
      <c r="A3" s="1" t="n">
        <v>2</v>
      </c>
      <c r="B3" s="6" t="str">
        <f aca="false">HYPERLINK("https://mncourtfraud.com/file/MCRO_27-CR-17-1555_Demand or Request for Discovery_2017-01-20_20240430093604.pdf","MCRO_27-CR-17-1555_Demand or Request for Discovery_2017-01-20_20240430093604.pdf")</f>
        <v>MCRO_27-CR-17-1555_Demand or Request for Discovery_2017-01-20_20240430093604.pdf</v>
      </c>
      <c r="C3" s="1" t="n">
        <v>3</v>
      </c>
      <c r="D3" s="1" t="n">
        <v>1</v>
      </c>
      <c r="E3" s="1" t="n">
        <v>1</v>
      </c>
      <c r="F3" s="3" t="s">
        <v>20</v>
      </c>
      <c r="G3" s="3" t="s">
        <v>30</v>
      </c>
      <c r="H3" s="1" t="s">
        <v>22</v>
      </c>
      <c r="I3" s="1" t="n">
        <v>20240430093604</v>
      </c>
      <c r="J3" s="3" t="s">
        <v>31</v>
      </c>
      <c r="K3" s="3" t="s">
        <v>32</v>
      </c>
      <c r="L3" s="3" t="s">
        <v>33</v>
      </c>
      <c r="M3" s="3" t="n">
        <v>452809</v>
      </c>
      <c r="N3" s="3" t="s">
        <v>34</v>
      </c>
      <c r="O3" s="1" t="n">
        <v>436423</v>
      </c>
      <c r="P3" s="1" t="n">
        <v>96.38</v>
      </c>
      <c r="Q3" s="1" t="s">
        <v>20</v>
      </c>
      <c r="R3" s="1" t="s">
        <v>27</v>
      </c>
      <c r="S3" s="1" t="s">
        <v>28</v>
      </c>
      <c r="T3" s="1" t="s">
        <v>29</v>
      </c>
    </row>
    <row r="4" customFormat="false" ht="18.7" hidden="false" customHeight="true" outlineLevel="0" collapsed="false">
      <c r="A4" s="1" t="n">
        <v>3</v>
      </c>
      <c r="B4" s="6" t="str">
        <f aca="false">HYPERLINK("https://mncourtfraud.com/file/MCRO_27-CR-17-1555_E-filed Comp-Order for Detention_2017-01-19_20240430093606.pdf","MCRO_27-CR-17-1555_E-filed Comp-Order for Detention_2017-01-19_20240430093606.pdf")</f>
        <v>MCRO_27-CR-17-1555_E-filed Comp-Order for Detention_2017-01-19_20240430093606.pdf</v>
      </c>
      <c r="C4" s="1" t="n">
        <v>5</v>
      </c>
      <c r="D4" s="1" t="n">
        <v>2</v>
      </c>
      <c r="E4" s="1" t="n">
        <v>2</v>
      </c>
      <c r="F4" s="3" t="s">
        <v>20</v>
      </c>
      <c r="G4" s="3" t="s">
        <v>35</v>
      </c>
      <c r="H4" s="1" t="s">
        <v>22</v>
      </c>
      <c r="I4" s="1" t="n">
        <v>20240430093606</v>
      </c>
      <c r="J4" s="3" t="s">
        <v>36</v>
      </c>
      <c r="K4" s="3" t="s">
        <v>37</v>
      </c>
      <c r="L4" s="3" t="s">
        <v>38</v>
      </c>
      <c r="M4" s="3" t="n">
        <v>347493</v>
      </c>
      <c r="N4" s="3" t="s">
        <v>39</v>
      </c>
      <c r="O4" s="1" t="n">
        <v>331107</v>
      </c>
      <c r="P4" s="1" t="n">
        <v>95.28</v>
      </c>
      <c r="Q4" s="1" t="s">
        <v>20</v>
      </c>
      <c r="R4" s="1" t="s">
        <v>27</v>
      </c>
      <c r="S4" s="1" t="s">
        <v>28</v>
      </c>
      <c r="T4" s="1" t="s">
        <v>29</v>
      </c>
    </row>
    <row r="5" customFormat="false" ht="18.7" hidden="false" customHeight="true" outlineLevel="0" collapsed="false">
      <c r="A5" s="1" t="n">
        <v>4</v>
      </c>
      <c r="B5" s="6" t="str">
        <f aca="false">HYPERLINK("https://mncourtfraud.com/file/MCRO_27-CR-17-1555_Find of Fact-Order, Pet Commitment-Dfd Found Incompetent_2017-02-21_20240430093603.pdf","MCRO_27-CR-17-1555_Find of Fact-Order, Pet Commitment-Dfd Found Incompetent_2017-02-21_20240430093603.pdf")</f>
        <v>MCRO_27-CR-17-1555_Find of Fact-Order, Pet Commitment-Dfd Found Incompetent_2017-02-21_20240430093603.pdf</v>
      </c>
      <c r="C5" s="1" t="n">
        <v>4</v>
      </c>
      <c r="D5" s="1" t="n">
        <v>2</v>
      </c>
      <c r="E5" s="1" t="n">
        <v>2</v>
      </c>
      <c r="F5" s="3" t="s">
        <v>20</v>
      </c>
      <c r="G5" s="3" t="s">
        <v>40</v>
      </c>
      <c r="H5" s="1" t="s">
        <v>22</v>
      </c>
      <c r="I5" s="1" t="n">
        <v>20240430093603</v>
      </c>
      <c r="J5" s="3" t="s">
        <v>41</v>
      </c>
      <c r="K5" s="3" t="s">
        <v>42</v>
      </c>
      <c r="L5" s="3" t="s">
        <v>43</v>
      </c>
      <c r="M5" s="3" t="n">
        <v>276100</v>
      </c>
      <c r="N5" s="3" t="s">
        <v>44</v>
      </c>
      <c r="O5" s="1" t="n">
        <v>259714</v>
      </c>
      <c r="P5" s="1" t="n">
        <v>94.07</v>
      </c>
      <c r="Q5" s="1" t="s">
        <v>20</v>
      </c>
      <c r="R5" s="1" t="s">
        <v>27</v>
      </c>
      <c r="S5" s="1" t="s">
        <v>28</v>
      </c>
      <c r="T5" s="1" t="s">
        <v>29</v>
      </c>
    </row>
    <row r="6" customFormat="false" ht="18.7" hidden="false" customHeight="true" outlineLevel="0" collapsed="false">
      <c r="A6" s="1" t="n">
        <v>5</v>
      </c>
      <c r="B6" s="6" t="str">
        <f aca="false">HYPERLINK("https://mncourtfraud.com/file/MCRO_27-CR-17-1555_Find of Fact-Order, Pet Commitment-Dfd Found Incompetent_2020-05-08_20240430093550.pdf","MCRO_27-CR-17-1555_Find of Fact-Order, Pet Commitment-Dfd Found Incompetent_2020-05-08_20240430093550.pdf")</f>
        <v>MCRO_27-CR-17-1555_Find of Fact-Order, Pet Commitment-Dfd Found Incompetent_2020-05-08_20240430093550.pdf</v>
      </c>
      <c r="C6" s="1" t="n">
        <v>3</v>
      </c>
      <c r="D6" s="1" t="n">
        <v>1</v>
      </c>
      <c r="E6" s="1" t="n">
        <v>1</v>
      </c>
      <c r="F6" s="3" t="s">
        <v>20</v>
      </c>
      <c r="G6" s="3" t="s">
        <v>45</v>
      </c>
      <c r="H6" s="1" t="s">
        <v>22</v>
      </c>
      <c r="I6" s="1" t="n">
        <v>20240430093550</v>
      </c>
      <c r="J6" s="3" t="s">
        <v>46</v>
      </c>
      <c r="K6" s="3" t="s">
        <v>47</v>
      </c>
      <c r="L6" s="3" t="s">
        <v>48</v>
      </c>
      <c r="M6" s="3" t="n">
        <v>437107</v>
      </c>
      <c r="N6" s="3" t="s">
        <v>49</v>
      </c>
      <c r="O6" s="1" t="n">
        <v>420721</v>
      </c>
      <c r="P6" s="1" t="n">
        <v>96.25</v>
      </c>
      <c r="Q6" s="1" t="s">
        <v>20</v>
      </c>
      <c r="R6" s="1" t="s">
        <v>27</v>
      </c>
      <c r="S6" s="1" t="s">
        <v>28</v>
      </c>
      <c r="T6" s="1" t="s">
        <v>29</v>
      </c>
    </row>
    <row r="7" customFormat="false" ht="18.7" hidden="false" customHeight="true" outlineLevel="0" collapsed="false">
      <c r="A7" s="1" t="n">
        <v>6</v>
      </c>
      <c r="B7" s="6" t="str">
        <f aca="false">HYPERLINK("https://mncourtfraud.com/file/MCRO_27-CR-17-1555_Memorandum_2024-02-12_20240430093540.pdf","MCRO_27-CR-17-1555_Memorandum_2024-02-12_20240430093540.pdf")</f>
        <v>MCRO_27-CR-17-1555_Memorandum_2024-02-12_20240430093540.pdf</v>
      </c>
      <c r="C7" s="1" t="n">
        <v>3</v>
      </c>
      <c r="D7" s="1" t="n">
        <v>1</v>
      </c>
      <c r="E7" s="1" t="n">
        <v>1</v>
      </c>
      <c r="F7" s="3" t="s">
        <v>20</v>
      </c>
      <c r="G7" s="3" t="s">
        <v>50</v>
      </c>
      <c r="H7" s="1" t="s">
        <v>22</v>
      </c>
      <c r="I7" s="1" t="n">
        <v>20240430093540</v>
      </c>
      <c r="J7" s="3" t="s">
        <v>51</v>
      </c>
      <c r="K7" s="3" t="s">
        <v>52</v>
      </c>
      <c r="L7" s="3" t="s">
        <v>53</v>
      </c>
      <c r="M7" s="3" t="n">
        <v>264108</v>
      </c>
      <c r="N7" s="3" t="s">
        <v>54</v>
      </c>
      <c r="O7" s="1" t="n">
        <v>247722</v>
      </c>
      <c r="P7" s="1" t="n">
        <v>93.8</v>
      </c>
      <c r="Q7" s="1" t="s">
        <v>20</v>
      </c>
      <c r="R7" s="1" t="s">
        <v>27</v>
      </c>
      <c r="S7" s="1" t="s">
        <v>28</v>
      </c>
      <c r="T7" s="1" t="s">
        <v>29</v>
      </c>
    </row>
    <row r="8" customFormat="false" ht="18.7" hidden="false" customHeight="true" outlineLevel="0" collapsed="false">
      <c r="A8" s="1" t="n">
        <v>7</v>
      </c>
      <c r="B8" s="6" t="str">
        <f aca="false">HYPERLINK("https://mncourtfraud.com/file/MCRO_27-CR-17-1555_Notice of Intent to Prosecute_2017-02-23_20240430093602.pdf","MCRO_27-CR-17-1555_Notice of Intent to Prosecute_2017-02-23_20240430093602.pdf")</f>
        <v>MCRO_27-CR-17-1555_Notice of Intent to Prosecute_2017-02-23_20240430093602.pdf</v>
      </c>
      <c r="C8" s="1" t="n">
        <v>3</v>
      </c>
      <c r="D8" s="1" t="n">
        <v>1</v>
      </c>
      <c r="E8" s="1" t="n">
        <v>1</v>
      </c>
      <c r="F8" s="3" t="s">
        <v>20</v>
      </c>
      <c r="G8" s="3" t="s">
        <v>55</v>
      </c>
      <c r="H8" s="1" t="s">
        <v>22</v>
      </c>
      <c r="I8" s="1" t="n">
        <v>20240430093602</v>
      </c>
      <c r="J8" s="3" t="s">
        <v>56</v>
      </c>
      <c r="K8" s="3" t="s">
        <v>57</v>
      </c>
      <c r="L8" s="3" t="s">
        <v>58</v>
      </c>
      <c r="M8" s="3" t="n">
        <v>466048</v>
      </c>
      <c r="N8" s="3" t="s">
        <v>59</v>
      </c>
      <c r="O8" s="1" t="n">
        <v>449662</v>
      </c>
      <c r="P8" s="1" t="n">
        <v>96.48</v>
      </c>
      <c r="Q8" s="1" t="s">
        <v>20</v>
      </c>
      <c r="R8" s="1" t="s">
        <v>27</v>
      </c>
      <c r="S8" s="1" t="s">
        <v>28</v>
      </c>
      <c r="T8" s="1" t="s">
        <v>29</v>
      </c>
    </row>
    <row r="9" customFormat="false" ht="18.7" hidden="false" customHeight="true" outlineLevel="0" collapsed="false">
      <c r="A9" s="1" t="n">
        <v>8</v>
      </c>
      <c r="B9" s="6" t="str">
        <f aca="false">HYPERLINK("https://mncourtfraud.com/file/MCRO_27-CR-17-1555_Notice of Motion and Motion_2020-01-23_20240430093554.pdf","MCRO_27-CR-17-1555_Notice of Motion and Motion_2020-01-23_20240430093554.pdf")</f>
        <v>MCRO_27-CR-17-1555_Notice of Motion and Motion_2020-01-23_20240430093554.pdf</v>
      </c>
      <c r="C9" s="1" t="n">
        <v>3</v>
      </c>
      <c r="D9" s="1" t="n">
        <v>1</v>
      </c>
      <c r="E9" s="1" t="n">
        <v>1</v>
      </c>
      <c r="F9" s="3" t="s">
        <v>20</v>
      </c>
      <c r="G9" s="3" t="s">
        <v>60</v>
      </c>
      <c r="H9" s="1" t="s">
        <v>22</v>
      </c>
      <c r="I9" s="1" t="n">
        <v>20240430093554</v>
      </c>
      <c r="J9" s="3" t="s">
        <v>61</v>
      </c>
      <c r="K9" s="3" t="s">
        <v>62</v>
      </c>
      <c r="L9" s="3" t="s">
        <v>63</v>
      </c>
      <c r="M9" s="3" t="n">
        <v>134952</v>
      </c>
      <c r="N9" s="3" t="s">
        <v>64</v>
      </c>
      <c r="O9" s="1" t="n">
        <v>118566</v>
      </c>
      <c r="P9" s="1" t="n">
        <v>87.86</v>
      </c>
      <c r="Q9" s="1" t="s">
        <v>20</v>
      </c>
      <c r="R9" s="1" t="s">
        <v>27</v>
      </c>
      <c r="S9" s="1" t="s">
        <v>28</v>
      </c>
      <c r="T9" s="1" t="s">
        <v>29</v>
      </c>
    </row>
    <row r="10" customFormat="false" ht="18.7" hidden="false" customHeight="true" outlineLevel="0" collapsed="false">
      <c r="A10" s="1" t="n">
        <v>9</v>
      </c>
      <c r="B10" s="6" t="str">
        <f aca="false">HYPERLINK("https://mncourtfraud.com/file/MCRO_27-CR-17-1555_Notice of Motion and Motion_2024-01-31_20240430093541.pdf","MCRO_27-CR-17-1555_Notice of Motion and Motion_2024-01-31_20240430093541.pdf")</f>
        <v>MCRO_27-CR-17-1555_Notice of Motion and Motion_2024-01-31_20240430093541.pdf</v>
      </c>
      <c r="C10" s="1" t="n">
        <v>3</v>
      </c>
      <c r="D10" s="1" t="n">
        <v>1</v>
      </c>
      <c r="E10" s="1" t="n">
        <v>1</v>
      </c>
      <c r="F10" s="3" t="s">
        <v>20</v>
      </c>
      <c r="G10" s="3" t="s">
        <v>65</v>
      </c>
      <c r="H10" s="1" t="s">
        <v>22</v>
      </c>
      <c r="I10" s="1" t="n">
        <v>20240430093541</v>
      </c>
      <c r="J10" s="3" t="s">
        <v>66</v>
      </c>
      <c r="K10" s="3" t="s">
        <v>67</v>
      </c>
      <c r="L10" s="3" t="s">
        <v>68</v>
      </c>
      <c r="M10" s="3" t="n">
        <v>256568</v>
      </c>
      <c r="N10" s="3" t="s">
        <v>69</v>
      </c>
      <c r="O10" s="1" t="n">
        <v>240182</v>
      </c>
      <c r="P10" s="1" t="n">
        <v>93.61</v>
      </c>
      <c r="Q10" s="1" t="s">
        <v>20</v>
      </c>
      <c r="R10" s="1" t="s">
        <v>27</v>
      </c>
      <c r="S10" s="1" t="s">
        <v>28</v>
      </c>
      <c r="T10" s="1" t="s">
        <v>29</v>
      </c>
    </row>
    <row r="11" customFormat="false" ht="18.7" hidden="false" customHeight="true" outlineLevel="0" collapsed="false">
      <c r="A11" s="1" t="n">
        <v>10</v>
      </c>
      <c r="B11" s="6" t="str">
        <f aca="false">HYPERLINK("https://mncourtfraud.com/file/MCRO_27-CR-17-1555_Notice of Remote Hearing with Instructions_2024-01-09_20240430093543 (1).pdf","MCRO_27-CR-17-1555_Notice of Remote Hearing with Instructions_2024-01-09_20240430093543 (1).pdf")</f>
        <v>MCRO_27-CR-17-1555_Notice of Remote Hearing with Instructions_2024-01-09_20240430093543 (1).pdf</v>
      </c>
      <c r="C11" s="1" t="n">
        <v>4</v>
      </c>
      <c r="D11" s="1" t="n">
        <v>1</v>
      </c>
      <c r="E11" s="1" t="n">
        <v>1</v>
      </c>
      <c r="F11" s="3" t="s">
        <v>20</v>
      </c>
      <c r="G11" s="3" t="s">
        <v>70</v>
      </c>
      <c r="H11" s="1" t="s">
        <v>22</v>
      </c>
      <c r="I11" s="1" t="n">
        <v>20240430093543</v>
      </c>
      <c r="J11" s="3" t="s">
        <v>71</v>
      </c>
      <c r="K11" s="3" t="s">
        <v>72</v>
      </c>
      <c r="L11" s="3" t="s">
        <v>73</v>
      </c>
      <c r="M11" s="3" t="n">
        <v>269870</v>
      </c>
      <c r="N11" s="3" t="s">
        <v>74</v>
      </c>
      <c r="O11" s="1" t="n">
        <v>253484</v>
      </c>
      <c r="P11" s="1" t="n">
        <v>93.93</v>
      </c>
      <c r="Q11" s="1" t="s">
        <v>20</v>
      </c>
      <c r="R11" s="1" t="s">
        <v>27</v>
      </c>
      <c r="S11" s="1" t="s">
        <v>28</v>
      </c>
      <c r="T11" s="1" t="s">
        <v>29</v>
      </c>
    </row>
    <row r="12" customFormat="false" ht="18.7" hidden="false" customHeight="true" outlineLevel="0" collapsed="false">
      <c r="A12" s="1" t="n">
        <v>11</v>
      </c>
      <c r="B12" s="6" t="str">
        <f aca="false">HYPERLINK("https://mncourtfraud.com/file/MCRO_27-CR-17-1555_Notice of Remote Hearing with Instructions_2024-01-09_20240430093543.pdf","MCRO_27-CR-17-1555_Notice of Remote Hearing with Instructions_2024-01-09_20240430093543.pdf")</f>
        <v>MCRO_27-CR-17-1555_Notice of Remote Hearing with Instructions_2024-01-09_20240430093543.pdf</v>
      </c>
      <c r="C12" s="1" t="n">
        <v>5</v>
      </c>
      <c r="D12" s="1" t="n">
        <v>1</v>
      </c>
      <c r="E12" s="1" t="n">
        <v>1</v>
      </c>
      <c r="F12" s="3" t="s">
        <v>20</v>
      </c>
      <c r="G12" s="3" t="s">
        <v>75</v>
      </c>
      <c r="H12" s="1" t="s">
        <v>22</v>
      </c>
      <c r="I12" s="1" t="n">
        <v>20240430093543</v>
      </c>
      <c r="J12" s="3" t="s">
        <v>76</v>
      </c>
      <c r="K12" s="3" t="s">
        <v>77</v>
      </c>
      <c r="L12" s="3" t="s">
        <v>78</v>
      </c>
      <c r="M12" s="3" t="n">
        <v>903666</v>
      </c>
      <c r="N12" s="3" t="s">
        <v>79</v>
      </c>
      <c r="O12" s="1" t="n">
        <v>887280</v>
      </c>
      <c r="P12" s="1" t="n">
        <v>98.19</v>
      </c>
      <c r="Q12" s="1" t="s">
        <v>20</v>
      </c>
      <c r="R12" s="1" t="s">
        <v>27</v>
      </c>
      <c r="S12" s="1" t="s">
        <v>28</v>
      </c>
      <c r="T12" s="1" t="s">
        <v>29</v>
      </c>
    </row>
    <row r="13" customFormat="false" ht="18.7" hidden="false" customHeight="true" outlineLevel="0" collapsed="false">
      <c r="A13" s="1" t="n">
        <v>12</v>
      </c>
      <c r="B13" s="6" t="str">
        <f aca="false">HYPERLINK("https://mncourtfraud.com/file/MCRO_27-CR-17-1555_Notice of Remote Hearing with Instructions_2024-03-19_20240430093538.pdf","MCRO_27-CR-17-1555_Notice of Remote Hearing with Instructions_2024-03-19_20240430093538.pdf")</f>
        <v>MCRO_27-CR-17-1555_Notice of Remote Hearing with Instructions_2024-03-19_20240430093538.pdf</v>
      </c>
      <c r="C13" s="1" t="n">
        <v>4</v>
      </c>
      <c r="D13" s="1" t="n">
        <v>1</v>
      </c>
      <c r="E13" s="1" t="n">
        <v>1</v>
      </c>
      <c r="F13" s="3" t="s">
        <v>20</v>
      </c>
      <c r="G13" s="3" t="s">
        <v>80</v>
      </c>
      <c r="H13" s="1" t="s">
        <v>22</v>
      </c>
      <c r="I13" s="1" t="n">
        <v>20240430093538</v>
      </c>
      <c r="J13" s="3" t="s">
        <v>81</v>
      </c>
      <c r="K13" s="3" t="s">
        <v>82</v>
      </c>
      <c r="L13" s="3" t="s">
        <v>83</v>
      </c>
      <c r="M13" s="3" t="n">
        <v>263079</v>
      </c>
      <c r="N13" s="3" t="s">
        <v>84</v>
      </c>
      <c r="O13" s="1" t="n">
        <v>246693</v>
      </c>
      <c r="P13" s="1" t="n">
        <v>93.77</v>
      </c>
      <c r="Q13" s="1" t="s">
        <v>20</v>
      </c>
      <c r="R13" s="1" t="s">
        <v>27</v>
      </c>
      <c r="S13" s="1" t="s">
        <v>28</v>
      </c>
      <c r="T13" s="1" t="s">
        <v>29</v>
      </c>
    </row>
    <row r="14" customFormat="false" ht="18.7" hidden="false" customHeight="true" outlineLevel="0" collapsed="false">
      <c r="A14" s="1" t="n">
        <v>13</v>
      </c>
      <c r="B14" s="6" t="str">
        <f aca="false">HYPERLINK("https://mncourtfraud.com/file/MCRO_27-CR-17-1555_Order Denying Motion_2024-04-11_20240430093537.pdf","MCRO_27-CR-17-1555_Order Denying Motion_2024-04-11_20240430093537.pdf")</f>
        <v>MCRO_27-CR-17-1555_Order Denying Motion_2024-04-11_20240430093537.pdf</v>
      </c>
      <c r="C14" s="1" t="n">
        <v>9</v>
      </c>
      <c r="D14" s="1" t="n">
        <v>9</v>
      </c>
      <c r="E14" s="1" t="n">
        <v>9</v>
      </c>
      <c r="F14" s="3" t="s">
        <v>20</v>
      </c>
      <c r="G14" s="3" t="s">
        <v>85</v>
      </c>
      <c r="H14" s="1" t="s">
        <v>22</v>
      </c>
      <c r="I14" s="1" t="n">
        <v>20240430093537</v>
      </c>
      <c r="J14" s="3" t="s">
        <v>86</v>
      </c>
      <c r="K14" s="3" t="s">
        <v>87</v>
      </c>
      <c r="L14" s="3" t="s">
        <v>88</v>
      </c>
      <c r="M14" s="3" t="n">
        <v>488693</v>
      </c>
      <c r="N14" s="3" t="s">
        <v>89</v>
      </c>
      <c r="O14" s="1" t="n">
        <v>472307</v>
      </c>
      <c r="P14" s="1" t="n">
        <v>96.65</v>
      </c>
      <c r="Q14" s="1" t="s">
        <v>20</v>
      </c>
      <c r="R14" s="1" t="s">
        <v>27</v>
      </c>
      <c r="S14" s="1" t="s">
        <v>28</v>
      </c>
      <c r="T14" s="1" t="s">
        <v>29</v>
      </c>
    </row>
    <row r="15" customFormat="false" ht="18.7" hidden="false" customHeight="true" outlineLevel="0" collapsed="false">
      <c r="A15" s="1" t="n">
        <v>14</v>
      </c>
      <c r="B15" s="6" t="str">
        <f aca="false">HYPERLINK("https://mncourtfraud.com/file/MCRO_27-CR-17-1555_Order-Evaluation for Competency to Proceed (Rule 20.01)_2017-01-20_20240430093605.pdf","MCRO_27-CR-17-1555_Order-Evaluation for Competency to Proceed (Rule 20.01)_2017-01-20_20240430093605.pdf")</f>
        <v>MCRO_27-CR-17-1555_Order-Evaluation for Competency to Proceed (Rule 20.01)_2017-01-20_20240430093605.pdf</v>
      </c>
      <c r="C15" s="1" t="n">
        <v>4</v>
      </c>
      <c r="D15" s="1" t="n">
        <v>1</v>
      </c>
      <c r="E15" s="1" t="n">
        <v>1</v>
      </c>
      <c r="F15" s="3" t="s">
        <v>20</v>
      </c>
      <c r="G15" s="3" t="s">
        <v>90</v>
      </c>
      <c r="H15" s="1" t="s">
        <v>22</v>
      </c>
      <c r="I15" s="1" t="n">
        <v>20240430093605</v>
      </c>
      <c r="J15" s="3" t="s">
        <v>91</v>
      </c>
      <c r="K15" s="3" t="s">
        <v>92</v>
      </c>
      <c r="L15" s="3" t="s">
        <v>93</v>
      </c>
      <c r="M15" s="3" t="n">
        <v>165317</v>
      </c>
      <c r="N15" s="3" t="s">
        <v>94</v>
      </c>
      <c r="O15" s="1" t="n">
        <v>148931</v>
      </c>
      <c r="P15" s="1" t="n">
        <v>90.09</v>
      </c>
      <c r="Q15" s="1" t="s">
        <v>20</v>
      </c>
      <c r="R15" s="1" t="s">
        <v>27</v>
      </c>
      <c r="S15" s="1" t="s">
        <v>28</v>
      </c>
      <c r="T15" s="1" t="s">
        <v>29</v>
      </c>
    </row>
    <row r="16" customFormat="false" ht="18.7" hidden="false" customHeight="true" outlineLevel="0" collapsed="false">
      <c r="A16" s="1" t="n">
        <v>15</v>
      </c>
      <c r="B16" s="6" t="str">
        <f aca="false">HYPERLINK("https://mncourtfraud.com/file/MCRO_27-CR-17-1555_Order-Evaluation for Competency to Proceed (Rule 20.01)_2022-02-17_20240430093548.pdf","MCRO_27-CR-17-1555_Order-Evaluation for Competency to Proceed (Rule 20.01)_2022-02-17_20240430093548.pdf")</f>
        <v>MCRO_27-CR-17-1555_Order-Evaluation for Competency to Proceed (Rule 20.01)_2022-02-17_20240430093548.pdf</v>
      </c>
      <c r="C16" s="1" t="n">
        <v>3</v>
      </c>
      <c r="D16" s="1" t="n">
        <v>1</v>
      </c>
      <c r="E16" s="1" t="n">
        <v>1</v>
      </c>
      <c r="F16" s="3" t="s">
        <v>20</v>
      </c>
      <c r="G16" s="3" t="s">
        <v>95</v>
      </c>
      <c r="H16" s="1" t="s">
        <v>22</v>
      </c>
      <c r="I16" s="1" t="n">
        <v>20240430093548</v>
      </c>
      <c r="J16" s="3" t="s">
        <v>96</v>
      </c>
      <c r="K16" s="3" t="s">
        <v>97</v>
      </c>
      <c r="L16" s="3" t="s">
        <v>98</v>
      </c>
      <c r="M16" s="3" t="n">
        <v>227651</v>
      </c>
      <c r="N16" s="3" t="s">
        <v>99</v>
      </c>
      <c r="O16" s="1" t="n">
        <v>211265</v>
      </c>
      <c r="P16" s="1" t="n">
        <v>92.8</v>
      </c>
      <c r="Q16" s="1" t="s">
        <v>20</v>
      </c>
      <c r="R16" s="1" t="s">
        <v>27</v>
      </c>
      <c r="S16" s="1" t="s">
        <v>28</v>
      </c>
      <c r="T16" s="1" t="s">
        <v>29</v>
      </c>
    </row>
    <row r="17" customFormat="false" ht="18.7" hidden="false" customHeight="true" outlineLevel="0" collapsed="false">
      <c r="A17" s="1" t="n">
        <v>16</v>
      </c>
      <c r="B17" s="6" t="str">
        <f aca="false">HYPERLINK("https://mncourtfraud.com/file/MCRO_27-CR-17-1555_Order-Other_2020-01-23_20240430093552.pdf","MCRO_27-CR-17-1555_Order-Other_2020-01-23_20240430093552.pdf")</f>
        <v>MCRO_27-CR-17-1555_Order-Other_2020-01-23_20240430093552.pdf</v>
      </c>
      <c r="C17" s="1" t="n">
        <v>4</v>
      </c>
      <c r="D17" s="1" t="n">
        <v>1</v>
      </c>
      <c r="E17" s="1" t="n">
        <v>1</v>
      </c>
      <c r="F17" s="3" t="s">
        <v>20</v>
      </c>
      <c r="G17" s="3" t="s">
        <v>100</v>
      </c>
      <c r="H17" s="1" t="s">
        <v>22</v>
      </c>
      <c r="I17" s="1" t="n">
        <v>20240430093552</v>
      </c>
      <c r="J17" s="3" t="s">
        <v>101</v>
      </c>
      <c r="K17" s="3" t="s">
        <v>102</v>
      </c>
      <c r="L17" s="3" t="s">
        <v>103</v>
      </c>
      <c r="M17" s="3" t="n">
        <v>137841</v>
      </c>
      <c r="N17" s="3" t="s">
        <v>104</v>
      </c>
      <c r="O17" s="1" t="n">
        <v>121455</v>
      </c>
      <c r="P17" s="1" t="n">
        <v>88.11</v>
      </c>
      <c r="Q17" s="1" t="s">
        <v>20</v>
      </c>
      <c r="R17" s="1" t="s">
        <v>27</v>
      </c>
      <c r="S17" s="1" t="s">
        <v>28</v>
      </c>
      <c r="T17" s="1" t="s">
        <v>29</v>
      </c>
    </row>
    <row r="18" customFormat="false" ht="18.7" hidden="false" customHeight="true" outlineLevel="0" collapsed="false">
      <c r="A18" s="1" t="n">
        <v>17</v>
      </c>
      <c r="B18" s="6" t="str">
        <f aca="false">HYPERLINK("https://mncourtfraud.com/file/MCRO_27-CR-17-1555_Order-Other_2021-05-11_20240430093549.pdf","MCRO_27-CR-17-1555_Order-Other_2021-05-11_20240430093549.pdf")</f>
        <v>MCRO_27-CR-17-1555_Order-Other_2021-05-11_20240430093549.pdf</v>
      </c>
      <c r="C18" s="1" t="n">
        <v>3</v>
      </c>
      <c r="D18" s="1" t="n">
        <v>1</v>
      </c>
      <c r="E18" s="1" t="n">
        <v>1</v>
      </c>
      <c r="F18" s="3" t="s">
        <v>20</v>
      </c>
      <c r="G18" s="3" t="s">
        <v>105</v>
      </c>
      <c r="H18" s="1" t="s">
        <v>22</v>
      </c>
      <c r="I18" s="1" t="n">
        <v>20240430093549</v>
      </c>
      <c r="J18" s="3" t="s">
        <v>106</v>
      </c>
      <c r="K18" s="3" t="s">
        <v>107</v>
      </c>
      <c r="L18" s="3" t="s">
        <v>108</v>
      </c>
      <c r="M18" s="3" t="n">
        <v>135660</v>
      </c>
      <c r="N18" s="3" t="s">
        <v>109</v>
      </c>
      <c r="O18" s="1" t="n">
        <v>119274</v>
      </c>
      <c r="P18" s="1" t="n">
        <v>87.92</v>
      </c>
      <c r="Q18" s="1" t="s">
        <v>20</v>
      </c>
      <c r="R18" s="1" t="s">
        <v>27</v>
      </c>
      <c r="S18" s="1" t="s">
        <v>28</v>
      </c>
      <c r="T18" s="1" t="s">
        <v>29</v>
      </c>
    </row>
    <row r="19" customFormat="false" ht="18.7" hidden="false" customHeight="true" outlineLevel="0" collapsed="false">
      <c r="A19" s="1" t="n">
        <v>18</v>
      </c>
      <c r="B19" s="6" t="str">
        <f aca="false">HYPERLINK("https://mncourtfraud.com/file/MCRO_27-CR-17-1555_Order-Other_2022-12-27_20240430093545.pdf","MCRO_27-CR-17-1555_Order-Other_2022-12-27_20240430093545.pdf")</f>
        <v>MCRO_27-CR-17-1555_Order-Other_2022-12-27_20240430093545.pdf</v>
      </c>
      <c r="C19" s="1" t="n">
        <v>7</v>
      </c>
      <c r="D19" s="1" t="n">
        <v>2</v>
      </c>
      <c r="E19" s="1" t="n">
        <v>2</v>
      </c>
      <c r="F19" s="3" t="s">
        <v>27</v>
      </c>
      <c r="G19" s="3" t="s">
        <v>110</v>
      </c>
      <c r="H19" s="1" t="s">
        <v>22</v>
      </c>
      <c r="I19" s="1" t="n">
        <v>20240430093545</v>
      </c>
      <c r="J19" s="3" t="s">
        <v>111</v>
      </c>
      <c r="K19" s="3" t="s">
        <v>112</v>
      </c>
      <c r="L19" s="3" t="s">
        <v>113</v>
      </c>
      <c r="M19" s="3" t="n">
        <v>811091</v>
      </c>
      <c r="N19" s="3" t="s">
        <v>114</v>
      </c>
      <c r="O19" s="1" t="n">
        <v>794705</v>
      </c>
      <c r="P19" s="1" t="n">
        <v>97.98</v>
      </c>
      <c r="Q19" s="1" t="s">
        <v>20</v>
      </c>
      <c r="R19" s="1" t="s">
        <v>27</v>
      </c>
      <c r="S19" s="1" t="s">
        <v>28</v>
      </c>
      <c r="T19" s="1" t="s">
        <v>29</v>
      </c>
    </row>
    <row r="20" customFormat="false" ht="18.7" hidden="false" customHeight="true" outlineLevel="0" collapsed="false">
      <c r="A20" s="1" t="n">
        <v>19</v>
      </c>
      <c r="B20" s="6" t="str">
        <f aca="false">HYPERLINK("https://mncourtfraud.com/file/MCRO_27-CR-17-1555_Order to Transport_2017-08-23_20240430093600.pdf","MCRO_27-CR-17-1555_Order to Transport_2017-08-23_20240430093600.pdf")</f>
        <v>MCRO_27-CR-17-1555_Order to Transport_2017-08-23_20240430093600.pdf</v>
      </c>
      <c r="C20" s="1" t="n">
        <v>4</v>
      </c>
      <c r="D20" s="1" t="n">
        <v>1</v>
      </c>
      <c r="E20" s="1" t="n">
        <v>1</v>
      </c>
      <c r="F20" s="3" t="s">
        <v>20</v>
      </c>
      <c r="G20" s="3" t="s">
        <v>115</v>
      </c>
      <c r="H20" s="1" t="s">
        <v>22</v>
      </c>
      <c r="I20" s="1" t="n">
        <v>20240430093600</v>
      </c>
      <c r="J20" s="3" t="s">
        <v>116</v>
      </c>
      <c r="K20" s="3" t="s">
        <v>117</v>
      </c>
      <c r="L20" s="3" t="s">
        <v>118</v>
      </c>
      <c r="M20" s="3" t="n">
        <v>114703</v>
      </c>
      <c r="N20" s="3" t="s">
        <v>119</v>
      </c>
      <c r="O20" s="1" t="n">
        <v>98317</v>
      </c>
      <c r="P20" s="1" t="n">
        <v>85.71</v>
      </c>
      <c r="Q20" s="1" t="s">
        <v>20</v>
      </c>
      <c r="R20" s="1" t="s">
        <v>27</v>
      </c>
      <c r="S20" s="1" t="s">
        <v>28</v>
      </c>
      <c r="T20" s="1" t="s">
        <v>29</v>
      </c>
    </row>
    <row r="21" customFormat="false" ht="18.7" hidden="false" customHeight="true" outlineLevel="0" collapsed="false">
      <c r="A21" s="1" t="n">
        <v>20</v>
      </c>
      <c r="B21" s="6" t="str">
        <f aca="false">HYPERLINK("https://mncourtfraud.com/file/MCRO_27-CR-17-1555_Order to Transport_2018-01-04_20240430093559.pdf","MCRO_27-CR-17-1555_Order to Transport_2018-01-04_20240430093559.pdf")</f>
        <v>MCRO_27-CR-17-1555_Order to Transport_2018-01-04_20240430093559.pdf</v>
      </c>
      <c r="C21" s="1" t="n">
        <v>4</v>
      </c>
      <c r="D21" s="1" t="n">
        <v>1</v>
      </c>
      <c r="E21" s="1" t="n">
        <v>1</v>
      </c>
      <c r="F21" s="3" t="s">
        <v>20</v>
      </c>
      <c r="G21" s="3" t="s">
        <v>120</v>
      </c>
      <c r="H21" s="1" t="s">
        <v>22</v>
      </c>
      <c r="I21" s="1" t="n">
        <v>20240430093559</v>
      </c>
      <c r="J21" s="3" t="s">
        <v>121</v>
      </c>
      <c r="K21" s="3" t="s">
        <v>122</v>
      </c>
      <c r="L21" s="3" t="s">
        <v>123</v>
      </c>
      <c r="M21" s="3" t="n">
        <v>114390</v>
      </c>
      <c r="N21" s="3" t="s">
        <v>119</v>
      </c>
      <c r="O21" s="1" t="n">
        <v>98004</v>
      </c>
      <c r="P21" s="1" t="n">
        <v>85.68</v>
      </c>
      <c r="Q21" s="1" t="s">
        <v>20</v>
      </c>
      <c r="R21" s="1" t="s">
        <v>27</v>
      </c>
      <c r="S21" s="1" t="s">
        <v>28</v>
      </c>
      <c r="T21" s="1" t="s">
        <v>29</v>
      </c>
    </row>
    <row r="22" customFormat="false" ht="18.7" hidden="false" customHeight="true" outlineLevel="0" collapsed="false">
      <c r="A22" s="1" t="n">
        <v>21</v>
      </c>
      <c r="B22" s="6" t="str">
        <f aca="false">HYPERLINK("https://mncourtfraud.com/file/MCRO_27-CR-17-1555_Order to Transport_2018-03-26_20240430093558.pdf","MCRO_27-CR-17-1555_Order to Transport_2018-03-26_20240430093558.pdf")</f>
        <v>MCRO_27-CR-17-1555_Order to Transport_2018-03-26_20240430093558.pdf</v>
      </c>
      <c r="C22" s="1" t="n">
        <v>4</v>
      </c>
      <c r="D22" s="1" t="n">
        <v>1</v>
      </c>
      <c r="E22" s="1" t="n">
        <v>1</v>
      </c>
      <c r="F22" s="3" t="s">
        <v>20</v>
      </c>
      <c r="G22" s="3" t="s">
        <v>124</v>
      </c>
      <c r="H22" s="1" t="s">
        <v>22</v>
      </c>
      <c r="I22" s="1" t="n">
        <v>20240430093558</v>
      </c>
      <c r="J22" s="3" t="s">
        <v>125</v>
      </c>
      <c r="K22" s="3" t="s">
        <v>126</v>
      </c>
      <c r="L22" s="3" t="s">
        <v>127</v>
      </c>
      <c r="M22" s="3" t="n">
        <v>99502</v>
      </c>
      <c r="N22" s="3" t="s">
        <v>128</v>
      </c>
      <c r="O22" s="1" t="n">
        <v>83116</v>
      </c>
      <c r="P22" s="1" t="n">
        <v>83.53</v>
      </c>
      <c r="Q22" s="1" t="s">
        <v>20</v>
      </c>
      <c r="R22" s="1" t="s">
        <v>27</v>
      </c>
      <c r="S22" s="1" t="s">
        <v>28</v>
      </c>
      <c r="T22" s="1" t="s">
        <v>29</v>
      </c>
    </row>
    <row r="23" customFormat="false" ht="18.7" hidden="false" customHeight="true" outlineLevel="0" collapsed="false">
      <c r="A23" s="1" t="n">
        <v>22</v>
      </c>
      <c r="B23" s="6" t="str">
        <f aca="false">HYPERLINK("https://mncourtfraud.com/file/MCRO_27-CR-17-1555_Order to Transport_2018-10-23_20240430093557.pdf","MCRO_27-CR-17-1555_Order to Transport_2018-10-23_20240430093557.pdf")</f>
        <v>MCRO_27-CR-17-1555_Order to Transport_2018-10-23_20240430093557.pdf</v>
      </c>
      <c r="C23" s="1" t="n">
        <v>4</v>
      </c>
      <c r="D23" s="1" t="n">
        <v>1</v>
      </c>
      <c r="E23" s="1" t="n">
        <v>1</v>
      </c>
      <c r="F23" s="3" t="s">
        <v>20</v>
      </c>
      <c r="G23" s="3" t="s">
        <v>129</v>
      </c>
      <c r="H23" s="1" t="s">
        <v>22</v>
      </c>
      <c r="I23" s="1" t="n">
        <v>20240430093557</v>
      </c>
      <c r="J23" s="3" t="s">
        <v>130</v>
      </c>
      <c r="K23" s="3" t="s">
        <v>131</v>
      </c>
      <c r="L23" s="3" t="s">
        <v>132</v>
      </c>
      <c r="M23" s="3" t="n">
        <v>97010</v>
      </c>
      <c r="N23" s="3" t="s">
        <v>128</v>
      </c>
      <c r="O23" s="1" t="n">
        <v>80624</v>
      </c>
      <c r="P23" s="1" t="n">
        <v>83.11</v>
      </c>
      <c r="Q23" s="1" t="s">
        <v>20</v>
      </c>
      <c r="R23" s="1" t="s">
        <v>27</v>
      </c>
      <c r="S23" s="1" t="s">
        <v>28</v>
      </c>
      <c r="T23" s="1" t="s">
        <v>29</v>
      </c>
    </row>
    <row r="24" customFormat="false" ht="18.7" hidden="false" customHeight="true" outlineLevel="0" collapsed="false">
      <c r="A24" s="1" t="n">
        <v>23</v>
      </c>
      <c r="B24" s="6" t="str">
        <f aca="false">HYPERLINK("https://mncourtfraud.com/file/MCRO_27-CR-17-1555_Order to Transport_2019-03-13_20240430093556.pdf","MCRO_27-CR-17-1555_Order to Transport_2019-03-13_20240430093556.pdf")</f>
        <v>MCRO_27-CR-17-1555_Order to Transport_2019-03-13_20240430093556.pdf</v>
      </c>
      <c r="C24" s="1" t="n">
        <v>4</v>
      </c>
      <c r="D24" s="1" t="n">
        <v>1</v>
      </c>
      <c r="E24" s="1" t="n">
        <v>1</v>
      </c>
      <c r="F24" s="3" t="s">
        <v>20</v>
      </c>
      <c r="G24" s="3" t="s">
        <v>133</v>
      </c>
      <c r="H24" s="1" t="s">
        <v>22</v>
      </c>
      <c r="I24" s="1" t="n">
        <v>20240430093556</v>
      </c>
      <c r="J24" s="3" t="s">
        <v>134</v>
      </c>
      <c r="K24" s="3" t="s">
        <v>135</v>
      </c>
      <c r="L24" s="3" t="s">
        <v>136</v>
      </c>
      <c r="M24" s="3" t="n">
        <v>89979</v>
      </c>
      <c r="N24" s="3" t="s">
        <v>137</v>
      </c>
      <c r="O24" s="1" t="n">
        <v>73593</v>
      </c>
      <c r="P24" s="1" t="n">
        <v>81.79</v>
      </c>
      <c r="Q24" s="1" t="s">
        <v>20</v>
      </c>
      <c r="R24" s="1" t="s">
        <v>27</v>
      </c>
      <c r="S24" s="1" t="s">
        <v>28</v>
      </c>
      <c r="T24" s="1" t="s">
        <v>29</v>
      </c>
    </row>
    <row r="25" customFormat="false" ht="18.7" hidden="false" customHeight="true" outlineLevel="0" collapsed="false">
      <c r="A25" s="1" t="n">
        <v>24</v>
      </c>
      <c r="B25" s="6" t="str">
        <f aca="false">HYPERLINK("https://mncourtfraud.com/file/MCRO_27-CR-17-1555_Order to Transport_2019-10-02_20240430093555.pdf","MCRO_27-CR-17-1555_Order to Transport_2019-10-02_20240430093555.pdf")</f>
        <v>MCRO_27-CR-17-1555_Order to Transport_2019-10-02_20240430093555.pdf</v>
      </c>
      <c r="C25" s="1" t="n">
        <v>4</v>
      </c>
      <c r="D25" s="1" t="n">
        <v>1</v>
      </c>
      <c r="E25" s="1" t="n">
        <v>1</v>
      </c>
      <c r="F25" s="3" t="s">
        <v>20</v>
      </c>
      <c r="G25" s="3" t="s">
        <v>138</v>
      </c>
      <c r="H25" s="1" t="s">
        <v>22</v>
      </c>
      <c r="I25" s="1" t="n">
        <v>20240430093555</v>
      </c>
      <c r="J25" s="3" t="s">
        <v>139</v>
      </c>
      <c r="K25" s="3" t="s">
        <v>140</v>
      </c>
      <c r="L25" s="3" t="s">
        <v>141</v>
      </c>
      <c r="M25" s="3" t="n">
        <v>89518</v>
      </c>
      <c r="N25" s="3" t="s">
        <v>137</v>
      </c>
      <c r="O25" s="1" t="n">
        <v>73132</v>
      </c>
      <c r="P25" s="1" t="n">
        <v>81.7</v>
      </c>
      <c r="Q25" s="1" t="s">
        <v>20</v>
      </c>
      <c r="R25" s="1" t="s">
        <v>27</v>
      </c>
      <c r="S25" s="1" t="s">
        <v>28</v>
      </c>
      <c r="T25" s="1" t="s">
        <v>29</v>
      </c>
    </row>
    <row r="26" customFormat="false" ht="18.7" hidden="false" customHeight="true" outlineLevel="0" collapsed="false">
      <c r="A26" s="1" t="n">
        <v>25</v>
      </c>
      <c r="B26" s="6" t="str">
        <f aca="false">HYPERLINK("https://mncourtfraud.com/file/MCRO_27-CR-17-1555_Order to Transport_2020-01-24_20240430093551.pdf","MCRO_27-CR-17-1555_Order to Transport_2020-01-24_20240430093551.pdf")</f>
        <v>MCRO_27-CR-17-1555_Order to Transport_2020-01-24_20240430093551.pdf</v>
      </c>
      <c r="C26" s="1" t="n">
        <v>4</v>
      </c>
      <c r="D26" s="1" t="n">
        <v>1</v>
      </c>
      <c r="E26" s="1" t="n">
        <v>1</v>
      </c>
      <c r="F26" s="3" t="s">
        <v>20</v>
      </c>
      <c r="G26" s="3" t="s">
        <v>142</v>
      </c>
      <c r="H26" s="1" t="s">
        <v>22</v>
      </c>
      <c r="I26" s="1" t="n">
        <v>20240430093551</v>
      </c>
      <c r="J26" s="3" t="s">
        <v>143</v>
      </c>
      <c r="K26" s="3" t="s">
        <v>144</v>
      </c>
      <c r="L26" s="3" t="s">
        <v>145</v>
      </c>
      <c r="M26" s="3" t="n">
        <v>87071</v>
      </c>
      <c r="N26" s="3" t="s">
        <v>137</v>
      </c>
      <c r="O26" s="1" t="n">
        <v>70685</v>
      </c>
      <c r="P26" s="1" t="n">
        <v>81.18</v>
      </c>
      <c r="Q26" s="1" t="s">
        <v>20</v>
      </c>
      <c r="R26" s="1" t="s">
        <v>27</v>
      </c>
      <c r="S26" s="1" t="s">
        <v>28</v>
      </c>
      <c r="T26" s="1" t="s">
        <v>29</v>
      </c>
    </row>
    <row r="27" customFormat="false" ht="18.7" hidden="false" customHeight="true" outlineLevel="0" collapsed="false">
      <c r="A27" s="1" t="n">
        <v>26</v>
      </c>
      <c r="B27" s="6" t="str">
        <f aca="false">HYPERLINK("https://mncourtfraud.com/file/MCRO_27-CR-17-1555_Proposed Order or Document_2020-01-23_20240430093553.pdf","MCRO_27-CR-17-1555_Proposed Order or Document_2020-01-23_20240430093553.pdf")</f>
        <v>MCRO_27-CR-17-1555_Proposed Order or Document_2020-01-23_20240430093553.pdf</v>
      </c>
      <c r="C27" s="1" t="n">
        <v>3</v>
      </c>
      <c r="D27" s="1" t="n">
        <v>1</v>
      </c>
      <c r="E27" s="1" t="n">
        <v>1</v>
      </c>
      <c r="F27" s="3" t="s">
        <v>20</v>
      </c>
      <c r="G27" s="3" t="s">
        <v>146</v>
      </c>
      <c r="H27" s="1" t="s">
        <v>22</v>
      </c>
      <c r="I27" s="1" t="n">
        <v>20240430093553</v>
      </c>
      <c r="J27" s="3" t="s">
        <v>147</v>
      </c>
      <c r="K27" s="3" t="s">
        <v>148</v>
      </c>
      <c r="L27" s="3" t="s">
        <v>149</v>
      </c>
      <c r="M27" s="3" t="n">
        <v>151455</v>
      </c>
      <c r="N27" s="3" t="s">
        <v>109</v>
      </c>
      <c r="O27" s="1" t="n">
        <v>135069</v>
      </c>
      <c r="P27" s="1" t="n">
        <v>89.18</v>
      </c>
      <c r="Q27" s="1" t="s">
        <v>20</v>
      </c>
      <c r="R27" s="1" t="s">
        <v>27</v>
      </c>
      <c r="S27" s="1" t="s">
        <v>28</v>
      </c>
      <c r="T27" s="1" t="s">
        <v>29</v>
      </c>
    </row>
    <row r="28" customFormat="false" ht="18.7" hidden="false" customHeight="true" outlineLevel="0" collapsed="false">
      <c r="A28" s="1" t="n">
        <v>27</v>
      </c>
      <c r="B28" s="6" t="str">
        <f aca="false">HYPERLINK("https://mncourtfraud.com/file/MCRO_27-CR-17-1555_Proposed Order or Document_2022-12-27_20240430093545.pdf","MCRO_27-CR-17-1555_Proposed Order or Document_2022-12-27_20240430093545.pdf")</f>
        <v>MCRO_27-CR-17-1555_Proposed Order or Document_2022-12-27_20240430093545.pdf</v>
      </c>
      <c r="C28" s="1" t="n">
        <v>3</v>
      </c>
      <c r="D28" s="1" t="n">
        <v>1</v>
      </c>
      <c r="E28" s="1" t="n">
        <v>1</v>
      </c>
      <c r="F28" s="3" t="s">
        <v>20</v>
      </c>
      <c r="G28" s="3" t="s">
        <v>150</v>
      </c>
      <c r="H28" s="1" t="s">
        <v>22</v>
      </c>
      <c r="I28" s="1" t="n">
        <v>20240430093545</v>
      </c>
      <c r="J28" s="3" t="s">
        <v>151</v>
      </c>
      <c r="K28" s="3" t="s">
        <v>152</v>
      </c>
      <c r="L28" s="3" t="s">
        <v>153</v>
      </c>
      <c r="M28" s="3" t="n">
        <v>146084</v>
      </c>
      <c r="N28" s="3" t="s">
        <v>64</v>
      </c>
      <c r="O28" s="1" t="n">
        <v>129698</v>
      </c>
      <c r="P28" s="1" t="n">
        <v>88.78</v>
      </c>
      <c r="Q28" s="1" t="s">
        <v>20</v>
      </c>
      <c r="R28" s="1" t="s">
        <v>27</v>
      </c>
      <c r="S28" s="1" t="s">
        <v>28</v>
      </c>
      <c r="T28" s="1" t="s">
        <v>29</v>
      </c>
    </row>
    <row r="29" customFormat="false" ht="18.7" hidden="false" customHeight="true" outlineLevel="0" collapsed="false">
      <c r="A29" s="1" t="n">
        <v>28</v>
      </c>
      <c r="B29" s="6" t="str">
        <f aca="false">HYPERLINK("https://mncourtfraud.com/file/MCRO_27-CR-17-1555_Returned Mail_2024-02-13_20240430093539.pdf","MCRO_27-CR-17-1555_Returned Mail_2024-02-13_20240430093539.pdf")</f>
        <v>MCRO_27-CR-17-1555_Returned Mail_2024-02-13_20240430093539.pdf</v>
      </c>
      <c r="C29" s="1" t="n">
        <v>4</v>
      </c>
      <c r="D29" s="1" t="n">
        <v>1</v>
      </c>
      <c r="E29" s="1" t="n">
        <v>1</v>
      </c>
      <c r="F29" s="3" t="s">
        <v>20</v>
      </c>
      <c r="G29" s="3" t="s">
        <v>154</v>
      </c>
      <c r="H29" s="1" t="s">
        <v>22</v>
      </c>
      <c r="I29" s="1" t="n">
        <v>20240430093539</v>
      </c>
      <c r="J29" s="3" t="s">
        <v>155</v>
      </c>
      <c r="K29" s="3" t="s">
        <v>156</v>
      </c>
      <c r="L29" s="3" t="s">
        <v>157</v>
      </c>
      <c r="M29" s="3" t="n">
        <v>315590</v>
      </c>
      <c r="N29" s="3" t="s">
        <v>158</v>
      </c>
      <c r="O29" s="1" t="n">
        <v>299204</v>
      </c>
      <c r="P29" s="1" t="n">
        <v>94.81</v>
      </c>
      <c r="Q29" s="1" t="s">
        <v>20</v>
      </c>
      <c r="R29" s="1" t="s">
        <v>27</v>
      </c>
      <c r="S29" s="1" t="s">
        <v>28</v>
      </c>
      <c r="T29" s="1" t="s">
        <v>29</v>
      </c>
    </row>
    <row r="30" customFormat="false" ht="18.7" hidden="false" customHeight="true" outlineLevel="0" collapsed="false">
      <c r="A30" s="1" t="n">
        <v>29</v>
      </c>
      <c r="B30" s="6" t="str">
        <f aca="false">HYPERLINK("https://mncourtfraud.com/file/MCRO_27-CR-17-22909_Correspondence for Judicial Approval_2022-12-27_20240430093723.pdf","MCRO_27-CR-17-22909_Correspondence for Judicial Approval_2022-12-27_20240430093723.pdf")</f>
        <v>MCRO_27-CR-17-22909_Correspondence for Judicial Approval_2022-12-27_20240430093723.pdf</v>
      </c>
      <c r="C30" s="1" t="n">
        <v>4</v>
      </c>
      <c r="D30" s="1" t="n">
        <v>1</v>
      </c>
      <c r="E30" s="1" t="n">
        <v>1</v>
      </c>
      <c r="F30" s="3" t="s">
        <v>20</v>
      </c>
      <c r="G30" s="3" t="s">
        <v>159</v>
      </c>
      <c r="H30" s="1" t="s">
        <v>22</v>
      </c>
      <c r="I30" s="1" t="n">
        <v>20240430093723</v>
      </c>
      <c r="J30" s="3" t="s">
        <v>160</v>
      </c>
      <c r="K30" s="3" t="s">
        <v>161</v>
      </c>
      <c r="L30" s="3" t="s">
        <v>162</v>
      </c>
      <c r="M30" s="3" t="n">
        <v>207904</v>
      </c>
      <c r="N30" s="3" t="s">
        <v>26</v>
      </c>
      <c r="O30" s="1" t="n">
        <v>191518</v>
      </c>
      <c r="P30" s="1" t="n">
        <v>92.12</v>
      </c>
      <c r="Q30" s="1" t="s">
        <v>20</v>
      </c>
      <c r="R30" s="1" t="s">
        <v>27</v>
      </c>
      <c r="S30" s="1" t="s">
        <v>28</v>
      </c>
      <c r="T30" s="1" t="s">
        <v>29</v>
      </c>
    </row>
    <row r="31" customFormat="false" ht="18.7" hidden="false" customHeight="true" outlineLevel="0" collapsed="false">
      <c r="A31" s="1" t="n">
        <v>30</v>
      </c>
      <c r="B31" s="6" t="str">
        <f aca="false">HYPERLINK("https://mncourtfraud.com/file/MCRO_27-CR-17-22909_E-filed Comp-Warrant_2017-09-12_20240430093737.pdf","MCRO_27-CR-17-22909_E-filed Comp-Warrant_2017-09-12_20240430093737.pdf")</f>
        <v>MCRO_27-CR-17-22909_E-filed Comp-Warrant_2017-09-12_20240430093737.pdf</v>
      </c>
      <c r="C31" s="1" t="n">
        <v>5</v>
      </c>
      <c r="D31" s="1" t="n">
        <v>2</v>
      </c>
      <c r="E31" s="1" t="n">
        <v>2</v>
      </c>
      <c r="F31" s="3" t="s">
        <v>20</v>
      </c>
      <c r="G31" s="3" t="s">
        <v>163</v>
      </c>
      <c r="H31" s="1" t="s">
        <v>22</v>
      </c>
      <c r="I31" s="1" t="n">
        <v>20240430093737</v>
      </c>
      <c r="J31" s="3" t="s">
        <v>164</v>
      </c>
      <c r="K31" s="3" t="s">
        <v>165</v>
      </c>
      <c r="L31" s="3" t="s">
        <v>166</v>
      </c>
      <c r="M31" s="3" t="n">
        <v>346482</v>
      </c>
      <c r="N31" s="3" t="s">
        <v>167</v>
      </c>
      <c r="O31" s="1" t="n">
        <v>330096</v>
      </c>
      <c r="P31" s="1" t="n">
        <v>95.27</v>
      </c>
      <c r="Q31" s="1" t="s">
        <v>20</v>
      </c>
      <c r="R31" s="1" t="s">
        <v>27</v>
      </c>
      <c r="S31" s="1" t="s">
        <v>28</v>
      </c>
      <c r="T31" s="1" t="s">
        <v>29</v>
      </c>
    </row>
    <row r="32" customFormat="false" ht="18.7" hidden="false" customHeight="true" outlineLevel="0" collapsed="false">
      <c r="A32" s="1" t="n">
        <v>31</v>
      </c>
      <c r="B32" s="6" t="str">
        <f aca="false">HYPERLINK("https://mncourtfraud.com/file/MCRO_27-CR-17-22909_Find of Fact-Order, Pet Commitment-Dfd Found Incompetent_2020-05-08_20240430093726.pdf","MCRO_27-CR-17-22909_Find of Fact-Order, Pet Commitment-Dfd Found Incompetent_2020-05-08_20240430093726.pdf")</f>
        <v>MCRO_27-CR-17-22909_Find of Fact-Order, Pet Commitment-Dfd Found Incompetent_2020-05-08_20240430093726.pdf</v>
      </c>
      <c r="C32" s="1" t="n">
        <v>3</v>
      </c>
      <c r="D32" s="1" t="n">
        <v>1</v>
      </c>
      <c r="E32" s="1" t="n">
        <v>1</v>
      </c>
      <c r="F32" s="3" t="s">
        <v>20</v>
      </c>
      <c r="G32" s="3" t="s">
        <v>168</v>
      </c>
      <c r="H32" s="1" t="s">
        <v>22</v>
      </c>
      <c r="I32" s="1" t="n">
        <v>20240430093726</v>
      </c>
      <c r="J32" s="3" t="s">
        <v>169</v>
      </c>
      <c r="K32" s="3" t="s">
        <v>170</v>
      </c>
      <c r="L32" s="3" t="s">
        <v>171</v>
      </c>
      <c r="M32" s="3" t="n">
        <v>437121</v>
      </c>
      <c r="N32" s="3" t="s">
        <v>49</v>
      </c>
      <c r="O32" s="1" t="n">
        <v>420735</v>
      </c>
      <c r="P32" s="1" t="n">
        <v>96.25</v>
      </c>
      <c r="Q32" s="1" t="s">
        <v>20</v>
      </c>
      <c r="R32" s="1" t="s">
        <v>27</v>
      </c>
      <c r="S32" s="1" t="s">
        <v>28</v>
      </c>
      <c r="T32" s="1" t="s">
        <v>29</v>
      </c>
    </row>
    <row r="33" customFormat="false" ht="18.7" hidden="false" customHeight="true" outlineLevel="0" collapsed="false">
      <c r="A33" s="1" t="n">
        <v>32</v>
      </c>
      <c r="B33" s="6" t="str">
        <f aca="false">HYPERLINK("https://mncourtfraud.com/file/MCRO_27-CR-17-22909_Notice of Motion and Motion_2020-01-23_20240430093730.pdf","MCRO_27-CR-17-22909_Notice of Motion and Motion_2020-01-23_20240430093730.pdf")</f>
        <v>MCRO_27-CR-17-22909_Notice of Motion and Motion_2020-01-23_20240430093730.pdf</v>
      </c>
      <c r="C33" s="1" t="n">
        <v>3</v>
      </c>
      <c r="D33" s="1" t="n">
        <v>1</v>
      </c>
      <c r="E33" s="1" t="n">
        <v>1</v>
      </c>
      <c r="F33" s="3" t="s">
        <v>20</v>
      </c>
      <c r="G33" s="3" t="s">
        <v>172</v>
      </c>
      <c r="H33" s="1" t="s">
        <v>22</v>
      </c>
      <c r="I33" s="1" t="n">
        <v>20240430093730</v>
      </c>
      <c r="J33" s="3" t="s">
        <v>173</v>
      </c>
      <c r="K33" s="3" t="s">
        <v>174</v>
      </c>
      <c r="L33" s="3" t="s">
        <v>175</v>
      </c>
      <c r="M33" s="3" t="n">
        <v>134957</v>
      </c>
      <c r="N33" s="3" t="s">
        <v>64</v>
      </c>
      <c r="O33" s="1" t="n">
        <v>118571</v>
      </c>
      <c r="P33" s="1" t="n">
        <v>87.86</v>
      </c>
      <c r="Q33" s="1" t="s">
        <v>20</v>
      </c>
      <c r="R33" s="1" t="s">
        <v>27</v>
      </c>
      <c r="S33" s="1" t="s">
        <v>28</v>
      </c>
      <c r="T33" s="1" t="s">
        <v>29</v>
      </c>
    </row>
    <row r="34" customFormat="false" ht="18.7" hidden="false" customHeight="true" outlineLevel="0" collapsed="false">
      <c r="A34" s="1" t="n">
        <v>33</v>
      </c>
      <c r="B34" s="6" t="str">
        <f aca="false">HYPERLINK("https://mncourtfraud.com/file/MCRO_27-CR-17-22909_Notice of Remote Hearing with Instructions_2024-01-09_20240430093719 (1).pdf","MCRO_27-CR-17-22909_Notice of Remote Hearing with Instructions_2024-01-09_20240430093719 (1).pdf")</f>
        <v>MCRO_27-CR-17-22909_Notice of Remote Hearing with Instructions_2024-01-09_20240430093719 (1).pdf</v>
      </c>
      <c r="C34" s="1" t="n">
        <v>4</v>
      </c>
      <c r="D34" s="1" t="n">
        <v>1</v>
      </c>
      <c r="E34" s="1" t="n">
        <v>1</v>
      </c>
      <c r="F34" s="3" t="s">
        <v>20</v>
      </c>
      <c r="G34" s="3" t="s">
        <v>176</v>
      </c>
      <c r="H34" s="1" t="s">
        <v>22</v>
      </c>
      <c r="I34" s="1" t="n">
        <v>20240430093719</v>
      </c>
      <c r="J34" s="3" t="s">
        <v>177</v>
      </c>
      <c r="K34" s="3" t="s">
        <v>178</v>
      </c>
      <c r="L34" s="3" t="s">
        <v>179</v>
      </c>
      <c r="M34" s="3" t="n">
        <v>270052</v>
      </c>
      <c r="N34" s="3" t="s">
        <v>74</v>
      </c>
      <c r="O34" s="1" t="n">
        <v>253666</v>
      </c>
      <c r="P34" s="1" t="n">
        <v>93.93</v>
      </c>
      <c r="Q34" s="1" t="s">
        <v>20</v>
      </c>
      <c r="R34" s="1" t="s">
        <v>27</v>
      </c>
      <c r="S34" s="1" t="s">
        <v>28</v>
      </c>
      <c r="T34" s="1" t="s">
        <v>29</v>
      </c>
    </row>
    <row r="35" customFormat="false" ht="18.7" hidden="false" customHeight="true" outlineLevel="0" collapsed="false">
      <c r="A35" s="1" t="n">
        <v>34</v>
      </c>
      <c r="B35" s="6" t="str">
        <f aca="false">HYPERLINK("https://mncourtfraud.com/file/MCRO_27-CR-17-22909_Notice of Remote Hearing with Instructions_2024-01-09_20240430093719.pdf","MCRO_27-CR-17-22909_Notice of Remote Hearing with Instructions_2024-01-09_20240430093719.pdf")</f>
        <v>MCRO_27-CR-17-22909_Notice of Remote Hearing with Instructions_2024-01-09_20240430093719.pdf</v>
      </c>
      <c r="C35" s="1" t="n">
        <v>5</v>
      </c>
      <c r="D35" s="1" t="n">
        <v>1</v>
      </c>
      <c r="E35" s="1" t="n">
        <v>1</v>
      </c>
      <c r="F35" s="3" t="s">
        <v>20</v>
      </c>
      <c r="G35" s="3" t="s">
        <v>180</v>
      </c>
      <c r="H35" s="1" t="s">
        <v>22</v>
      </c>
      <c r="I35" s="1" t="n">
        <v>20240430093719</v>
      </c>
      <c r="J35" s="3" t="s">
        <v>181</v>
      </c>
      <c r="K35" s="3" t="s">
        <v>182</v>
      </c>
      <c r="L35" s="3" t="s">
        <v>183</v>
      </c>
      <c r="M35" s="3" t="n">
        <v>903666</v>
      </c>
      <c r="N35" s="3" t="s">
        <v>79</v>
      </c>
      <c r="O35" s="1" t="n">
        <v>887280</v>
      </c>
      <c r="P35" s="1" t="n">
        <v>98.19</v>
      </c>
      <c r="Q35" s="1" t="s">
        <v>20</v>
      </c>
      <c r="R35" s="1" t="s">
        <v>27</v>
      </c>
      <c r="S35" s="1" t="s">
        <v>28</v>
      </c>
      <c r="T35" s="1" t="s">
        <v>29</v>
      </c>
    </row>
    <row r="36" customFormat="false" ht="18.7" hidden="false" customHeight="true" outlineLevel="0" collapsed="false">
      <c r="A36" s="1" t="n">
        <v>35</v>
      </c>
      <c r="B36" s="6" t="str">
        <f aca="false">HYPERLINK("https://mncourtfraud.com/file/MCRO_27-CR-17-22909_Order-Evaluation for Competency to Proceed (Rule 20.01)_2022-02-17_20240430093724.pdf","MCRO_27-CR-17-22909_Order-Evaluation for Competency to Proceed (Rule 20.01)_2022-02-17_20240430093724.pdf")</f>
        <v>MCRO_27-CR-17-22909_Order-Evaluation for Competency to Proceed (Rule 20.01)_2022-02-17_20240430093724.pdf</v>
      </c>
      <c r="C36" s="1" t="n">
        <v>3</v>
      </c>
      <c r="D36" s="1" t="n">
        <v>1</v>
      </c>
      <c r="E36" s="1" t="n">
        <v>1</v>
      </c>
      <c r="F36" s="3" t="s">
        <v>20</v>
      </c>
      <c r="G36" s="3" t="s">
        <v>184</v>
      </c>
      <c r="H36" s="1" t="s">
        <v>22</v>
      </c>
      <c r="I36" s="1" t="n">
        <v>20240430093724</v>
      </c>
      <c r="J36" s="3" t="s">
        <v>185</v>
      </c>
      <c r="K36" s="3" t="s">
        <v>186</v>
      </c>
      <c r="L36" s="3" t="s">
        <v>187</v>
      </c>
      <c r="M36" s="3" t="n">
        <v>227661</v>
      </c>
      <c r="N36" s="3" t="s">
        <v>99</v>
      </c>
      <c r="O36" s="1" t="n">
        <v>211275</v>
      </c>
      <c r="P36" s="1" t="n">
        <v>92.8</v>
      </c>
      <c r="Q36" s="1" t="s">
        <v>20</v>
      </c>
      <c r="R36" s="1" t="s">
        <v>27</v>
      </c>
      <c r="S36" s="1" t="s">
        <v>28</v>
      </c>
      <c r="T36" s="1" t="s">
        <v>29</v>
      </c>
    </row>
    <row r="37" customFormat="false" ht="18.7" hidden="false" customHeight="true" outlineLevel="0" collapsed="false">
      <c r="A37" s="1" t="n">
        <v>36</v>
      </c>
      <c r="B37" s="6" t="str">
        <f aca="false">HYPERLINK("https://mncourtfraud.com/file/MCRO_27-CR-17-22909_Order-Other_2017-09-13_20240430093736.pdf","MCRO_27-CR-17-22909_Order-Other_2017-09-13_20240430093736.pdf")</f>
        <v>MCRO_27-CR-17-22909_Order-Other_2017-09-13_20240430093736.pdf</v>
      </c>
      <c r="C37" s="1" t="n">
        <v>5</v>
      </c>
      <c r="D37" s="1" t="n">
        <v>5</v>
      </c>
      <c r="E37" s="1" t="n">
        <v>5</v>
      </c>
      <c r="F37" s="3" t="s">
        <v>20</v>
      </c>
      <c r="G37" s="3" t="s">
        <v>188</v>
      </c>
      <c r="H37" s="1" t="s">
        <v>22</v>
      </c>
      <c r="I37" s="1" t="n">
        <v>20240430093736</v>
      </c>
      <c r="J37" s="3" t="s">
        <v>189</v>
      </c>
      <c r="K37" s="3" t="s">
        <v>190</v>
      </c>
      <c r="L37" s="3" t="s">
        <v>191</v>
      </c>
      <c r="M37" s="3" t="n">
        <v>234132</v>
      </c>
      <c r="N37" s="3" t="s">
        <v>192</v>
      </c>
      <c r="O37" s="1" t="n">
        <v>217746</v>
      </c>
      <c r="P37" s="1" t="n">
        <v>93</v>
      </c>
      <c r="Q37" s="1" t="s">
        <v>20</v>
      </c>
      <c r="R37" s="1" t="s">
        <v>27</v>
      </c>
      <c r="S37" s="1" t="s">
        <v>28</v>
      </c>
      <c r="T37" s="1" t="s">
        <v>29</v>
      </c>
    </row>
    <row r="38" customFormat="false" ht="18.7" hidden="false" customHeight="true" outlineLevel="0" collapsed="false">
      <c r="A38" s="1" t="n">
        <v>37</v>
      </c>
      <c r="B38" s="6" t="str">
        <f aca="false">HYPERLINK("https://mncourtfraud.com/file/MCRO_27-CR-17-22909_Order-Other_2020-01-23_20240430093728.pdf","MCRO_27-CR-17-22909_Order-Other_2020-01-23_20240430093728.pdf")</f>
        <v>MCRO_27-CR-17-22909_Order-Other_2020-01-23_20240430093728.pdf</v>
      </c>
      <c r="C38" s="1" t="n">
        <v>4</v>
      </c>
      <c r="D38" s="1" t="n">
        <v>1</v>
      </c>
      <c r="E38" s="1" t="n">
        <v>1</v>
      </c>
      <c r="F38" s="3" t="s">
        <v>20</v>
      </c>
      <c r="G38" s="3" t="s">
        <v>193</v>
      </c>
      <c r="H38" s="1" t="s">
        <v>22</v>
      </c>
      <c r="I38" s="1" t="n">
        <v>20240430093728</v>
      </c>
      <c r="J38" s="3" t="s">
        <v>194</v>
      </c>
      <c r="K38" s="3" t="s">
        <v>195</v>
      </c>
      <c r="L38" s="3" t="s">
        <v>196</v>
      </c>
      <c r="M38" s="3" t="n">
        <v>137845</v>
      </c>
      <c r="N38" s="3" t="s">
        <v>104</v>
      </c>
      <c r="O38" s="1" t="n">
        <v>121459</v>
      </c>
      <c r="P38" s="1" t="n">
        <v>88.11</v>
      </c>
      <c r="Q38" s="1" t="s">
        <v>20</v>
      </c>
      <c r="R38" s="1" t="s">
        <v>27</v>
      </c>
      <c r="S38" s="1" t="s">
        <v>28</v>
      </c>
      <c r="T38" s="1" t="s">
        <v>29</v>
      </c>
    </row>
    <row r="39" customFormat="false" ht="18.7" hidden="false" customHeight="true" outlineLevel="0" collapsed="false">
      <c r="A39" s="1" t="n">
        <v>38</v>
      </c>
      <c r="B39" s="6" t="str">
        <f aca="false">HYPERLINK("https://mncourtfraud.com/file/MCRO_27-CR-17-22909_Order-Other_2021-05-11_20240430093725.pdf","MCRO_27-CR-17-22909_Order-Other_2021-05-11_20240430093725.pdf")</f>
        <v>MCRO_27-CR-17-22909_Order-Other_2021-05-11_20240430093725.pdf</v>
      </c>
      <c r="C39" s="1" t="n">
        <v>3</v>
      </c>
      <c r="D39" s="1" t="n">
        <v>1</v>
      </c>
      <c r="E39" s="1" t="n">
        <v>1</v>
      </c>
      <c r="F39" s="3" t="s">
        <v>20</v>
      </c>
      <c r="G39" s="3" t="s">
        <v>197</v>
      </c>
      <c r="H39" s="1" t="s">
        <v>22</v>
      </c>
      <c r="I39" s="1" t="n">
        <v>20240430093725</v>
      </c>
      <c r="J39" s="3" t="s">
        <v>198</v>
      </c>
      <c r="K39" s="3" t="s">
        <v>199</v>
      </c>
      <c r="L39" s="3" t="s">
        <v>200</v>
      </c>
      <c r="M39" s="3" t="n">
        <v>135662</v>
      </c>
      <c r="N39" s="3" t="s">
        <v>109</v>
      </c>
      <c r="O39" s="1" t="n">
        <v>119276</v>
      </c>
      <c r="P39" s="1" t="n">
        <v>87.92</v>
      </c>
      <c r="Q39" s="1" t="s">
        <v>20</v>
      </c>
      <c r="R39" s="1" t="s">
        <v>27</v>
      </c>
      <c r="S39" s="1" t="s">
        <v>28</v>
      </c>
      <c r="T39" s="1" t="s">
        <v>29</v>
      </c>
    </row>
    <row r="40" customFormat="false" ht="18.7" hidden="false" customHeight="true" outlineLevel="0" collapsed="false">
      <c r="A40" s="1" t="n">
        <v>39</v>
      </c>
      <c r="B40" s="6" t="str">
        <f aca="false">HYPERLINK("https://mncourtfraud.com/file/MCRO_27-CR-17-22909_Order-Other_2022-12-29_20240430093721.pdf","MCRO_27-CR-17-22909_Order-Other_2022-12-29_20240430093721.pdf")</f>
        <v>MCRO_27-CR-17-22909_Order-Other_2022-12-29_20240430093721.pdf</v>
      </c>
      <c r="C40" s="1" t="n">
        <v>7</v>
      </c>
      <c r="D40" s="1" t="n">
        <v>2</v>
      </c>
      <c r="E40" s="1" t="n">
        <v>2</v>
      </c>
      <c r="F40" s="3" t="s">
        <v>27</v>
      </c>
      <c r="G40" s="3" t="s">
        <v>201</v>
      </c>
      <c r="H40" s="1" t="s">
        <v>22</v>
      </c>
      <c r="I40" s="1" t="n">
        <v>20240430093721</v>
      </c>
      <c r="J40" s="3" t="s">
        <v>202</v>
      </c>
      <c r="K40" s="3" t="s">
        <v>203</v>
      </c>
      <c r="L40" s="3" t="s">
        <v>204</v>
      </c>
      <c r="M40" s="3" t="n">
        <v>811092</v>
      </c>
      <c r="N40" s="3" t="s">
        <v>114</v>
      </c>
      <c r="O40" s="1" t="n">
        <v>794706</v>
      </c>
      <c r="P40" s="1" t="n">
        <v>97.98</v>
      </c>
      <c r="Q40" s="1" t="s">
        <v>20</v>
      </c>
      <c r="R40" s="1" t="s">
        <v>27</v>
      </c>
      <c r="S40" s="1" t="s">
        <v>28</v>
      </c>
      <c r="T40" s="1" t="s">
        <v>29</v>
      </c>
    </row>
    <row r="41" customFormat="false" ht="18.7" hidden="false" customHeight="true" outlineLevel="0" collapsed="false">
      <c r="A41" s="1" t="n">
        <v>40</v>
      </c>
      <c r="B41" s="6" t="str">
        <f aca="false">HYPERLINK("https://mncourtfraud.com/file/MCRO_27-CR-17-22909_Order to Transport_2018-03-26_20240430093734.pdf","MCRO_27-CR-17-22909_Order to Transport_2018-03-26_20240430093734.pdf")</f>
        <v>MCRO_27-CR-17-22909_Order to Transport_2018-03-26_20240430093734.pdf</v>
      </c>
      <c r="C41" s="1" t="n">
        <v>4</v>
      </c>
      <c r="D41" s="1" t="n">
        <v>1</v>
      </c>
      <c r="E41" s="1" t="n">
        <v>1</v>
      </c>
      <c r="F41" s="3" t="s">
        <v>20</v>
      </c>
      <c r="G41" s="3" t="s">
        <v>205</v>
      </c>
      <c r="H41" s="1" t="s">
        <v>22</v>
      </c>
      <c r="I41" s="1" t="n">
        <v>20240430093734</v>
      </c>
      <c r="J41" s="3" t="s">
        <v>206</v>
      </c>
      <c r="K41" s="3" t="s">
        <v>207</v>
      </c>
      <c r="L41" s="3" t="s">
        <v>208</v>
      </c>
      <c r="M41" s="3" t="n">
        <v>99503</v>
      </c>
      <c r="N41" s="3" t="s">
        <v>128</v>
      </c>
      <c r="O41" s="1" t="n">
        <v>83117</v>
      </c>
      <c r="P41" s="1" t="n">
        <v>83.53</v>
      </c>
      <c r="Q41" s="1" t="s">
        <v>20</v>
      </c>
      <c r="R41" s="1" t="s">
        <v>27</v>
      </c>
      <c r="S41" s="1" t="s">
        <v>28</v>
      </c>
      <c r="T41" s="1" t="s">
        <v>29</v>
      </c>
    </row>
    <row r="42" customFormat="false" ht="18.7" hidden="false" customHeight="true" outlineLevel="0" collapsed="false">
      <c r="A42" s="1" t="n">
        <v>41</v>
      </c>
      <c r="B42" s="6" t="str">
        <f aca="false">HYPERLINK("https://mncourtfraud.com/file/MCRO_27-CR-17-22909_Order to Transport_2018-10-23_20240430093733.pdf","MCRO_27-CR-17-22909_Order to Transport_2018-10-23_20240430093733.pdf")</f>
        <v>MCRO_27-CR-17-22909_Order to Transport_2018-10-23_20240430093733.pdf</v>
      </c>
      <c r="C42" s="1" t="n">
        <v>4</v>
      </c>
      <c r="D42" s="1" t="n">
        <v>1</v>
      </c>
      <c r="E42" s="1" t="n">
        <v>1</v>
      </c>
      <c r="F42" s="3" t="s">
        <v>20</v>
      </c>
      <c r="G42" s="3" t="s">
        <v>209</v>
      </c>
      <c r="H42" s="1" t="s">
        <v>22</v>
      </c>
      <c r="I42" s="1" t="n">
        <v>20240430093733</v>
      </c>
      <c r="J42" s="3" t="s">
        <v>210</v>
      </c>
      <c r="K42" s="3" t="s">
        <v>211</v>
      </c>
      <c r="L42" s="3" t="s">
        <v>212</v>
      </c>
      <c r="M42" s="3" t="n">
        <v>97013</v>
      </c>
      <c r="N42" s="3" t="s">
        <v>128</v>
      </c>
      <c r="O42" s="1" t="n">
        <v>80627</v>
      </c>
      <c r="P42" s="1" t="n">
        <v>83.11</v>
      </c>
      <c r="Q42" s="1" t="s">
        <v>20</v>
      </c>
      <c r="R42" s="1" t="s">
        <v>27</v>
      </c>
      <c r="S42" s="1" t="s">
        <v>28</v>
      </c>
      <c r="T42" s="1" t="s">
        <v>29</v>
      </c>
    </row>
    <row r="43" customFormat="false" ht="18.7" hidden="false" customHeight="true" outlineLevel="0" collapsed="false">
      <c r="A43" s="1" t="n">
        <v>42</v>
      </c>
      <c r="B43" s="6" t="str">
        <f aca="false">HYPERLINK("https://mncourtfraud.com/file/MCRO_27-CR-17-22909_Order to Transport_2019-03-13_20240430093732.pdf","MCRO_27-CR-17-22909_Order to Transport_2019-03-13_20240430093732.pdf")</f>
        <v>MCRO_27-CR-17-22909_Order to Transport_2019-03-13_20240430093732.pdf</v>
      </c>
      <c r="C43" s="1" t="n">
        <v>4</v>
      </c>
      <c r="D43" s="1" t="n">
        <v>1</v>
      </c>
      <c r="E43" s="1" t="n">
        <v>1</v>
      </c>
      <c r="F43" s="3" t="s">
        <v>20</v>
      </c>
      <c r="G43" s="3" t="s">
        <v>213</v>
      </c>
      <c r="H43" s="1" t="s">
        <v>22</v>
      </c>
      <c r="I43" s="1" t="n">
        <v>20240430093732</v>
      </c>
      <c r="J43" s="3" t="s">
        <v>214</v>
      </c>
      <c r="K43" s="3" t="s">
        <v>215</v>
      </c>
      <c r="L43" s="3" t="s">
        <v>216</v>
      </c>
      <c r="M43" s="3" t="n">
        <v>89981</v>
      </c>
      <c r="N43" s="3" t="s">
        <v>137</v>
      </c>
      <c r="O43" s="1" t="n">
        <v>73595</v>
      </c>
      <c r="P43" s="1" t="n">
        <v>81.79</v>
      </c>
      <c r="Q43" s="1" t="s">
        <v>20</v>
      </c>
      <c r="R43" s="1" t="s">
        <v>27</v>
      </c>
      <c r="S43" s="1" t="s">
        <v>28</v>
      </c>
      <c r="T43" s="1" t="s">
        <v>29</v>
      </c>
    </row>
    <row r="44" customFormat="false" ht="18.7" hidden="false" customHeight="true" outlineLevel="0" collapsed="false">
      <c r="A44" s="1" t="n">
        <v>43</v>
      </c>
      <c r="B44" s="6" t="str">
        <f aca="false">HYPERLINK("https://mncourtfraud.com/file/MCRO_27-CR-17-22909_Order to Transport_2019-10-02_20240430093731.pdf","MCRO_27-CR-17-22909_Order to Transport_2019-10-02_20240430093731.pdf")</f>
        <v>MCRO_27-CR-17-22909_Order to Transport_2019-10-02_20240430093731.pdf</v>
      </c>
      <c r="C44" s="1" t="n">
        <v>4</v>
      </c>
      <c r="D44" s="1" t="n">
        <v>1</v>
      </c>
      <c r="E44" s="1" t="n">
        <v>1</v>
      </c>
      <c r="F44" s="3" t="s">
        <v>20</v>
      </c>
      <c r="G44" s="3" t="s">
        <v>217</v>
      </c>
      <c r="H44" s="1" t="s">
        <v>22</v>
      </c>
      <c r="I44" s="1" t="n">
        <v>20240430093731</v>
      </c>
      <c r="J44" s="3" t="s">
        <v>218</v>
      </c>
      <c r="K44" s="3" t="s">
        <v>219</v>
      </c>
      <c r="L44" s="3" t="s">
        <v>220</v>
      </c>
      <c r="M44" s="3" t="n">
        <v>89521</v>
      </c>
      <c r="N44" s="3" t="s">
        <v>137</v>
      </c>
      <c r="O44" s="1" t="n">
        <v>73135</v>
      </c>
      <c r="P44" s="1" t="n">
        <v>81.7</v>
      </c>
      <c r="Q44" s="1" t="s">
        <v>20</v>
      </c>
      <c r="R44" s="1" t="s">
        <v>27</v>
      </c>
      <c r="S44" s="1" t="s">
        <v>28</v>
      </c>
      <c r="T44" s="1" t="s">
        <v>29</v>
      </c>
    </row>
    <row r="45" customFormat="false" ht="18.7" hidden="false" customHeight="true" outlineLevel="0" collapsed="false">
      <c r="A45" s="1" t="n">
        <v>44</v>
      </c>
      <c r="B45" s="6" t="str">
        <f aca="false">HYPERLINK("https://mncourtfraud.com/file/MCRO_27-CR-17-22909_Order to Transport_2020-01-24_20240430093727.pdf","MCRO_27-CR-17-22909_Order to Transport_2020-01-24_20240430093727.pdf")</f>
        <v>MCRO_27-CR-17-22909_Order to Transport_2020-01-24_20240430093727.pdf</v>
      </c>
      <c r="C45" s="1" t="n">
        <v>4</v>
      </c>
      <c r="D45" s="1" t="n">
        <v>1</v>
      </c>
      <c r="E45" s="1" t="n">
        <v>1</v>
      </c>
      <c r="F45" s="3" t="s">
        <v>20</v>
      </c>
      <c r="G45" s="3" t="s">
        <v>221</v>
      </c>
      <c r="H45" s="1" t="s">
        <v>22</v>
      </c>
      <c r="I45" s="1" t="n">
        <v>20240430093727</v>
      </c>
      <c r="J45" s="3" t="s">
        <v>222</v>
      </c>
      <c r="K45" s="3" t="s">
        <v>223</v>
      </c>
      <c r="L45" s="3" t="s">
        <v>224</v>
      </c>
      <c r="M45" s="3" t="n">
        <v>87074</v>
      </c>
      <c r="N45" s="3" t="s">
        <v>137</v>
      </c>
      <c r="O45" s="1" t="n">
        <v>70688</v>
      </c>
      <c r="P45" s="1" t="n">
        <v>81.18</v>
      </c>
      <c r="Q45" s="1" t="s">
        <v>20</v>
      </c>
      <c r="R45" s="1" t="s">
        <v>27</v>
      </c>
      <c r="S45" s="1" t="s">
        <v>28</v>
      </c>
      <c r="T45" s="1" t="s">
        <v>29</v>
      </c>
    </row>
    <row r="46" customFormat="false" ht="18.7" hidden="false" customHeight="true" outlineLevel="0" collapsed="false">
      <c r="A46" s="1" t="n">
        <v>45</v>
      </c>
      <c r="B46" s="6" t="str">
        <f aca="false">HYPERLINK("https://mncourtfraud.com/file/MCRO_27-CR-17-22909_Proposed Order or Document_2020-01-23_20240430093729.pdf","MCRO_27-CR-17-22909_Proposed Order or Document_2020-01-23_20240430093729.pdf")</f>
        <v>MCRO_27-CR-17-22909_Proposed Order or Document_2020-01-23_20240430093729.pdf</v>
      </c>
      <c r="C46" s="1" t="n">
        <v>3</v>
      </c>
      <c r="D46" s="1" t="n">
        <v>1</v>
      </c>
      <c r="E46" s="1" t="n">
        <v>1</v>
      </c>
      <c r="F46" s="3" t="s">
        <v>20</v>
      </c>
      <c r="G46" s="3" t="s">
        <v>225</v>
      </c>
      <c r="H46" s="1" t="s">
        <v>22</v>
      </c>
      <c r="I46" s="1" t="n">
        <v>20240430093729</v>
      </c>
      <c r="J46" s="3" t="s">
        <v>226</v>
      </c>
      <c r="K46" s="3" t="s">
        <v>227</v>
      </c>
      <c r="L46" s="3" t="s">
        <v>228</v>
      </c>
      <c r="M46" s="3" t="n">
        <v>151461</v>
      </c>
      <c r="N46" s="3" t="s">
        <v>109</v>
      </c>
      <c r="O46" s="1" t="n">
        <v>135075</v>
      </c>
      <c r="P46" s="1" t="n">
        <v>89.18</v>
      </c>
      <c r="Q46" s="1" t="s">
        <v>20</v>
      </c>
      <c r="R46" s="1" t="s">
        <v>27</v>
      </c>
      <c r="S46" s="1" t="s">
        <v>28</v>
      </c>
      <c r="T46" s="1" t="s">
        <v>29</v>
      </c>
    </row>
    <row r="47" customFormat="false" ht="18.7" hidden="false" customHeight="true" outlineLevel="0" collapsed="false">
      <c r="A47" s="1" t="n">
        <v>46</v>
      </c>
      <c r="B47" s="6" t="str">
        <f aca="false">HYPERLINK("https://mncourtfraud.com/file/MCRO_27-CR-17-22909_Proposed Order or Document_2022-12-27_20240430093722.pdf","MCRO_27-CR-17-22909_Proposed Order or Document_2022-12-27_20240430093722.pdf")</f>
        <v>MCRO_27-CR-17-22909_Proposed Order or Document_2022-12-27_20240430093722.pdf</v>
      </c>
      <c r="C47" s="1" t="n">
        <v>3</v>
      </c>
      <c r="D47" s="1" t="n">
        <v>1</v>
      </c>
      <c r="E47" s="1" t="n">
        <v>1</v>
      </c>
      <c r="F47" s="3" t="s">
        <v>20</v>
      </c>
      <c r="G47" s="3" t="s">
        <v>229</v>
      </c>
      <c r="H47" s="1" t="s">
        <v>22</v>
      </c>
      <c r="I47" s="1" t="n">
        <v>20240430093722</v>
      </c>
      <c r="J47" s="3" t="s">
        <v>230</v>
      </c>
      <c r="K47" s="3" t="s">
        <v>231</v>
      </c>
      <c r="L47" s="3" t="s">
        <v>232</v>
      </c>
      <c r="M47" s="3" t="n">
        <v>146088</v>
      </c>
      <c r="N47" s="3" t="s">
        <v>64</v>
      </c>
      <c r="O47" s="1" t="n">
        <v>129702</v>
      </c>
      <c r="P47" s="1" t="n">
        <v>88.78</v>
      </c>
      <c r="Q47" s="1" t="s">
        <v>20</v>
      </c>
      <c r="R47" s="1" t="s">
        <v>27</v>
      </c>
      <c r="S47" s="1" t="s">
        <v>28</v>
      </c>
      <c r="T47" s="1" t="s">
        <v>29</v>
      </c>
    </row>
    <row r="48" customFormat="false" ht="18.7" hidden="false" customHeight="true" outlineLevel="0" collapsed="false">
      <c r="A48" s="1" t="n">
        <v>47</v>
      </c>
      <c r="B48" s="6" t="str">
        <f aca="false">HYPERLINK("https://mncourtfraud.com/file/MCRO_27-CR-17-22909_Returned Mail_2024-02-13_20240430093718.pdf","MCRO_27-CR-17-22909_Returned Mail_2024-02-13_20240430093718.pdf")</f>
        <v>MCRO_27-CR-17-22909_Returned Mail_2024-02-13_20240430093718.pdf</v>
      </c>
      <c r="C48" s="1" t="n">
        <v>4</v>
      </c>
      <c r="D48" s="1" t="n">
        <v>1</v>
      </c>
      <c r="E48" s="1" t="n">
        <v>1</v>
      </c>
      <c r="F48" s="3" t="s">
        <v>20</v>
      </c>
      <c r="G48" s="3" t="s">
        <v>233</v>
      </c>
      <c r="H48" s="1" t="s">
        <v>22</v>
      </c>
      <c r="I48" s="1" t="n">
        <v>20240430093718</v>
      </c>
      <c r="J48" s="3" t="s">
        <v>181</v>
      </c>
      <c r="K48" s="3" t="s">
        <v>182</v>
      </c>
      <c r="L48" s="3" t="s">
        <v>234</v>
      </c>
      <c r="M48" s="3" t="n">
        <v>305097</v>
      </c>
      <c r="N48" s="3" t="s">
        <v>158</v>
      </c>
      <c r="O48" s="1" t="n">
        <v>288711</v>
      </c>
      <c r="P48" s="1" t="n">
        <v>94.63</v>
      </c>
      <c r="Q48" s="1" t="s">
        <v>20</v>
      </c>
      <c r="R48" s="1" t="s">
        <v>27</v>
      </c>
      <c r="S48" s="1" t="s">
        <v>28</v>
      </c>
      <c r="T48" s="1" t="s">
        <v>29</v>
      </c>
    </row>
    <row r="49" customFormat="false" ht="18.7" hidden="false" customHeight="true" outlineLevel="0" collapsed="false">
      <c r="A49" s="1" t="n">
        <v>48</v>
      </c>
      <c r="B49" s="6" t="str">
        <f aca="false">HYPERLINK("https://mncourtfraud.com/file/MCRO_27-CR-17-8342_Correspondence for Judicial Approval_2022-12-27_20240430093640.pdf","MCRO_27-CR-17-8342_Correspondence for Judicial Approval_2022-12-27_20240430093640.pdf")</f>
        <v>MCRO_27-CR-17-8342_Correspondence for Judicial Approval_2022-12-27_20240430093640.pdf</v>
      </c>
      <c r="C49" s="1" t="n">
        <v>4</v>
      </c>
      <c r="D49" s="1" t="n">
        <v>1</v>
      </c>
      <c r="E49" s="1" t="n">
        <v>1</v>
      </c>
      <c r="F49" s="3" t="s">
        <v>20</v>
      </c>
      <c r="G49" s="3" t="s">
        <v>235</v>
      </c>
      <c r="H49" s="1" t="s">
        <v>22</v>
      </c>
      <c r="I49" s="1" t="n">
        <v>20240430093640</v>
      </c>
      <c r="J49" s="3" t="s">
        <v>236</v>
      </c>
      <c r="K49" s="3" t="s">
        <v>237</v>
      </c>
      <c r="L49" s="3" t="s">
        <v>238</v>
      </c>
      <c r="M49" s="3" t="n">
        <v>207901</v>
      </c>
      <c r="N49" s="3" t="s">
        <v>26</v>
      </c>
      <c r="O49" s="1" t="n">
        <v>191515</v>
      </c>
      <c r="P49" s="1" t="n">
        <v>92.12</v>
      </c>
      <c r="Q49" s="1" t="s">
        <v>20</v>
      </c>
      <c r="R49" s="1" t="s">
        <v>27</v>
      </c>
      <c r="S49" s="1" t="s">
        <v>28</v>
      </c>
      <c r="T49" s="1" t="s">
        <v>29</v>
      </c>
    </row>
    <row r="50" customFormat="false" ht="18.7" hidden="false" customHeight="true" outlineLevel="0" collapsed="false">
      <c r="A50" s="1" t="n">
        <v>49</v>
      </c>
      <c r="B50" s="6" t="str">
        <f aca="false">HYPERLINK("https://mncourtfraud.com/file/MCRO_27-CR-17-8342_E-filed Comp-Warrant_2017-04-05_20240430093658.pdf","MCRO_27-CR-17-8342_E-filed Comp-Warrant_2017-04-05_20240430093658.pdf")</f>
        <v>MCRO_27-CR-17-8342_E-filed Comp-Warrant_2017-04-05_20240430093658.pdf</v>
      </c>
      <c r="C50" s="1" t="n">
        <v>5</v>
      </c>
      <c r="D50" s="1" t="n">
        <v>2</v>
      </c>
      <c r="E50" s="1" t="n">
        <v>2</v>
      </c>
      <c r="F50" s="3" t="s">
        <v>20</v>
      </c>
      <c r="G50" s="3" t="s">
        <v>239</v>
      </c>
      <c r="H50" s="1" t="s">
        <v>22</v>
      </c>
      <c r="I50" s="1" t="n">
        <v>20240430093658</v>
      </c>
      <c r="J50" s="3" t="s">
        <v>240</v>
      </c>
      <c r="K50" s="3" t="s">
        <v>241</v>
      </c>
      <c r="L50" s="3" t="s">
        <v>242</v>
      </c>
      <c r="M50" s="3" t="n">
        <v>347535</v>
      </c>
      <c r="N50" s="3" t="s">
        <v>167</v>
      </c>
      <c r="O50" s="1" t="n">
        <v>331149</v>
      </c>
      <c r="P50" s="1" t="n">
        <v>95.29</v>
      </c>
      <c r="Q50" s="1" t="s">
        <v>20</v>
      </c>
      <c r="R50" s="1" t="s">
        <v>27</v>
      </c>
      <c r="S50" s="1" t="s">
        <v>28</v>
      </c>
      <c r="T50" s="1" t="s">
        <v>29</v>
      </c>
    </row>
    <row r="51" customFormat="false" ht="18.7" hidden="false" customHeight="true" outlineLevel="0" collapsed="false">
      <c r="A51" s="1" t="n">
        <v>50</v>
      </c>
      <c r="B51" s="6" t="str">
        <f aca="false">HYPERLINK("https://mncourtfraud.com/file/MCRO_27-CR-17-8342_Exhibit List_2022-12-20_20240430093641.pdf","MCRO_27-CR-17-8342_Exhibit List_2022-12-20_20240430093641.pdf")</f>
        <v>MCRO_27-CR-17-8342_Exhibit List_2022-12-20_20240430093641.pdf</v>
      </c>
      <c r="C51" s="1" t="n">
        <v>4</v>
      </c>
      <c r="D51" s="1" t="n">
        <v>1</v>
      </c>
      <c r="E51" s="1" t="n">
        <v>1</v>
      </c>
      <c r="F51" s="3" t="s">
        <v>20</v>
      </c>
      <c r="G51" s="3" t="s">
        <v>243</v>
      </c>
      <c r="H51" s="1" t="s">
        <v>22</v>
      </c>
      <c r="I51" s="1" t="n">
        <v>20240430093641</v>
      </c>
      <c r="J51" s="3" t="s">
        <v>244</v>
      </c>
      <c r="K51" s="3" t="s">
        <v>245</v>
      </c>
      <c r="L51" s="3" t="s">
        <v>246</v>
      </c>
      <c r="M51" s="3" t="n">
        <v>415398</v>
      </c>
      <c r="N51" s="3" t="s">
        <v>158</v>
      </c>
      <c r="O51" s="1" t="n">
        <v>399012</v>
      </c>
      <c r="P51" s="1" t="n">
        <v>96.06</v>
      </c>
      <c r="Q51" s="1" t="s">
        <v>20</v>
      </c>
      <c r="R51" s="1" t="s">
        <v>27</v>
      </c>
      <c r="S51" s="1" t="s">
        <v>28</v>
      </c>
      <c r="T51" s="1" t="s">
        <v>29</v>
      </c>
    </row>
    <row r="52" customFormat="false" ht="18.7" hidden="false" customHeight="true" outlineLevel="0" collapsed="false">
      <c r="A52" s="1" t="n">
        <v>51</v>
      </c>
      <c r="B52" s="6" t="str">
        <f aca="false">HYPERLINK("https://mncourtfraud.com/file/MCRO_27-CR-17-8342_Find of Fact-Order, Pet Commitment-Dfd Found Incompetent_2017-04-11_20240430093657.pdf","MCRO_27-CR-17-8342_Find of Fact-Order, Pet Commitment-Dfd Found Incompetent_2017-04-11_20240430093657.pdf")</f>
        <v>MCRO_27-CR-17-8342_Find of Fact-Order, Pet Commitment-Dfd Found Incompetent_2017-04-11_20240430093657.pdf</v>
      </c>
      <c r="C52" s="1" t="n">
        <v>4</v>
      </c>
      <c r="D52" s="1" t="n">
        <v>2</v>
      </c>
      <c r="E52" s="1" t="n">
        <v>2</v>
      </c>
      <c r="F52" s="3" t="s">
        <v>20</v>
      </c>
      <c r="G52" s="3" t="s">
        <v>247</v>
      </c>
      <c r="H52" s="1" t="s">
        <v>22</v>
      </c>
      <c r="I52" s="1" t="n">
        <v>20240430093657</v>
      </c>
      <c r="J52" s="3" t="s">
        <v>248</v>
      </c>
      <c r="K52" s="3" t="s">
        <v>249</v>
      </c>
      <c r="L52" s="3" t="s">
        <v>250</v>
      </c>
      <c r="M52" s="3" t="n">
        <v>184525</v>
      </c>
      <c r="N52" s="3" t="s">
        <v>251</v>
      </c>
      <c r="O52" s="1" t="n">
        <v>168139</v>
      </c>
      <c r="P52" s="1" t="n">
        <v>91.12</v>
      </c>
      <c r="Q52" s="1" t="s">
        <v>20</v>
      </c>
      <c r="R52" s="1" t="s">
        <v>27</v>
      </c>
      <c r="S52" s="1" t="s">
        <v>28</v>
      </c>
      <c r="T52" s="1" t="s">
        <v>29</v>
      </c>
    </row>
    <row r="53" customFormat="false" ht="18.7" hidden="false" customHeight="true" outlineLevel="0" collapsed="false">
      <c r="A53" s="1" t="n">
        <v>52</v>
      </c>
      <c r="B53" s="6" t="str">
        <f aca="false">HYPERLINK("https://mncourtfraud.com/file/MCRO_27-CR-17-8342_Find of Fact-Order, Pet Commitment-Dfd Found Incompetent_2020-05-08_20240430093644.pdf","MCRO_27-CR-17-8342_Find of Fact-Order, Pet Commitment-Dfd Found Incompetent_2020-05-08_20240430093644.pdf")</f>
        <v>MCRO_27-CR-17-8342_Find of Fact-Order, Pet Commitment-Dfd Found Incompetent_2020-05-08_20240430093644.pdf</v>
      </c>
      <c r="C53" s="1" t="n">
        <v>3</v>
      </c>
      <c r="D53" s="1" t="n">
        <v>1</v>
      </c>
      <c r="E53" s="1" t="n">
        <v>1</v>
      </c>
      <c r="F53" s="3" t="s">
        <v>20</v>
      </c>
      <c r="G53" s="3" t="s">
        <v>252</v>
      </c>
      <c r="H53" s="1" t="s">
        <v>22</v>
      </c>
      <c r="I53" s="1" t="n">
        <v>20240430093644</v>
      </c>
      <c r="J53" s="3" t="s">
        <v>253</v>
      </c>
      <c r="K53" s="3" t="s">
        <v>254</v>
      </c>
      <c r="L53" s="3" t="s">
        <v>255</v>
      </c>
      <c r="M53" s="3" t="n">
        <v>437115</v>
      </c>
      <c r="N53" s="3" t="s">
        <v>49</v>
      </c>
      <c r="O53" s="1" t="n">
        <v>420729</v>
      </c>
      <c r="P53" s="1" t="n">
        <v>96.25</v>
      </c>
      <c r="Q53" s="1" t="s">
        <v>20</v>
      </c>
      <c r="R53" s="1" t="s">
        <v>27</v>
      </c>
      <c r="S53" s="1" t="s">
        <v>28</v>
      </c>
      <c r="T53" s="1" t="s">
        <v>29</v>
      </c>
    </row>
    <row r="54" customFormat="false" ht="18.7" hidden="false" customHeight="true" outlineLevel="0" collapsed="false">
      <c r="A54" s="1" t="n">
        <v>53</v>
      </c>
      <c r="B54" s="6" t="str">
        <f aca="false">HYPERLINK("https://mncourtfraud.com/file/MCRO_27-CR-17-8342_Notice of Intent to Prosecute_2018-10-16_20240430093653.pdf","MCRO_27-CR-17-8342_Notice of Intent to Prosecute_2018-10-16_20240430093653.pdf")</f>
        <v>MCRO_27-CR-17-8342_Notice of Intent to Prosecute_2018-10-16_20240430093653.pdf</v>
      </c>
      <c r="C54" s="1" t="n">
        <v>4</v>
      </c>
      <c r="D54" s="1" t="n">
        <v>1</v>
      </c>
      <c r="E54" s="1" t="n">
        <v>1</v>
      </c>
      <c r="F54" s="3" t="s">
        <v>20</v>
      </c>
      <c r="G54" s="3" t="s">
        <v>256</v>
      </c>
      <c r="H54" s="1" t="s">
        <v>22</v>
      </c>
      <c r="I54" s="1" t="n">
        <v>20240430093653</v>
      </c>
      <c r="J54" s="3" t="s">
        <v>257</v>
      </c>
      <c r="K54" s="3" t="s">
        <v>258</v>
      </c>
      <c r="L54" s="3" t="s">
        <v>259</v>
      </c>
      <c r="M54" s="3" t="n">
        <v>81782</v>
      </c>
      <c r="N54" s="3" t="s">
        <v>128</v>
      </c>
      <c r="O54" s="1" t="n">
        <v>65396</v>
      </c>
      <c r="P54" s="1" t="n">
        <v>79.96</v>
      </c>
      <c r="Q54" s="1" t="s">
        <v>20</v>
      </c>
      <c r="R54" s="1" t="s">
        <v>27</v>
      </c>
      <c r="S54" s="1" t="s">
        <v>28</v>
      </c>
      <c r="T54" s="1" t="s">
        <v>29</v>
      </c>
    </row>
    <row r="55" customFormat="false" ht="18.7" hidden="false" customHeight="true" outlineLevel="0" collapsed="false">
      <c r="A55" s="1" t="n">
        <v>54</v>
      </c>
      <c r="B55" s="6" t="str">
        <f aca="false">HYPERLINK("https://mncourtfraud.com/file/MCRO_27-CR-17-8342_Notice of Motion and Motion_2020-01-23_20240430093649.pdf","MCRO_27-CR-17-8342_Notice of Motion and Motion_2020-01-23_20240430093649.pdf")</f>
        <v>MCRO_27-CR-17-8342_Notice of Motion and Motion_2020-01-23_20240430093649.pdf</v>
      </c>
      <c r="C55" s="1" t="n">
        <v>3</v>
      </c>
      <c r="D55" s="1" t="n">
        <v>1</v>
      </c>
      <c r="E55" s="1" t="n">
        <v>1</v>
      </c>
      <c r="F55" s="3" t="s">
        <v>20</v>
      </c>
      <c r="G55" s="3" t="s">
        <v>260</v>
      </c>
      <c r="H55" s="1" t="s">
        <v>22</v>
      </c>
      <c r="I55" s="1" t="n">
        <v>20240430093649</v>
      </c>
      <c r="J55" s="3" t="s">
        <v>261</v>
      </c>
      <c r="K55" s="3" t="s">
        <v>262</v>
      </c>
      <c r="L55" s="3" t="s">
        <v>63</v>
      </c>
      <c r="M55" s="3" t="n">
        <v>134952</v>
      </c>
      <c r="N55" s="3" t="s">
        <v>64</v>
      </c>
      <c r="O55" s="1" t="n">
        <v>118566</v>
      </c>
      <c r="P55" s="1" t="n">
        <v>87.86</v>
      </c>
      <c r="Q55" s="1" t="s">
        <v>20</v>
      </c>
      <c r="R55" s="1" t="s">
        <v>27</v>
      </c>
      <c r="S55" s="1" t="s">
        <v>28</v>
      </c>
      <c r="T55" s="1" t="s">
        <v>29</v>
      </c>
    </row>
    <row r="56" customFormat="false" ht="18.7" hidden="false" customHeight="true" outlineLevel="0" collapsed="false">
      <c r="A56" s="1" t="n">
        <v>55</v>
      </c>
      <c r="B56" s="6" t="str">
        <f aca="false">HYPERLINK("https://mncourtfraud.com/file/MCRO_27-CR-17-8342_Notice of Motion and Motion_2024-01-31_20240430093635.pdf","MCRO_27-CR-17-8342_Notice of Motion and Motion_2024-01-31_20240430093635.pdf")</f>
        <v>MCRO_27-CR-17-8342_Notice of Motion and Motion_2024-01-31_20240430093635.pdf</v>
      </c>
      <c r="C56" s="1" t="n">
        <v>3</v>
      </c>
      <c r="D56" s="1" t="n">
        <v>1</v>
      </c>
      <c r="E56" s="1" t="n">
        <v>1</v>
      </c>
      <c r="F56" s="3" t="s">
        <v>20</v>
      </c>
      <c r="G56" s="3" t="s">
        <v>263</v>
      </c>
      <c r="H56" s="1" t="s">
        <v>22</v>
      </c>
      <c r="I56" s="1" t="n">
        <v>20240430093635</v>
      </c>
      <c r="J56" s="3" t="s">
        <v>264</v>
      </c>
      <c r="K56" s="3" t="s">
        <v>265</v>
      </c>
      <c r="L56" s="3" t="s">
        <v>266</v>
      </c>
      <c r="M56" s="3" t="n">
        <v>256595</v>
      </c>
      <c r="N56" s="3" t="s">
        <v>44</v>
      </c>
      <c r="O56" s="1" t="n">
        <v>240209</v>
      </c>
      <c r="P56" s="1" t="n">
        <v>93.61</v>
      </c>
      <c r="Q56" s="1" t="s">
        <v>20</v>
      </c>
      <c r="R56" s="1" t="s">
        <v>27</v>
      </c>
      <c r="S56" s="1" t="s">
        <v>28</v>
      </c>
      <c r="T56" s="1" t="s">
        <v>29</v>
      </c>
    </row>
    <row r="57" customFormat="false" ht="18.7" hidden="false" customHeight="true" outlineLevel="0" collapsed="false">
      <c r="A57" s="1" t="n">
        <v>56</v>
      </c>
      <c r="B57" s="6" t="str">
        <f aca="false">HYPERLINK("https://mncourtfraud.com/file/MCRO_27-CR-17-8342_Notice of Remote Hearing with Instructions_2024-01-09_20240430093636.pdf","MCRO_27-CR-17-8342_Notice of Remote Hearing with Instructions_2024-01-09_20240430093636.pdf")</f>
        <v>MCRO_27-CR-17-8342_Notice of Remote Hearing with Instructions_2024-01-09_20240430093636.pdf</v>
      </c>
      <c r="C57" s="1" t="n">
        <v>5</v>
      </c>
      <c r="D57" s="1" t="n">
        <v>1</v>
      </c>
      <c r="E57" s="1" t="n">
        <v>1</v>
      </c>
      <c r="F57" s="3" t="s">
        <v>20</v>
      </c>
      <c r="G57" s="3" t="s">
        <v>267</v>
      </c>
      <c r="H57" s="1" t="s">
        <v>22</v>
      </c>
      <c r="I57" s="1" t="n">
        <v>20240430093636</v>
      </c>
      <c r="J57" s="3" t="s">
        <v>268</v>
      </c>
      <c r="K57" s="3" t="s">
        <v>269</v>
      </c>
      <c r="L57" s="3" t="s">
        <v>270</v>
      </c>
      <c r="M57" s="3" t="n">
        <v>903667</v>
      </c>
      <c r="N57" s="3" t="s">
        <v>79</v>
      </c>
      <c r="O57" s="1" t="n">
        <v>887281</v>
      </c>
      <c r="P57" s="1" t="n">
        <v>98.19</v>
      </c>
      <c r="Q57" s="1" t="s">
        <v>20</v>
      </c>
      <c r="R57" s="1" t="s">
        <v>27</v>
      </c>
      <c r="S57" s="1" t="s">
        <v>28</v>
      </c>
      <c r="T57" s="1" t="s">
        <v>29</v>
      </c>
    </row>
    <row r="58" customFormat="false" ht="18.7" hidden="false" customHeight="true" outlineLevel="0" collapsed="false">
      <c r="A58" s="1" t="n">
        <v>57</v>
      </c>
      <c r="B58" s="6" t="str">
        <f aca="false">HYPERLINK("https://mncourtfraud.com/file/MCRO_27-CR-17-8342_Notice of Remote Hearing with Instructions_2024-01-09_20240430093637.pdf","MCRO_27-CR-17-8342_Notice of Remote Hearing with Instructions_2024-01-09_20240430093637.pdf")</f>
        <v>MCRO_27-CR-17-8342_Notice of Remote Hearing with Instructions_2024-01-09_20240430093637.pdf</v>
      </c>
      <c r="C58" s="1" t="n">
        <v>4</v>
      </c>
      <c r="D58" s="1" t="n">
        <v>1</v>
      </c>
      <c r="E58" s="1" t="n">
        <v>1</v>
      </c>
      <c r="F58" s="3" t="s">
        <v>20</v>
      </c>
      <c r="G58" s="3" t="s">
        <v>271</v>
      </c>
      <c r="H58" s="1" t="s">
        <v>22</v>
      </c>
      <c r="I58" s="1" t="n">
        <v>20240430093637</v>
      </c>
      <c r="J58" s="3" t="s">
        <v>272</v>
      </c>
      <c r="K58" s="3" t="s">
        <v>273</v>
      </c>
      <c r="L58" s="3" t="s">
        <v>274</v>
      </c>
      <c r="M58" s="3" t="n">
        <v>270048</v>
      </c>
      <c r="N58" s="3" t="s">
        <v>74</v>
      </c>
      <c r="O58" s="1" t="n">
        <v>253662</v>
      </c>
      <c r="P58" s="1" t="n">
        <v>93.93</v>
      </c>
      <c r="Q58" s="1" t="s">
        <v>20</v>
      </c>
      <c r="R58" s="1" t="s">
        <v>27</v>
      </c>
      <c r="S58" s="1" t="s">
        <v>28</v>
      </c>
      <c r="T58" s="1" t="s">
        <v>29</v>
      </c>
    </row>
    <row r="59" customFormat="false" ht="18.7" hidden="false" customHeight="true" outlineLevel="0" collapsed="false">
      <c r="A59" s="1" t="n">
        <v>58</v>
      </c>
      <c r="B59" s="6" t="str">
        <f aca="false">HYPERLINK("https://mncourtfraud.com/file/MCRO_27-CR-17-8342_Notice of Remote Hearing with Instructions_2024-03-19_20240430093633.pdf","MCRO_27-CR-17-8342_Notice of Remote Hearing with Instructions_2024-03-19_20240430093633.pdf")</f>
        <v>MCRO_27-CR-17-8342_Notice of Remote Hearing with Instructions_2024-03-19_20240430093633.pdf</v>
      </c>
      <c r="C59" s="1" t="n">
        <v>4</v>
      </c>
      <c r="D59" s="1" t="n">
        <v>1</v>
      </c>
      <c r="E59" s="1" t="n">
        <v>1</v>
      </c>
      <c r="F59" s="3" t="s">
        <v>20</v>
      </c>
      <c r="G59" s="3" t="s">
        <v>275</v>
      </c>
      <c r="H59" s="1" t="s">
        <v>22</v>
      </c>
      <c r="I59" s="1" t="n">
        <v>20240430093633</v>
      </c>
      <c r="J59" s="3" t="s">
        <v>276</v>
      </c>
      <c r="K59" s="3" t="s">
        <v>277</v>
      </c>
      <c r="L59" s="3" t="s">
        <v>278</v>
      </c>
      <c r="M59" s="3" t="n">
        <v>263077</v>
      </c>
      <c r="N59" s="3" t="s">
        <v>84</v>
      </c>
      <c r="O59" s="1" t="n">
        <v>246691</v>
      </c>
      <c r="P59" s="1" t="n">
        <v>93.77</v>
      </c>
      <c r="Q59" s="1" t="s">
        <v>20</v>
      </c>
      <c r="R59" s="1" t="s">
        <v>27</v>
      </c>
      <c r="S59" s="1" t="s">
        <v>28</v>
      </c>
      <c r="T59" s="1" t="s">
        <v>29</v>
      </c>
    </row>
    <row r="60" customFormat="false" ht="18.7" hidden="false" customHeight="true" outlineLevel="0" collapsed="false">
      <c r="A60" s="1" t="n">
        <v>59</v>
      </c>
      <c r="B60" s="6" t="str">
        <f aca="false">HYPERLINK("https://mncourtfraud.com/file/MCRO_27-CR-17-8342_Order Denying Motion_2024-04-11_20240430093632.pdf","MCRO_27-CR-17-8342_Order Denying Motion_2024-04-11_20240430093632.pdf")</f>
        <v>MCRO_27-CR-17-8342_Order Denying Motion_2024-04-11_20240430093632.pdf</v>
      </c>
      <c r="C60" s="1" t="n">
        <v>9</v>
      </c>
      <c r="D60" s="1" t="n">
        <v>9</v>
      </c>
      <c r="E60" s="1" t="n">
        <v>9</v>
      </c>
      <c r="F60" s="3" t="s">
        <v>20</v>
      </c>
      <c r="G60" s="3" t="s">
        <v>279</v>
      </c>
      <c r="H60" s="1" t="s">
        <v>22</v>
      </c>
      <c r="I60" s="1" t="n">
        <v>20240430093632</v>
      </c>
      <c r="J60" s="3" t="s">
        <v>280</v>
      </c>
      <c r="K60" s="3" t="s">
        <v>281</v>
      </c>
      <c r="L60" s="3" t="s">
        <v>282</v>
      </c>
      <c r="M60" s="3" t="n">
        <v>489561</v>
      </c>
      <c r="N60" s="3" t="s">
        <v>89</v>
      </c>
      <c r="O60" s="1" t="n">
        <v>473175</v>
      </c>
      <c r="P60" s="1" t="n">
        <v>96.65</v>
      </c>
      <c r="Q60" s="1" t="s">
        <v>20</v>
      </c>
      <c r="R60" s="1" t="s">
        <v>27</v>
      </c>
      <c r="S60" s="1" t="s">
        <v>28</v>
      </c>
      <c r="T60" s="1" t="s">
        <v>29</v>
      </c>
    </row>
    <row r="61" customFormat="false" ht="18.7" hidden="false" customHeight="true" outlineLevel="0" collapsed="false">
      <c r="A61" s="1" t="n">
        <v>60</v>
      </c>
      <c r="B61" s="6" t="str">
        <f aca="false">HYPERLINK("https://mncourtfraud.com/file/MCRO_27-CR-17-8342_Order-Evaluation for Competency to Proceed (Rule 20.01)_2022-02-17_20240430093642.pdf","MCRO_27-CR-17-8342_Order-Evaluation for Competency to Proceed (Rule 20.01)_2022-02-17_20240430093642.pdf")</f>
        <v>MCRO_27-CR-17-8342_Order-Evaluation for Competency to Proceed (Rule 20.01)_2022-02-17_20240430093642.pdf</v>
      </c>
      <c r="C61" s="1" t="n">
        <v>3</v>
      </c>
      <c r="D61" s="1" t="n">
        <v>1</v>
      </c>
      <c r="E61" s="1" t="n">
        <v>1</v>
      </c>
      <c r="F61" s="3" t="s">
        <v>20</v>
      </c>
      <c r="G61" s="3" t="s">
        <v>283</v>
      </c>
      <c r="H61" s="1" t="s">
        <v>22</v>
      </c>
      <c r="I61" s="1" t="n">
        <v>20240430093642</v>
      </c>
      <c r="J61" s="3" t="s">
        <v>284</v>
      </c>
      <c r="K61" s="3" t="s">
        <v>285</v>
      </c>
      <c r="L61" s="3" t="s">
        <v>286</v>
      </c>
      <c r="M61" s="3" t="n">
        <v>227652</v>
      </c>
      <c r="N61" s="3" t="s">
        <v>99</v>
      </c>
      <c r="O61" s="1" t="n">
        <v>211266</v>
      </c>
      <c r="P61" s="1" t="n">
        <v>92.8</v>
      </c>
      <c r="Q61" s="1" t="s">
        <v>20</v>
      </c>
      <c r="R61" s="1" t="s">
        <v>27</v>
      </c>
      <c r="S61" s="1" t="s">
        <v>28</v>
      </c>
      <c r="T61" s="1" t="s">
        <v>29</v>
      </c>
    </row>
    <row r="62" customFormat="false" ht="18.7" hidden="false" customHeight="true" outlineLevel="0" collapsed="false">
      <c r="A62" s="1" t="n">
        <v>61</v>
      </c>
      <c r="B62" s="6" t="str">
        <f aca="false">HYPERLINK("https://mncourtfraud.com/file/MCRO_27-CR-17-8342_Order-Other_2020-01-23_20240430093646.pdf","MCRO_27-CR-17-8342_Order-Other_2020-01-23_20240430093646.pdf")</f>
        <v>MCRO_27-CR-17-8342_Order-Other_2020-01-23_20240430093646.pdf</v>
      </c>
      <c r="C62" s="1" t="n">
        <v>4</v>
      </c>
      <c r="D62" s="1" t="n">
        <v>1</v>
      </c>
      <c r="E62" s="1" t="n">
        <v>1</v>
      </c>
      <c r="F62" s="3" t="s">
        <v>20</v>
      </c>
      <c r="G62" s="3" t="s">
        <v>287</v>
      </c>
      <c r="H62" s="1" t="s">
        <v>22</v>
      </c>
      <c r="I62" s="1" t="n">
        <v>20240430093646</v>
      </c>
      <c r="J62" s="3" t="s">
        <v>288</v>
      </c>
      <c r="K62" s="3" t="s">
        <v>289</v>
      </c>
      <c r="L62" s="3" t="s">
        <v>290</v>
      </c>
      <c r="M62" s="3" t="n">
        <v>137839</v>
      </c>
      <c r="N62" s="3" t="s">
        <v>104</v>
      </c>
      <c r="O62" s="1" t="n">
        <v>121453</v>
      </c>
      <c r="P62" s="1" t="n">
        <v>88.11</v>
      </c>
      <c r="Q62" s="1" t="s">
        <v>20</v>
      </c>
      <c r="R62" s="1" t="s">
        <v>27</v>
      </c>
      <c r="S62" s="1" t="s">
        <v>28</v>
      </c>
      <c r="T62" s="1" t="s">
        <v>29</v>
      </c>
    </row>
    <row r="63" customFormat="false" ht="18.7" hidden="false" customHeight="true" outlineLevel="0" collapsed="false">
      <c r="A63" s="1" t="n">
        <v>62</v>
      </c>
      <c r="B63" s="6" t="str">
        <f aca="false">HYPERLINK("https://mncourtfraud.com/file/MCRO_27-CR-17-8342_Order-Other_2021-05-11_20240430093643.pdf","MCRO_27-CR-17-8342_Order-Other_2021-05-11_20240430093643.pdf")</f>
        <v>MCRO_27-CR-17-8342_Order-Other_2021-05-11_20240430093643.pdf</v>
      </c>
      <c r="C63" s="1" t="n">
        <v>3</v>
      </c>
      <c r="D63" s="1" t="n">
        <v>1</v>
      </c>
      <c r="E63" s="1" t="n">
        <v>1</v>
      </c>
      <c r="F63" s="3" t="s">
        <v>20</v>
      </c>
      <c r="G63" s="3" t="s">
        <v>291</v>
      </c>
      <c r="H63" s="1" t="s">
        <v>22</v>
      </c>
      <c r="I63" s="1" t="n">
        <v>20240430093643</v>
      </c>
      <c r="J63" s="3" t="s">
        <v>292</v>
      </c>
      <c r="K63" s="3" t="s">
        <v>293</v>
      </c>
      <c r="L63" s="3" t="s">
        <v>294</v>
      </c>
      <c r="M63" s="3" t="n">
        <v>135656</v>
      </c>
      <c r="N63" s="3" t="s">
        <v>109</v>
      </c>
      <c r="O63" s="1" t="n">
        <v>119270</v>
      </c>
      <c r="P63" s="1" t="n">
        <v>87.92</v>
      </c>
      <c r="Q63" s="1" t="s">
        <v>20</v>
      </c>
      <c r="R63" s="1" t="s">
        <v>27</v>
      </c>
      <c r="S63" s="1" t="s">
        <v>28</v>
      </c>
      <c r="T63" s="1" t="s">
        <v>29</v>
      </c>
    </row>
    <row r="64" customFormat="false" ht="18.7" hidden="false" customHeight="true" outlineLevel="0" collapsed="false">
      <c r="A64" s="1" t="n">
        <v>63</v>
      </c>
      <c r="B64" s="6" t="str">
        <f aca="false">HYPERLINK("https://mncourtfraud.com/file/MCRO_27-CR-17-8342_Order-Other_2022-12-27_20240430093638.pdf","MCRO_27-CR-17-8342_Order-Other_2022-12-27_20240430093638.pdf")</f>
        <v>MCRO_27-CR-17-8342_Order-Other_2022-12-27_20240430093638.pdf</v>
      </c>
      <c r="C64" s="1" t="n">
        <v>7</v>
      </c>
      <c r="D64" s="1" t="n">
        <v>2</v>
      </c>
      <c r="E64" s="1" t="n">
        <v>2</v>
      </c>
      <c r="F64" s="3" t="s">
        <v>27</v>
      </c>
      <c r="G64" s="3" t="s">
        <v>295</v>
      </c>
      <c r="H64" s="1" t="s">
        <v>22</v>
      </c>
      <c r="I64" s="1" t="n">
        <v>20240430093638</v>
      </c>
      <c r="J64" s="3" t="s">
        <v>296</v>
      </c>
      <c r="K64" s="3" t="s">
        <v>297</v>
      </c>
      <c r="L64" s="3" t="s">
        <v>298</v>
      </c>
      <c r="M64" s="3" t="n">
        <v>811092</v>
      </c>
      <c r="N64" s="3" t="s">
        <v>114</v>
      </c>
      <c r="O64" s="1" t="n">
        <v>794706</v>
      </c>
      <c r="P64" s="1" t="n">
        <v>97.98</v>
      </c>
      <c r="Q64" s="1" t="s">
        <v>20</v>
      </c>
      <c r="R64" s="1" t="s">
        <v>27</v>
      </c>
      <c r="S64" s="1" t="s">
        <v>28</v>
      </c>
      <c r="T64" s="1" t="s">
        <v>29</v>
      </c>
    </row>
    <row r="65" customFormat="false" ht="18.7" hidden="false" customHeight="true" outlineLevel="0" collapsed="false">
      <c r="A65" s="1" t="n">
        <v>64</v>
      </c>
      <c r="B65" s="6" t="str">
        <f aca="false">HYPERLINK("https://mncourtfraud.com/file/MCRO_27-CR-17-8342_Order to Transport_2017-08-23_20240430093656.pdf","MCRO_27-CR-17-8342_Order to Transport_2017-08-23_20240430093656.pdf")</f>
        <v>MCRO_27-CR-17-8342_Order to Transport_2017-08-23_20240430093656.pdf</v>
      </c>
      <c r="C65" s="1" t="n">
        <v>4</v>
      </c>
      <c r="D65" s="1" t="n">
        <v>1</v>
      </c>
      <c r="E65" s="1" t="n">
        <v>1</v>
      </c>
      <c r="F65" s="3" t="s">
        <v>20</v>
      </c>
      <c r="G65" s="3" t="s">
        <v>299</v>
      </c>
      <c r="H65" s="1" t="s">
        <v>22</v>
      </c>
      <c r="I65" s="1" t="n">
        <v>20240430093656</v>
      </c>
      <c r="J65" s="3" t="s">
        <v>300</v>
      </c>
      <c r="K65" s="3" t="s">
        <v>301</v>
      </c>
      <c r="L65" s="3" t="s">
        <v>302</v>
      </c>
      <c r="M65" s="3" t="n">
        <v>113037</v>
      </c>
      <c r="N65" s="3" t="s">
        <v>119</v>
      </c>
      <c r="O65" s="1" t="n">
        <v>96651</v>
      </c>
      <c r="P65" s="1" t="n">
        <v>85.5</v>
      </c>
      <c r="Q65" s="1" t="s">
        <v>20</v>
      </c>
      <c r="R65" s="1" t="s">
        <v>27</v>
      </c>
      <c r="S65" s="1" t="s">
        <v>28</v>
      </c>
      <c r="T65" s="1" t="s">
        <v>29</v>
      </c>
    </row>
    <row r="66" customFormat="false" ht="18.7" hidden="false" customHeight="true" outlineLevel="0" collapsed="false">
      <c r="A66" s="1" t="n">
        <v>65</v>
      </c>
      <c r="B66" s="6" t="str">
        <f aca="false">HYPERLINK("https://mncourtfraud.com/file/MCRO_27-CR-17-8342_Order to Transport_2018-01-04_20240430093655.pdf","MCRO_27-CR-17-8342_Order to Transport_2018-01-04_20240430093655.pdf")</f>
        <v>MCRO_27-CR-17-8342_Order to Transport_2018-01-04_20240430093655.pdf</v>
      </c>
      <c r="C66" s="1" t="n">
        <v>4</v>
      </c>
      <c r="D66" s="1" t="n">
        <v>1</v>
      </c>
      <c r="E66" s="1" t="n">
        <v>1</v>
      </c>
      <c r="F66" s="3" t="s">
        <v>20</v>
      </c>
      <c r="G66" s="3" t="s">
        <v>303</v>
      </c>
      <c r="H66" s="1" t="s">
        <v>22</v>
      </c>
      <c r="I66" s="1" t="n">
        <v>20240430093655</v>
      </c>
      <c r="J66" s="3" t="s">
        <v>304</v>
      </c>
      <c r="K66" s="3" t="s">
        <v>305</v>
      </c>
      <c r="L66" s="3" t="s">
        <v>306</v>
      </c>
      <c r="M66" s="3" t="n">
        <v>114461</v>
      </c>
      <c r="N66" s="3" t="s">
        <v>119</v>
      </c>
      <c r="O66" s="1" t="n">
        <v>98075</v>
      </c>
      <c r="P66" s="1" t="n">
        <v>85.68</v>
      </c>
      <c r="Q66" s="1" t="s">
        <v>20</v>
      </c>
      <c r="R66" s="1" t="s">
        <v>27</v>
      </c>
      <c r="S66" s="1" t="s">
        <v>28</v>
      </c>
      <c r="T66" s="1" t="s">
        <v>29</v>
      </c>
    </row>
    <row r="67" customFormat="false" ht="18.7" hidden="false" customHeight="true" outlineLevel="0" collapsed="false">
      <c r="A67" s="1" t="n">
        <v>66</v>
      </c>
      <c r="B67" s="6" t="str">
        <f aca="false">HYPERLINK("https://mncourtfraud.com/file/MCRO_27-CR-17-8342_Order to Transport_2018-03-26_20240430093654.pdf","MCRO_27-CR-17-8342_Order to Transport_2018-03-26_20240430093654.pdf")</f>
        <v>MCRO_27-CR-17-8342_Order to Transport_2018-03-26_20240430093654.pdf</v>
      </c>
      <c r="C67" s="1" t="n">
        <v>4</v>
      </c>
      <c r="D67" s="1" t="n">
        <v>1</v>
      </c>
      <c r="E67" s="1" t="n">
        <v>1</v>
      </c>
      <c r="F67" s="3" t="s">
        <v>20</v>
      </c>
      <c r="G67" s="3" t="s">
        <v>307</v>
      </c>
      <c r="H67" s="1" t="s">
        <v>22</v>
      </c>
      <c r="I67" s="1" t="n">
        <v>20240430093654</v>
      </c>
      <c r="J67" s="3" t="s">
        <v>308</v>
      </c>
      <c r="K67" s="3" t="s">
        <v>309</v>
      </c>
      <c r="L67" s="3" t="s">
        <v>127</v>
      </c>
      <c r="M67" s="3" t="n">
        <v>99502</v>
      </c>
      <c r="N67" s="3" t="s">
        <v>128</v>
      </c>
      <c r="O67" s="1" t="n">
        <v>83116</v>
      </c>
      <c r="P67" s="1" t="n">
        <v>83.53</v>
      </c>
      <c r="Q67" s="1" t="s">
        <v>20</v>
      </c>
      <c r="R67" s="1" t="s">
        <v>27</v>
      </c>
      <c r="S67" s="1" t="s">
        <v>28</v>
      </c>
      <c r="T67" s="1" t="s">
        <v>29</v>
      </c>
    </row>
    <row r="68" customFormat="false" ht="18.7" hidden="false" customHeight="true" outlineLevel="0" collapsed="false">
      <c r="A68" s="1" t="n">
        <v>67</v>
      </c>
      <c r="B68" s="6" t="str">
        <f aca="false">HYPERLINK("https://mncourtfraud.com/file/MCRO_27-CR-17-8342_Order to Transport_2018-10-23_20240430093652.pdf","MCRO_27-CR-17-8342_Order to Transport_2018-10-23_20240430093652.pdf")</f>
        <v>MCRO_27-CR-17-8342_Order to Transport_2018-10-23_20240430093652.pdf</v>
      </c>
      <c r="C68" s="1" t="n">
        <v>4</v>
      </c>
      <c r="D68" s="1" t="n">
        <v>1</v>
      </c>
      <c r="E68" s="1" t="n">
        <v>1</v>
      </c>
      <c r="F68" s="3" t="s">
        <v>20</v>
      </c>
      <c r="G68" s="3" t="s">
        <v>310</v>
      </c>
      <c r="H68" s="1" t="s">
        <v>22</v>
      </c>
      <c r="I68" s="1" t="n">
        <v>20240430093652</v>
      </c>
      <c r="J68" s="3" t="s">
        <v>311</v>
      </c>
      <c r="K68" s="3" t="s">
        <v>312</v>
      </c>
      <c r="L68" s="3" t="s">
        <v>132</v>
      </c>
      <c r="M68" s="3" t="n">
        <v>97010</v>
      </c>
      <c r="N68" s="3" t="s">
        <v>128</v>
      </c>
      <c r="O68" s="1" t="n">
        <v>80624</v>
      </c>
      <c r="P68" s="1" t="n">
        <v>83.11</v>
      </c>
      <c r="Q68" s="1" t="s">
        <v>20</v>
      </c>
      <c r="R68" s="1" t="s">
        <v>27</v>
      </c>
      <c r="S68" s="1" t="s">
        <v>28</v>
      </c>
      <c r="T68" s="1" t="s">
        <v>29</v>
      </c>
    </row>
    <row r="69" customFormat="false" ht="18.7" hidden="false" customHeight="true" outlineLevel="0" collapsed="false">
      <c r="A69" s="1" t="n">
        <v>68</v>
      </c>
      <c r="B69" s="6" t="str">
        <f aca="false">HYPERLINK("https://mncourtfraud.com/file/MCRO_27-CR-17-8342_Order to Transport_2019-03-13_20240430093651.pdf","MCRO_27-CR-17-8342_Order to Transport_2019-03-13_20240430093651.pdf")</f>
        <v>MCRO_27-CR-17-8342_Order to Transport_2019-03-13_20240430093651.pdf</v>
      </c>
      <c r="C69" s="1" t="n">
        <v>4</v>
      </c>
      <c r="D69" s="1" t="n">
        <v>1</v>
      </c>
      <c r="E69" s="1" t="n">
        <v>1</v>
      </c>
      <c r="F69" s="3" t="s">
        <v>20</v>
      </c>
      <c r="G69" s="3" t="s">
        <v>313</v>
      </c>
      <c r="H69" s="1" t="s">
        <v>22</v>
      </c>
      <c r="I69" s="1" t="n">
        <v>20240430093651</v>
      </c>
      <c r="J69" s="3" t="s">
        <v>314</v>
      </c>
      <c r="K69" s="3" t="s">
        <v>315</v>
      </c>
      <c r="L69" s="3" t="s">
        <v>316</v>
      </c>
      <c r="M69" s="3" t="n">
        <v>89977</v>
      </c>
      <c r="N69" s="3" t="s">
        <v>137</v>
      </c>
      <c r="O69" s="1" t="n">
        <v>73591</v>
      </c>
      <c r="P69" s="1" t="n">
        <v>81.79</v>
      </c>
      <c r="Q69" s="1" t="s">
        <v>20</v>
      </c>
      <c r="R69" s="1" t="s">
        <v>27</v>
      </c>
      <c r="S69" s="1" t="s">
        <v>28</v>
      </c>
      <c r="T69" s="1" t="s">
        <v>29</v>
      </c>
    </row>
    <row r="70" customFormat="false" ht="18.7" hidden="false" customHeight="true" outlineLevel="0" collapsed="false">
      <c r="A70" s="1" t="n">
        <v>69</v>
      </c>
      <c r="B70" s="6" t="str">
        <f aca="false">HYPERLINK("https://mncourtfraud.com/file/MCRO_27-CR-17-8342_Order to Transport_2019-10-02_20240430093650.pdf","MCRO_27-CR-17-8342_Order to Transport_2019-10-02_20240430093650.pdf")</f>
        <v>MCRO_27-CR-17-8342_Order to Transport_2019-10-02_20240430093650.pdf</v>
      </c>
      <c r="C70" s="1" t="n">
        <v>4</v>
      </c>
      <c r="D70" s="1" t="n">
        <v>1</v>
      </c>
      <c r="E70" s="1" t="n">
        <v>1</v>
      </c>
      <c r="F70" s="3" t="s">
        <v>20</v>
      </c>
      <c r="G70" s="3" t="s">
        <v>317</v>
      </c>
      <c r="H70" s="1" t="s">
        <v>22</v>
      </c>
      <c r="I70" s="1" t="n">
        <v>20240430093650</v>
      </c>
      <c r="J70" s="3" t="s">
        <v>318</v>
      </c>
      <c r="K70" s="3" t="s">
        <v>319</v>
      </c>
      <c r="L70" s="3" t="s">
        <v>141</v>
      </c>
      <c r="M70" s="3" t="n">
        <v>89518</v>
      </c>
      <c r="N70" s="3" t="s">
        <v>137</v>
      </c>
      <c r="O70" s="1" t="n">
        <v>73132</v>
      </c>
      <c r="P70" s="1" t="n">
        <v>81.7</v>
      </c>
      <c r="Q70" s="1" t="s">
        <v>20</v>
      </c>
      <c r="R70" s="1" t="s">
        <v>27</v>
      </c>
      <c r="S70" s="1" t="s">
        <v>28</v>
      </c>
      <c r="T70" s="1" t="s">
        <v>29</v>
      </c>
    </row>
    <row r="71" customFormat="false" ht="18.7" hidden="false" customHeight="true" outlineLevel="0" collapsed="false">
      <c r="A71" s="1" t="n">
        <v>70</v>
      </c>
      <c r="B71" s="6" t="str">
        <f aca="false">HYPERLINK("https://mncourtfraud.com/file/MCRO_27-CR-17-8342_Order to Transport_2020-01-24_20240430093645.pdf","MCRO_27-CR-17-8342_Order to Transport_2020-01-24_20240430093645.pdf")</f>
        <v>MCRO_27-CR-17-8342_Order to Transport_2020-01-24_20240430093645.pdf</v>
      </c>
      <c r="C71" s="1" t="n">
        <v>4</v>
      </c>
      <c r="D71" s="1" t="n">
        <v>1</v>
      </c>
      <c r="E71" s="1" t="n">
        <v>1</v>
      </c>
      <c r="F71" s="3" t="s">
        <v>20</v>
      </c>
      <c r="G71" s="3" t="s">
        <v>320</v>
      </c>
      <c r="H71" s="1" t="s">
        <v>22</v>
      </c>
      <c r="I71" s="1" t="n">
        <v>20240430093645</v>
      </c>
      <c r="J71" s="3" t="s">
        <v>321</v>
      </c>
      <c r="K71" s="3" t="s">
        <v>322</v>
      </c>
      <c r="L71" s="3" t="s">
        <v>323</v>
      </c>
      <c r="M71" s="3" t="n">
        <v>87070</v>
      </c>
      <c r="N71" s="3" t="s">
        <v>137</v>
      </c>
      <c r="O71" s="1" t="n">
        <v>70684</v>
      </c>
      <c r="P71" s="1" t="n">
        <v>81.18</v>
      </c>
      <c r="Q71" s="1" t="s">
        <v>20</v>
      </c>
      <c r="R71" s="1" t="s">
        <v>27</v>
      </c>
      <c r="S71" s="1" t="s">
        <v>28</v>
      </c>
      <c r="T71" s="1" t="s">
        <v>29</v>
      </c>
    </row>
    <row r="72" customFormat="false" ht="18.7" hidden="false" customHeight="true" outlineLevel="0" collapsed="false">
      <c r="A72" s="1" t="n">
        <v>71</v>
      </c>
      <c r="B72" s="6" t="str">
        <f aca="false">HYPERLINK("https://mncourtfraud.com/file/MCRO_27-CR-17-8342_Proposed Order or Document_2020-01-23_20240430093647.pdf","MCRO_27-CR-17-8342_Proposed Order or Document_2020-01-23_20240430093647.pdf")</f>
        <v>MCRO_27-CR-17-8342_Proposed Order or Document_2020-01-23_20240430093647.pdf</v>
      </c>
      <c r="C72" s="1" t="n">
        <v>3</v>
      </c>
      <c r="D72" s="1" t="n">
        <v>1</v>
      </c>
      <c r="E72" s="1" t="n">
        <v>1</v>
      </c>
      <c r="F72" s="3" t="s">
        <v>20</v>
      </c>
      <c r="G72" s="3" t="s">
        <v>324</v>
      </c>
      <c r="H72" s="1" t="s">
        <v>22</v>
      </c>
      <c r="I72" s="1" t="n">
        <v>20240430093647</v>
      </c>
      <c r="J72" s="3" t="s">
        <v>325</v>
      </c>
      <c r="K72" s="3" t="s">
        <v>326</v>
      </c>
      <c r="L72" s="3" t="s">
        <v>149</v>
      </c>
      <c r="M72" s="3" t="n">
        <v>151455</v>
      </c>
      <c r="N72" s="3" t="s">
        <v>109</v>
      </c>
      <c r="O72" s="1" t="n">
        <v>135069</v>
      </c>
      <c r="P72" s="1" t="n">
        <v>89.18</v>
      </c>
      <c r="Q72" s="1" t="s">
        <v>20</v>
      </c>
      <c r="R72" s="1" t="s">
        <v>27</v>
      </c>
      <c r="S72" s="1" t="s">
        <v>28</v>
      </c>
      <c r="T72" s="1" t="s">
        <v>29</v>
      </c>
    </row>
    <row r="73" customFormat="false" ht="18.7" hidden="false" customHeight="true" outlineLevel="0" collapsed="false">
      <c r="A73" s="1" t="n">
        <v>72</v>
      </c>
      <c r="B73" s="6" t="str">
        <f aca="false">HYPERLINK("https://mncourtfraud.com/file/MCRO_27-CR-17-8342_Proposed Order or Document_2022-12-27_20240430093639.pdf","MCRO_27-CR-17-8342_Proposed Order or Document_2022-12-27_20240430093639.pdf")</f>
        <v>MCRO_27-CR-17-8342_Proposed Order or Document_2022-12-27_20240430093639.pdf</v>
      </c>
      <c r="C73" s="1" t="n">
        <v>3</v>
      </c>
      <c r="D73" s="1" t="n">
        <v>1</v>
      </c>
      <c r="E73" s="1" t="n">
        <v>1</v>
      </c>
      <c r="F73" s="3" t="s">
        <v>20</v>
      </c>
      <c r="G73" s="3" t="s">
        <v>327</v>
      </c>
      <c r="H73" s="1" t="s">
        <v>22</v>
      </c>
      <c r="I73" s="1" t="n">
        <v>20240430093639</v>
      </c>
      <c r="J73" s="3" t="s">
        <v>328</v>
      </c>
      <c r="K73" s="3" t="s">
        <v>329</v>
      </c>
      <c r="L73" s="3" t="s">
        <v>330</v>
      </c>
      <c r="M73" s="3" t="n">
        <v>146084</v>
      </c>
      <c r="N73" s="3" t="s">
        <v>64</v>
      </c>
      <c r="O73" s="1" t="n">
        <v>129698</v>
      </c>
      <c r="P73" s="1" t="n">
        <v>88.78</v>
      </c>
      <c r="Q73" s="1" t="s">
        <v>20</v>
      </c>
      <c r="R73" s="1" t="s">
        <v>27</v>
      </c>
      <c r="S73" s="1" t="s">
        <v>28</v>
      </c>
      <c r="T73" s="1" t="s">
        <v>29</v>
      </c>
    </row>
    <row r="74" customFormat="false" ht="18.7" hidden="false" customHeight="true" outlineLevel="0" collapsed="false">
      <c r="A74" s="1" t="n">
        <v>73</v>
      </c>
      <c r="B74" s="6" t="str">
        <f aca="false">HYPERLINK("https://mncourtfraud.com/file/MCRO_27-CR-17-8342_Returned Mail_2024-02-13_20240430093634.pdf","MCRO_27-CR-17-8342_Returned Mail_2024-02-13_20240430093634.pdf")</f>
        <v>MCRO_27-CR-17-8342_Returned Mail_2024-02-13_20240430093634.pdf</v>
      </c>
      <c r="C74" s="1" t="n">
        <v>4</v>
      </c>
      <c r="D74" s="1" t="n">
        <v>1</v>
      </c>
      <c r="E74" s="1" t="n">
        <v>1</v>
      </c>
      <c r="F74" s="3" t="s">
        <v>20</v>
      </c>
      <c r="G74" s="3" t="s">
        <v>331</v>
      </c>
      <c r="H74" s="1" t="s">
        <v>22</v>
      </c>
      <c r="I74" s="1" t="n">
        <v>20240430093634</v>
      </c>
      <c r="J74" s="3" t="s">
        <v>332</v>
      </c>
      <c r="K74" s="3" t="s">
        <v>333</v>
      </c>
      <c r="L74" s="3" t="s">
        <v>334</v>
      </c>
      <c r="M74" s="3" t="n">
        <v>310397</v>
      </c>
      <c r="N74" s="3" t="s">
        <v>158</v>
      </c>
      <c r="O74" s="1" t="n">
        <v>294011</v>
      </c>
      <c r="P74" s="1" t="n">
        <v>94.72</v>
      </c>
      <c r="Q74" s="1" t="s">
        <v>20</v>
      </c>
      <c r="R74" s="1" t="s">
        <v>27</v>
      </c>
      <c r="S74" s="1" t="s">
        <v>28</v>
      </c>
      <c r="T74" s="1" t="s">
        <v>29</v>
      </c>
    </row>
    <row r="75" customFormat="false" ht="18.7" hidden="false" customHeight="true" outlineLevel="0" collapsed="false">
      <c r="A75" s="1" t="n">
        <v>74</v>
      </c>
      <c r="B75" s="6" t="str">
        <f aca="false">HYPERLINK("https://mncourtfraud.com/file/MCRO_27-CR-18-18391_Affidavit of Mailing_2018-11-21_20240430092817.pdf","MCRO_27-CR-18-18391_Affidavit of Mailing_2018-11-21_20240430092817.pdf")</f>
        <v>MCRO_27-CR-18-18391_Affidavit of Mailing_2018-11-21_20240430092817.pdf</v>
      </c>
      <c r="C75" s="1" t="n">
        <v>4</v>
      </c>
      <c r="D75" s="1" t="n">
        <v>1</v>
      </c>
      <c r="E75" s="1" t="n">
        <v>1</v>
      </c>
      <c r="F75" s="3" t="s">
        <v>20</v>
      </c>
      <c r="G75" s="3" t="s">
        <v>335</v>
      </c>
      <c r="H75" s="1" t="s">
        <v>22</v>
      </c>
      <c r="I75" s="1" t="n">
        <v>20240430092817</v>
      </c>
      <c r="J75" s="3" t="s">
        <v>336</v>
      </c>
      <c r="K75" s="3" t="s">
        <v>337</v>
      </c>
      <c r="L75" s="3" t="s">
        <v>338</v>
      </c>
      <c r="M75" s="3" t="n">
        <v>94614</v>
      </c>
      <c r="N75" s="3" t="s">
        <v>158</v>
      </c>
      <c r="O75" s="1" t="n">
        <v>78228</v>
      </c>
      <c r="P75" s="1" t="n">
        <v>82.68</v>
      </c>
      <c r="Q75" s="1" t="s">
        <v>20</v>
      </c>
      <c r="R75" s="1" t="s">
        <v>27</v>
      </c>
      <c r="S75" s="1" t="s">
        <v>28</v>
      </c>
      <c r="T75" s="1" t="s">
        <v>29</v>
      </c>
    </row>
    <row r="76" customFormat="false" ht="18.7" hidden="false" customHeight="true" outlineLevel="0" collapsed="false">
      <c r="A76" s="1" t="n">
        <v>75</v>
      </c>
      <c r="B76" s="6" t="str">
        <f aca="false">HYPERLINK("https://mncourtfraud.com/file/MCRO_27-CR-18-18391_Affidavit of Service_2018-11-21_20240430092818.pdf","MCRO_27-CR-18-18391_Affidavit of Service_2018-11-21_20240430092818.pdf")</f>
        <v>MCRO_27-CR-18-18391_Affidavit of Service_2018-11-21_20240430092818.pdf</v>
      </c>
      <c r="C76" s="1" t="n">
        <v>4</v>
      </c>
      <c r="D76" s="1" t="n">
        <v>1</v>
      </c>
      <c r="E76" s="1" t="n">
        <v>1</v>
      </c>
      <c r="F76" s="3" t="s">
        <v>20</v>
      </c>
      <c r="G76" s="3" t="s">
        <v>339</v>
      </c>
      <c r="H76" s="1" t="s">
        <v>22</v>
      </c>
      <c r="I76" s="1" t="n">
        <v>20240430092818</v>
      </c>
      <c r="J76" s="3" t="s">
        <v>340</v>
      </c>
      <c r="K76" s="3" t="s">
        <v>341</v>
      </c>
      <c r="L76" s="3" t="s">
        <v>342</v>
      </c>
      <c r="M76" s="3" t="n">
        <v>102038</v>
      </c>
      <c r="N76" s="3" t="s">
        <v>158</v>
      </c>
      <c r="O76" s="1" t="n">
        <v>85652</v>
      </c>
      <c r="P76" s="1" t="n">
        <v>83.94</v>
      </c>
      <c r="Q76" s="1" t="s">
        <v>20</v>
      </c>
      <c r="R76" s="1" t="s">
        <v>27</v>
      </c>
      <c r="S76" s="1" t="s">
        <v>28</v>
      </c>
      <c r="T76" s="1" t="s">
        <v>29</v>
      </c>
    </row>
    <row r="77" customFormat="false" ht="18.7" hidden="false" customHeight="true" outlineLevel="0" collapsed="false">
      <c r="A77" s="1" t="n">
        <v>76</v>
      </c>
      <c r="B77" s="6" t="str">
        <f aca="false">HYPERLINK("https://mncourtfraud.com/file/MCRO_27-CR-18-18391_Affidavit-Other_2018-11-21_20240430092819.pdf","MCRO_27-CR-18-18391_Affidavit-Other_2018-11-21_20240430092819.pdf")</f>
        <v>MCRO_27-CR-18-18391_Affidavit-Other_2018-11-21_20240430092819.pdf</v>
      </c>
      <c r="C77" s="1" t="n">
        <v>4</v>
      </c>
      <c r="D77" s="1" t="n">
        <v>1</v>
      </c>
      <c r="E77" s="1" t="n">
        <v>1</v>
      </c>
      <c r="F77" s="3" t="s">
        <v>20</v>
      </c>
      <c r="G77" s="3" t="s">
        <v>343</v>
      </c>
      <c r="H77" s="1" t="s">
        <v>22</v>
      </c>
      <c r="I77" s="1" t="n">
        <v>20240430092819</v>
      </c>
      <c r="J77" s="3" t="s">
        <v>344</v>
      </c>
      <c r="K77" s="3" t="s">
        <v>345</v>
      </c>
      <c r="L77" s="3" t="s">
        <v>346</v>
      </c>
      <c r="M77" s="3" t="n">
        <v>169637</v>
      </c>
      <c r="N77" s="3" t="s">
        <v>347</v>
      </c>
      <c r="O77" s="1" t="n">
        <v>153251</v>
      </c>
      <c r="P77" s="1" t="n">
        <v>90.34</v>
      </c>
      <c r="Q77" s="1" t="s">
        <v>20</v>
      </c>
      <c r="R77" s="1" t="s">
        <v>27</v>
      </c>
      <c r="S77" s="1" t="s">
        <v>28</v>
      </c>
      <c r="T77" s="1" t="s">
        <v>29</v>
      </c>
    </row>
    <row r="78" customFormat="false" ht="18.7" hidden="false" customHeight="true" outlineLevel="0" collapsed="false">
      <c r="A78" s="1" t="n">
        <v>77</v>
      </c>
      <c r="B78" s="6" t="str">
        <f aca="false">HYPERLINK("https://mncourtfraud.com/file/MCRO_27-CR-18-18391_Affidavit-Other_2019-12-30_20240430092757.pdf","MCRO_27-CR-18-18391_Affidavit-Other_2019-12-30_20240430092757.pdf")</f>
        <v>MCRO_27-CR-18-18391_Affidavit-Other_2019-12-30_20240430092757.pdf</v>
      </c>
      <c r="C78" s="1" t="n">
        <v>4</v>
      </c>
      <c r="D78" s="1" t="n">
        <v>1</v>
      </c>
      <c r="E78" s="1" t="n">
        <v>1</v>
      </c>
      <c r="F78" s="3" t="s">
        <v>20</v>
      </c>
      <c r="G78" s="3" t="s">
        <v>348</v>
      </c>
      <c r="H78" s="1" t="s">
        <v>22</v>
      </c>
      <c r="I78" s="1" t="n">
        <v>20240430092757</v>
      </c>
      <c r="J78" s="3" t="s">
        <v>349</v>
      </c>
      <c r="K78" s="3" t="s">
        <v>350</v>
      </c>
      <c r="L78" s="3" t="s">
        <v>351</v>
      </c>
      <c r="M78" s="3" t="n">
        <v>182140</v>
      </c>
      <c r="N78" s="3" t="s">
        <v>352</v>
      </c>
      <c r="O78" s="1" t="n">
        <v>165754</v>
      </c>
      <c r="P78" s="1" t="n">
        <v>91</v>
      </c>
      <c r="Q78" s="1" t="s">
        <v>20</v>
      </c>
      <c r="R78" s="1" t="s">
        <v>27</v>
      </c>
      <c r="S78" s="1" t="s">
        <v>28</v>
      </c>
      <c r="T78" s="1" t="s">
        <v>29</v>
      </c>
    </row>
    <row r="79" customFormat="false" ht="18.7" hidden="false" customHeight="true" outlineLevel="0" collapsed="false">
      <c r="A79" s="1" t="n">
        <v>78</v>
      </c>
      <c r="B79" s="6" t="str">
        <f aca="false">HYPERLINK("https://mncourtfraud.com/file/MCRO_27-CR-18-18391_Amended Order_2019-10-04_20240430092800.pdf","MCRO_27-CR-18-18391_Amended Order_2019-10-04_20240430092800.pdf")</f>
        <v>MCRO_27-CR-18-18391_Amended Order_2019-10-04_20240430092800.pdf</v>
      </c>
      <c r="C79" s="1" t="n">
        <v>4</v>
      </c>
      <c r="D79" s="1" t="n">
        <v>1</v>
      </c>
      <c r="E79" s="1" t="n">
        <v>1</v>
      </c>
      <c r="F79" s="3" t="s">
        <v>20</v>
      </c>
      <c r="G79" s="3" t="s">
        <v>353</v>
      </c>
      <c r="H79" s="1" t="s">
        <v>22</v>
      </c>
      <c r="I79" s="1" t="n">
        <v>20240430092800</v>
      </c>
      <c r="J79" s="3" t="s">
        <v>354</v>
      </c>
      <c r="K79" s="3" t="s">
        <v>355</v>
      </c>
      <c r="L79" s="3" t="s">
        <v>356</v>
      </c>
      <c r="M79" s="3" t="n">
        <v>91715</v>
      </c>
      <c r="N79" s="3" t="s">
        <v>137</v>
      </c>
      <c r="O79" s="1" t="n">
        <v>75329</v>
      </c>
      <c r="P79" s="1" t="n">
        <v>82.13</v>
      </c>
      <c r="Q79" s="1" t="s">
        <v>20</v>
      </c>
      <c r="R79" s="1" t="s">
        <v>27</v>
      </c>
      <c r="S79" s="1" t="s">
        <v>28</v>
      </c>
      <c r="T79" s="1" t="s">
        <v>29</v>
      </c>
    </row>
    <row r="80" customFormat="false" ht="18.7" hidden="false" customHeight="true" outlineLevel="0" collapsed="false">
      <c r="A80" s="1" t="n">
        <v>79</v>
      </c>
      <c r="B80" s="6" t="str">
        <f aca="false">HYPERLINK("https://mncourtfraud.com/file/MCRO_27-CR-18-18391_Correspondence_2019-05-16_20240430092808.pdf","MCRO_27-CR-18-18391_Correspondence_2019-05-16_20240430092808.pdf")</f>
        <v>MCRO_27-CR-18-18391_Correspondence_2019-05-16_20240430092808.pdf</v>
      </c>
      <c r="C80" s="1" t="n">
        <v>4</v>
      </c>
      <c r="D80" s="1" t="n">
        <v>1</v>
      </c>
      <c r="E80" s="1" t="n">
        <v>1</v>
      </c>
      <c r="F80" s="3" t="s">
        <v>20</v>
      </c>
      <c r="G80" s="3" t="s">
        <v>357</v>
      </c>
      <c r="H80" s="1" t="s">
        <v>22</v>
      </c>
      <c r="I80" s="1" t="n">
        <v>20240430092808</v>
      </c>
      <c r="J80" s="3" t="s">
        <v>358</v>
      </c>
      <c r="K80" s="3" t="s">
        <v>359</v>
      </c>
      <c r="L80" s="3" t="s">
        <v>360</v>
      </c>
      <c r="M80" s="3" t="n">
        <v>105478</v>
      </c>
      <c r="N80" s="3" t="s">
        <v>361</v>
      </c>
      <c r="O80" s="1" t="n">
        <v>89092</v>
      </c>
      <c r="P80" s="1" t="n">
        <v>84.47</v>
      </c>
      <c r="Q80" s="1" t="s">
        <v>20</v>
      </c>
      <c r="R80" s="1" t="s">
        <v>27</v>
      </c>
      <c r="S80" s="1" t="s">
        <v>28</v>
      </c>
      <c r="T80" s="1" t="s">
        <v>29</v>
      </c>
    </row>
    <row r="81" customFormat="false" ht="18.7" hidden="false" customHeight="true" outlineLevel="0" collapsed="false">
      <c r="A81" s="1" t="n">
        <v>80</v>
      </c>
      <c r="B81" s="6" t="str">
        <f aca="false">HYPERLINK("https://mncourtfraud.com/file/MCRO_27-CR-18-18391_Correspondence for Judicial Approval_2020-06-04_20240430092750.pdf","MCRO_27-CR-18-18391_Correspondence for Judicial Approval_2020-06-04_20240430092750.pdf")</f>
        <v>MCRO_27-CR-18-18391_Correspondence for Judicial Approval_2020-06-04_20240430092750.pdf</v>
      </c>
      <c r="C81" s="1" t="n">
        <v>4</v>
      </c>
      <c r="D81" s="1" t="n">
        <v>1</v>
      </c>
      <c r="E81" s="1" t="n">
        <v>1</v>
      </c>
      <c r="F81" s="3" t="s">
        <v>20</v>
      </c>
      <c r="G81" s="3" t="s">
        <v>362</v>
      </c>
      <c r="H81" s="1" t="s">
        <v>22</v>
      </c>
      <c r="I81" s="1" t="n">
        <v>20240430092750</v>
      </c>
      <c r="J81" s="3" t="s">
        <v>363</v>
      </c>
      <c r="K81" s="3" t="s">
        <v>364</v>
      </c>
      <c r="L81" s="3" t="s">
        <v>365</v>
      </c>
      <c r="M81" s="3" t="n">
        <v>308469</v>
      </c>
      <c r="N81" s="3" t="s">
        <v>366</v>
      </c>
      <c r="O81" s="1" t="n">
        <v>292083</v>
      </c>
      <c r="P81" s="1" t="n">
        <v>94.69</v>
      </c>
      <c r="Q81" s="1" t="s">
        <v>20</v>
      </c>
      <c r="R81" s="1" t="s">
        <v>27</v>
      </c>
      <c r="S81" s="1" t="s">
        <v>28</v>
      </c>
      <c r="T81" s="1" t="s">
        <v>29</v>
      </c>
    </row>
    <row r="82" customFormat="false" ht="18.7" hidden="false" customHeight="true" outlineLevel="0" collapsed="false">
      <c r="A82" s="1" t="n">
        <v>81</v>
      </c>
      <c r="B82" s="6" t="str">
        <f aca="false">HYPERLINK("https://mncourtfraud.com/file/MCRO_27-CR-18-18391_Correspondence for Judicial Approval_2022-07-14_20240430092732.pdf","MCRO_27-CR-18-18391_Correspondence for Judicial Approval_2022-07-14_20240430092732.pdf")</f>
        <v>MCRO_27-CR-18-18391_Correspondence for Judicial Approval_2022-07-14_20240430092732.pdf</v>
      </c>
      <c r="C82" s="1" t="n">
        <v>3</v>
      </c>
      <c r="D82" s="1" t="n">
        <v>1</v>
      </c>
      <c r="E82" s="1" t="n">
        <v>1</v>
      </c>
      <c r="F82" s="3" t="s">
        <v>20</v>
      </c>
      <c r="G82" s="3" t="s">
        <v>367</v>
      </c>
      <c r="H82" s="1" t="s">
        <v>22</v>
      </c>
      <c r="I82" s="1" t="n">
        <v>20240430092732</v>
      </c>
      <c r="J82" s="3" t="s">
        <v>368</v>
      </c>
      <c r="K82" s="3" t="s">
        <v>369</v>
      </c>
      <c r="L82" s="3" t="s">
        <v>370</v>
      </c>
      <c r="M82" s="3" t="n">
        <v>193504</v>
      </c>
      <c r="N82" s="3" t="s">
        <v>371</v>
      </c>
      <c r="O82" s="1" t="n">
        <v>177118</v>
      </c>
      <c r="P82" s="1" t="n">
        <v>91.53</v>
      </c>
      <c r="Q82" s="1" t="s">
        <v>20</v>
      </c>
      <c r="R82" s="1" t="s">
        <v>27</v>
      </c>
      <c r="S82" s="1" t="s">
        <v>28</v>
      </c>
      <c r="T82" s="1" t="s">
        <v>29</v>
      </c>
    </row>
    <row r="83" customFormat="false" ht="18.7" hidden="false" customHeight="true" outlineLevel="0" collapsed="false">
      <c r="A83" s="1" t="n">
        <v>82</v>
      </c>
      <c r="B83" s="6" t="str">
        <f aca="false">HYPERLINK("https://mncourtfraud.com/file/MCRO_27-CR-18-18391_Demand or Request for Discovery_2018-08-20_20240430092827.pdf","MCRO_27-CR-18-18391_Demand or Request for Discovery_2018-08-20_20240430092827.pdf")</f>
        <v>MCRO_27-CR-18-18391_Demand or Request for Discovery_2018-08-20_20240430092827.pdf</v>
      </c>
      <c r="C83" s="1" t="n">
        <v>3</v>
      </c>
      <c r="D83" s="1" t="n">
        <v>1</v>
      </c>
      <c r="E83" s="1" t="n">
        <v>1</v>
      </c>
      <c r="F83" s="3" t="s">
        <v>20</v>
      </c>
      <c r="G83" s="3" t="s">
        <v>372</v>
      </c>
      <c r="H83" s="1" t="s">
        <v>22</v>
      </c>
      <c r="I83" s="1" t="n">
        <v>20240430092827</v>
      </c>
      <c r="J83" s="3" t="s">
        <v>373</v>
      </c>
      <c r="K83" s="3" t="s">
        <v>374</v>
      </c>
      <c r="L83" s="3" t="s">
        <v>375</v>
      </c>
      <c r="M83" s="3" t="n">
        <v>544788</v>
      </c>
      <c r="N83" s="3" t="s">
        <v>34</v>
      </c>
      <c r="O83" s="1" t="n">
        <v>528402</v>
      </c>
      <c r="P83" s="1" t="n">
        <v>96.99</v>
      </c>
      <c r="Q83" s="1" t="s">
        <v>20</v>
      </c>
      <c r="R83" s="1" t="s">
        <v>27</v>
      </c>
      <c r="S83" s="1" t="s">
        <v>28</v>
      </c>
      <c r="T83" s="1" t="s">
        <v>29</v>
      </c>
    </row>
    <row r="84" customFormat="false" ht="18.7" hidden="false" customHeight="true" outlineLevel="0" collapsed="false">
      <c r="A84" s="1" t="n">
        <v>83</v>
      </c>
      <c r="B84" s="6" t="str">
        <f aca="false">HYPERLINK("https://mncourtfraud.com/file/MCRO_27-CR-18-18391_E-filed Comp-Warrant_2018-07-23_20240430092829.pdf","MCRO_27-CR-18-18391_E-filed Comp-Warrant_2018-07-23_20240430092829.pdf")</f>
        <v>MCRO_27-CR-18-18391_E-filed Comp-Warrant_2018-07-23_20240430092829.pdf</v>
      </c>
      <c r="C84" s="1" t="n">
        <v>5</v>
      </c>
      <c r="D84" s="1" t="n">
        <v>2</v>
      </c>
      <c r="E84" s="1" t="n">
        <v>2</v>
      </c>
      <c r="F84" s="3" t="s">
        <v>20</v>
      </c>
      <c r="G84" s="3" t="s">
        <v>376</v>
      </c>
      <c r="H84" s="1" t="s">
        <v>22</v>
      </c>
      <c r="I84" s="1" t="n">
        <v>20240430092829</v>
      </c>
      <c r="J84" s="3" t="s">
        <v>377</v>
      </c>
      <c r="K84" s="3" t="s">
        <v>378</v>
      </c>
      <c r="L84" s="3" t="s">
        <v>379</v>
      </c>
      <c r="M84" s="3" t="n">
        <v>411441</v>
      </c>
      <c r="N84" s="3" t="s">
        <v>380</v>
      </c>
      <c r="O84" s="1" t="n">
        <v>395055</v>
      </c>
      <c r="P84" s="1" t="n">
        <v>96.02</v>
      </c>
      <c r="Q84" s="1" t="s">
        <v>20</v>
      </c>
      <c r="R84" s="1" t="s">
        <v>27</v>
      </c>
      <c r="S84" s="1" t="s">
        <v>28</v>
      </c>
      <c r="T84" s="1" t="s">
        <v>29</v>
      </c>
    </row>
    <row r="85" customFormat="false" ht="18.7" hidden="false" customHeight="true" outlineLevel="0" collapsed="false">
      <c r="A85" s="1" t="n">
        <v>84</v>
      </c>
      <c r="B85" s="6" t="str">
        <f aca="false">HYPERLINK("https://mncourtfraud.com/file/MCRO_27-CR-18-18391_Finding of Incompetency and Order_2023-06-06_20240430092721.pdf","MCRO_27-CR-18-18391_Finding of Incompetency and Order_2023-06-06_20240430092721.pdf")</f>
        <v>MCRO_27-CR-18-18391_Finding of Incompetency and Order_2023-06-06_20240430092721.pdf</v>
      </c>
      <c r="C85" s="1" t="n">
        <v>9</v>
      </c>
      <c r="D85" s="1" t="n">
        <v>3</v>
      </c>
      <c r="E85" s="1" t="n">
        <v>3</v>
      </c>
      <c r="F85" s="3" t="s">
        <v>27</v>
      </c>
      <c r="G85" s="3" t="s">
        <v>381</v>
      </c>
      <c r="H85" s="1" t="s">
        <v>22</v>
      </c>
      <c r="I85" s="1" t="n">
        <v>20240430092721</v>
      </c>
      <c r="J85" s="3" t="s">
        <v>382</v>
      </c>
      <c r="K85" s="3" t="s">
        <v>383</v>
      </c>
      <c r="L85" s="3" t="s">
        <v>384</v>
      </c>
      <c r="M85" s="3" t="n">
        <v>963631</v>
      </c>
      <c r="N85" s="3" t="s">
        <v>385</v>
      </c>
      <c r="O85" s="1" t="n">
        <v>947245</v>
      </c>
      <c r="P85" s="1" t="n">
        <v>98.3</v>
      </c>
      <c r="Q85" s="1" t="s">
        <v>20</v>
      </c>
      <c r="R85" s="1" t="s">
        <v>27</v>
      </c>
      <c r="S85" s="1" t="s">
        <v>28</v>
      </c>
      <c r="T85" s="1" t="s">
        <v>29</v>
      </c>
    </row>
    <row r="86" customFormat="false" ht="18.7" hidden="false" customHeight="true" outlineLevel="0" collapsed="false">
      <c r="A86" s="1" t="n">
        <v>85</v>
      </c>
      <c r="B86" s="6" t="str">
        <f aca="false">HYPERLINK("https://mncourtfraud.com/file/MCRO_27-CR-18-18391_Finding of Incompetency and Order_2024-03-20_20240430092713.pdf","MCRO_27-CR-18-18391_Finding of Incompetency and Order_2024-03-20_20240430092713.pdf")</f>
        <v>MCRO_27-CR-18-18391_Finding of Incompetency and Order_2024-03-20_20240430092713.pdf</v>
      </c>
      <c r="C86" s="1" t="n">
        <v>9</v>
      </c>
      <c r="D86" s="1" t="n">
        <v>3</v>
      </c>
      <c r="E86" s="1" t="n">
        <v>3</v>
      </c>
      <c r="F86" s="3" t="s">
        <v>20</v>
      </c>
      <c r="G86" s="3" t="s">
        <v>386</v>
      </c>
      <c r="H86" s="1" t="s">
        <v>22</v>
      </c>
      <c r="I86" s="1" t="n">
        <v>20240430092713</v>
      </c>
      <c r="J86" s="3" t="s">
        <v>387</v>
      </c>
      <c r="K86" s="3" t="s">
        <v>388</v>
      </c>
      <c r="L86" s="3" t="s">
        <v>389</v>
      </c>
      <c r="M86" s="3" t="n">
        <v>959873</v>
      </c>
      <c r="N86" s="3" t="s">
        <v>390</v>
      </c>
      <c r="O86" s="1" t="n">
        <v>943487</v>
      </c>
      <c r="P86" s="1" t="n">
        <v>98.29</v>
      </c>
      <c r="Q86" s="1" t="s">
        <v>20</v>
      </c>
      <c r="R86" s="1" t="s">
        <v>27</v>
      </c>
      <c r="S86" s="1" t="s">
        <v>28</v>
      </c>
      <c r="T86" s="1" t="s">
        <v>29</v>
      </c>
    </row>
    <row r="87" customFormat="false" ht="18.7" hidden="false" customHeight="true" outlineLevel="0" collapsed="false">
      <c r="A87" s="1" t="n">
        <v>86</v>
      </c>
      <c r="B87" s="6" t="str">
        <f aca="false">HYPERLINK("https://mncourtfraud.com/file/MCRO_27-CR-18-18391_Find of Fact-Order, Pet Commitment-Dfd Found Incompetent_2019-02-26_20240430092811.pdf","MCRO_27-CR-18-18391_Find of Fact-Order, Pet Commitment-Dfd Found Incompetent_2019-02-26_20240430092811.pdf")</f>
        <v>MCRO_27-CR-18-18391_Find of Fact-Order, Pet Commitment-Dfd Found Incompetent_2019-02-26_20240430092811.pdf</v>
      </c>
      <c r="C87" s="1" t="n">
        <v>4</v>
      </c>
      <c r="D87" s="1" t="n">
        <v>2</v>
      </c>
      <c r="E87" s="1" t="n">
        <v>2</v>
      </c>
      <c r="F87" s="3" t="s">
        <v>20</v>
      </c>
      <c r="G87" s="3" t="s">
        <v>391</v>
      </c>
      <c r="H87" s="1" t="s">
        <v>22</v>
      </c>
      <c r="I87" s="1" t="n">
        <v>20240430092811</v>
      </c>
      <c r="J87" s="3" t="s">
        <v>392</v>
      </c>
      <c r="K87" s="3" t="s">
        <v>393</v>
      </c>
      <c r="L87" s="3" t="s">
        <v>394</v>
      </c>
      <c r="M87" s="3" t="n">
        <v>277274</v>
      </c>
      <c r="N87" s="3" t="s">
        <v>395</v>
      </c>
      <c r="O87" s="1" t="n">
        <v>260888</v>
      </c>
      <c r="P87" s="1" t="n">
        <v>94.09</v>
      </c>
      <c r="Q87" s="1" t="s">
        <v>20</v>
      </c>
      <c r="R87" s="1" t="s">
        <v>27</v>
      </c>
      <c r="S87" s="1" t="s">
        <v>28</v>
      </c>
      <c r="T87" s="1" t="s">
        <v>29</v>
      </c>
    </row>
    <row r="88" customFormat="false" ht="18.7" hidden="false" customHeight="true" outlineLevel="0" collapsed="false">
      <c r="A88" s="1" t="n">
        <v>87</v>
      </c>
      <c r="B88" s="6" t="str">
        <f aca="false">HYPERLINK("https://mncourtfraud.com/file/MCRO_27-CR-18-18391_Find of Fact-Order, Pet Commitment-Dfd Found Incompetent_2019-08-27_20240430092804.pdf","MCRO_27-CR-18-18391_Find of Fact-Order, Pet Commitment-Dfd Found Incompetent_2019-08-27_20240430092804.pdf")</f>
        <v>MCRO_27-CR-18-18391_Find of Fact-Order, Pet Commitment-Dfd Found Incompetent_2019-08-27_20240430092804.pdf</v>
      </c>
      <c r="C88" s="1" t="n">
        <v>4</v>
      </c>
      <c r="D88" s="1" t="n">
        <v>2</v>
      </c>
      <c r="E88" s="1" t="n">
        <v>2</v>
      </c>
      <c r="F88" s="3" t="s">
        <v>20</v>
      </c>
      <c r="G88" s="3" t="s">
        <v>396</v>
      </c>
      <c r="H88" s="1" t="s">
        <v>22</v>
      </c>
      <c r="I88" s="1" t="n">
        <v>20240430092804</v>
      </c>
      <c r="J88" s="3" t="s">
        <v>397</v>
      </c>
      <c r="K88" s="3" t="s">
        <v>398</v>
      </c>
      <c r="L88" s="3" t="s">
        <v>399</v>
      </c>
      <c r="M88" s="3" t="n">
        <v>302469</v>
      </c>
      <c r="N88" s="3" t="s">
        <v>400</v>
      </c>
      <c r="O88" s="1" t="n">
        <v>286083</v>
      </c>
      <c r="P88" s="1" t="n">
        <v>94.58</v>
      </c>
      <c r="Q88" s="1" t="s">
        <v>20</v>
      </c>
      <c r="R88" s="1" t="s">
        <v>27</v>
      </c>
      <c r="S88" s="1" t="s">
        <v>28</v>
      </c>
      <c r="T88" s="1" t="s">
        <v>29</v>
      </c>
    </row>
    <row r="89" customFormat="false" ht="18.7" hidden="false" customHeight="true" outlineLevel="0" collapsed="false">
      <c r="A89" s="1" t="n">
        <v>88</v>
      </c>
      <c r="B89" s="6" t="str">
        <f aca="false">HYPERLINK("https://mncourtfraud.com/file/MCRO_27-CR-18-18391_Law Enforcement Notice of Release and Appearance_2018-09-13_20240430092825.pdf","MCRO_27-CR-18-18391_Law Enforcement Notice of Release and Appearance_2018-09-13_20240430092825.pdf")</f>
        <v>MCRO_27-CR-18-18391_Law Enforcement Notice of Release and Appearance_2018-09-13_20240430092825.pdf</v>
      </c>
      <c r="C89" s="1" t="n">
        <v>4</v>
      </c>
      <c r="D89" s="1" t="n">
        <v>1</v>
      </c>
      <c r="E89" s="1" t="n">
        <v>1</v>
      </c>
      <c r="F89" s="3" t="s">
        <v>20</v>
      </c>
      <c r="G89" s="3" t="s">
        <v>401</v>
      </c>
      <c r="H89" s="1" t="s">
        <v>22</v>
      </c>
      <c r="I89" s="1" t="n">
        <v>20240430092825</v>
      </c>
      <c r="J89" s="3" t="s">
        <v>402</v>
      </c>
      <c r="K89" s="3" t="s">
        <v>403</v>
      </c>
      <c r="L89" s="3" t="s">
        <v>404</v>
      </c>
      <c r="M89" s="3" t="n">
        <v>118677</v>
      </c>
      <c r="N89" s="3" t="s">
        <v>119</v>
      </c>
      <c r="O89" s="1" t="n">
        <v>102291</v>
      </c>
      <c r="P89" s="1" t="n">
        <v>86.19</v>
      </c>
      <c r="Q89" s="1" t="s">
        <v>20</v>
      </c>
      <c r="R89" s="1" t="s">
        <v>27</v>
      </c>
      <c r="S89" s="1" t="s">
        <v>28</v>
      </c>
      <c r="T89" s="1" t="s">
        <v>29</v>
      </c>
    </row>
    <row r="90" customFormat="false" ht="18.7" hidden="false" customHeight="true" outlineLevel="0" collapsed="false">
      <c r="A90" s="1" t="n">
        <v>89</v>
      </c>
      <c r="B90" s="6" t="str">
        <f aca="false">HYPERLINK("https://mncourtfraud.com/file/MCRO_27-CR-18-18391_Motion_2019-12-30_20240430092758.pdf","MCRO_27-CR-18-18391_Motion_2019-12-30_20240430092758.pdf")</f>
        <v>MCRO_27-CR-18-18391_Motion_2019-12-30_20240430092758.pdf</v>
      </c>
      <c r="C90" s="1" t="n">
        <v>3</v>
      </c>
      <c r="D90" s="1" t="n">
        <v>1</v>
      </c>
      <c r="E90" s="1" t="n">
        <v>1</v>
      </c>
      <c r="F90" s="3" t="s">
        <v>20</v>
      </c>
      <c r="G90" s="3" t="s">
        <v>405</v>
      </c>
      <c r="H90" s="1" t="s">
        <v>22</v>
      </c>
      <c r="I90" s="1" t="n">
        <v>20240430092758</v>
      </c>
      <c r="J90" s="3" t="s">
        <v>406</v>
      </c>
      <c r="K90" s="3" t="s">
        <v>407</v>
      </c>
      <c r="L90" s="3" t="s">
        <v>408</v>
      </c>
      <c r="M90" s="3" t="n">
        <v>154366</v>
      </c>
      <c r="N90" s="3" t="s">
        <v>409</v>
      </c>
      <c r="O90" s="1" t="n">
        <v>137980</v>
      </c>
      <c r="P90" s="1" t="n">
        <v>89.38</v>
      </c>
      <c r="Q90" s="1" t="s">
        <v>20</v>
      </c>
      <c r="R90" s="1" t="s">
        <v>27</v>
      </c>
      <c r="S90" s="1" t="s">
        <v>28</v>
      </c>
      <c r="T90" s="1" t="s">
        <v>29</v>
      </c>
    </row>
    <row r="91" customFormat="false" ht="18.7" hidden="false" customHeight="true" outlineLevel="0" collapsed="false">
      <c r="A91" s="1" t="n">
        <v>90</v>
      </c>
      <c r="B91" s="6" t="str">
        <f aca="false">HYPERLINK("https://mncourtfraud.com/file/MCRO_27-CR-18-18391_Non-Cash Bond Posted_2018-09-12_20240430092826.pdf","MCRO_27-CR-18-18391_Non-Cash Bond Posted_2018-09-12_20240430092826.pdf")</f>
        <v>MCRO_27-CR-18-18391_Non-Cash Bond Posted_2018-09-12_20240430092826.pdf</v>
      </c>
      <c r="C91" s="1" t="n">
        <v>4</v>
      </c>
      <c r="D91" s="1" t="n">
        <v>1</v>
      </c>
      <c r="E91" s="1" t="n">
        <v>1</v>
      </c>
      <c r="F91" s="3" t="s">
        <v>20</v>
      </c>
      <c r="G91" s="3" t="s">
        <v>410</v>
      </c>
      <c r="H91" s="1" t="s">
        <v>22</v>
      </c>
      <c r="I91" s="1" t="n">
        <v>20240430092826</v>
      </c>
      <c r="J91" s="3" t="s">
        <v>411</v>
      </c>
      <c r="K91" s="3" t="s">
        <v>412</v>
      </c>
      <c r="L91" s="3" t="s">
        <v>413</v>
      </c>
      <c r="M91" s="3" t="n">
        <v>243587</v>
      </c>
      <c r="N91" s="3" t="s">
        <v>158</v>
      </c>
      <c r="O91" s="1" t="n">
        <v>227201</v>
      </c>
      <c r="P91" s="1" t="n">
        <v>93.27</v>
      </c>
      <c r="Q91" s="1" t="s">
        <v>20</v>
      </c>
      <c r="R91" s="1" t="s">
        <v>27</v>
      </c>
      <c r="S91" s="1" t="s">
        <v>28</v>
      </c>
      <c r="T91" s="1" t="s">
        <v>29</v>
      </c>
    </row>
    <row r="92" customFormat="false" ht="18.7" hidden="false" customHeight="true" outlineLevel="0" collapsed="false">
      <c r="A92" s="1" t="n">
        <v>91</v>
      </c>
      <c r="B92" s="6" t="str">
        <f aca="false">HYPERLINK("https://mncourtfraud.com/file/MCRO_27-CR-18-18391_Notice by Attorney or Party_2021-04-01_20240430092739.pdf","MCRO_27-CR-18-18391_Notice by Attorney or Party_2021-04-01_20240430092739.pdf")</f>
        <v>MCRO_27-CR-18-18391_Notice by Attorney or Party_2021-04-01_20240430092739.pdf</v>
      </c>
      <c r="C92" s="1" t="n">
        <v>4</v>
      </c>
      <c r="D92" s="1" t="n">
        <v>1</v>
      </c>
      <c r="E92" s="1" t="n">
        <v>1</v>
      </c>
      <c r="F92" s="3" t="s">
        <v>20</v>
      </c>
      <c r="G92" s="3" t="s">
        <v>414</v>
      </c>
      <c r="H92" s="1" t="s">
        <v>22</v>
      </c>
      <c r="I92" s="1" t="n">
        <v>20240430092739</v>
      </c>
      <c r="J92" s="3" t="s">
        <v>415</v>
      </c>
      <c r="K92" s="3" t="s">
        <v>416</v>
      </c>
      <c r="L92" s="3" t="s">
        <v>417</v>
      </c>
      <c r="M92" s="3" t="n">
        <v>143452</v>
      </c>
      <c r="N92" s="3" t="s">
        <v>418</v>
      </c>
      <c r="O92" s="1" t="n">
        <v>127066</v>
      </c>
      <c r="P92" s="1" t="n">
        <v>88.58</v>
      </c>
      <c r="Q92" s="1" t="s">
        <v>20</v>
      </c>
      <c r="R92" s="1" t="s">
        <v>27</v>
      </c>
      <c r="S92" s="1" t="s">
        <v>28</v>
      </c>
      <c r="T92" s="1" t="s">
        <v>29</v>
      </c>
    </row>
    <row r="93" customFormat="false" ht="18.7" hidden="false" customHeight="true" outlineLevel="0" collapsed="false">
      <c r="A93" s="1" t="n">
        <v>92</v>
      </c>
      <c r="B93" s="6" t="str">
        <f aca="false">HYPERLINK("https://mncourtfraud.com/file/MCRO_27-CR-18-18391_Notice of Appearance_2020-02-25_20240430092752.pdf","MCRO_27-CR-18-18391_Notice of Appearance_2020-02-25_20240430092752.pdf")</f>
        <v>MCRO_27-CR-18-18391_Notice of Appearance_2020-02-25_20240430092752.pdf</v>
      </c>
      <c r="C93" s="1" t="n">
        <v>4</v>
      </c>
      <c r="D93" s="1" t="n">
        <v>1</v>
      </c>
      <c r="E93" s="1" t="n">
        <v>1</v>
      </c>
      <c r="F93" s="3" t="s">
        <v>20</v>
      </c>
      <c r="G93" s="3" t="s">
        <v>419</v>
      </c>
      <c r="H93" s="1" t="s">
        <v>22</v>
      </c>
      <c r="I93" s="1" t="n">
        <v>20240430092752</v>
      </c>
      <c r="J93" s="3" t="s">
        <v>420</v>
      </c>
      <c r="K93" s="3" t="s">
        <v>421</v>
      </c>
      <c r="L93" s="3" t="s">
        <v>422</v>
      </c>
      <c r="M93" s="3" t="n">
        <v>525295</v>
      </c>
      <c r="N93" s="3" t="s">
        <v>137</v>
      </c>
      <c r="O93" s="1" t="n">
        <v>508909</v>
      </c>
      <c r="P93" s="1" t="n">
        <v>96.88</v>
      </c>
      <c r="Q93" s="1" t="s">
        <v>20</v>
      </c>
      <c r="R93" s="1" t="s">
        <v>27</v>
      </c>
      <c r="S93" s="1" t="s">
        <v>28</v>
      </c>
      <c r="T93" s="1" t="s">
        <v>29</v>
      </c>
    </row>
    <row r="94" customFormat="false" ht="18.7" hidden="false" customHeight="true" outlineLevel="0" collapsed="false">
      <c r="A94" s="1" t="n">
        <v>93</v>
      </c>
      <c r="B94" s="6" t="str">
        <f aca="false">HYPERLINK("https://mncourtfraud.com/file/MCRO_27-CR-18-18391_Notice of Bond Forfeiture_2018-09-21_20240430092822.pdf","MCRO_27-CR-18-18391_Notice of Bond Forfeiture_2018-09-21_20240430092822.pdf")</f>
        <v>MCRO_27-CR-18-18391_Notice of Bond Forfeiture_2018-09-21_20240430092822.pdf</v>
      </c>
      <c r="C94" s="1" t="n">
        <v>4</v>
      </c>
      <c r="D94" s="1" t="n">
        <v>1</v>
      </c>
      <c r="E94" s="1" t="n">
        <v>1</v>
      </c>
      <c r="F94" s="3" t="s">
        <v>20</v>
      </c>
      <c r="G94" s="3" t="s">
        <v>423</v>
      </c>
      <c r="H94" s="1" t="s">
        <v>22</v>
      </c>
      <c r="I94" s="1" t="n">
        <v>20240430092822</v>
      </c>
      <c r="J94" s="3" t="s">
        <v>424</v>
      </c>
      <c r="K94" s="3" t="s">
        <v>425</v>
      </c>
      <c r="L94" s="3" t="s">
        <v>426</v>
      </c>
      <c r="M94" s="3" t="n">
        <v>121161</v>
      </c>
      <c r="N94" s="3" t="s">
        <v>119</v>
      </c>
      <c r="O94" s="1" t="n">
        <v>104775</v>
      </c>
      <c r="P94" s="1" t="n">
        <v>86.48</v>
      </c>
      <c r="Q94" s="1" t="s">
        <v>20</v>
      </c>
      <c r="R94" s="1" t="s">
        <v>27</v>
      </c>
      <c r="S94" s="1" t="s">
        <v>28</v>
      </c>
      <c r="T94" s="1" t="s">
        <v>29</v>
      </c>
    </row>
    <row r="95" customFormat="false" ht="18.7" hidden="false" customHeight="true" outlineLevel="0" collapsed="false">
      <c r="A95" s="1" t="n">
        <v>94</v>
      </c>
      <c r="B95" s="6" t="str">
        <f aca="false">HYPERLINK("https://mncourtfraud.com/file/MCRO_27-CR-18-18391_Notice of Case Reassignment_2020-03-04_20240430092751.pdf","MCRO_27-CR-18-18391_Notice of Case Reassignment_2020-03-04_20240430092751.pdf")</f>
        <v>MCRO_27-CR-18-18391_Notice of Case Reassignment_2020-03-04_20240430092751.pdf</v>
      </c>
      <c r="C95" s="1" t="n">
        <v>4</v>
      </c>
      <c r="D95" s="1" t="n">
        <v>1</v>
      </c>
      <c r="E95" s="1" t="n">
        <v>1</v>
      </c>
      <c r="F95" s="3" t="s">
        <v>20</v>
      </c>
      <c r="G95" s="3" t="s">
        <v>427</v>
      </c>
      <c r="H95" s="1" t="s">
        <v>22</v>
      </c>
      <c r="I95" s="1" t="n">
        <v>20240430092751</v>
      </c>
      <c r="J95" s="3" t="s">
        <v>428</v>
      </c>
      <c r="K95" s="3" t="s">
        <v>429</v>
      </c>
      <c r="L95" s="3" t="s">
        <v>430</v>
      </c>
      <c r="M95" s="3" t="n">
        <v>277328</v>
      </c>
      <c r="N95" s="3" t="s">
        <v>137</v>
      </c>
      <c r="O95" s="1" t="n">
        <v>260942</v>
      </c>
      <c r="P95" s="1" t="n">
        <v>94.09</v>
      </c>
      <c r="Q95" s="1" t="s">
        <v>20</v>
      </c>
      <c r="R95" s="1" t="s">
        <v>27</v>
      </c>
      <c r="S95" s="1" t="s">
        <v>28</v>
      </c>
      <c r="T95" s="1" t="s">
        <v>29</v>
      </c>
    </row>
    <row r="96" customFormat="false" ht="18.7" hidden="false" customHeight="true" outlineLevel="0" collapsed="false">
      <c r="A96" s="1" t="n">
        <v>95</v>
      </c>
      <c r="B96" s="6" t="str">
        <f aca="false">HYPERLINK("https://mncourtfraud.com/file/MCRO_27-CR-18-18391_Notice of Filing of Order_2019-09-30_20240430092802.pdf","MCRO_27-CR-18-18391_Notice of Filing of Order_2019-09-30_20240430092802.pdf")</f>
        <v>MCRO_27-CR-18-18391_Notice of Filing of Order_2019-09-30_20240430092802.pdf</v>
      </c>
      <c r="C96" s="1" t="n">
        <v>4</v>
      </c>
      <c r="D96" s="1" t="n">
        <v>1</v>
      </c>
      <c r="E96" s="1" t="n">
        <v>1</v>
      </c>
      <c r="F96" s="3" t="s">
        <v>20</v>
      </c>
      <c r="G96" s="3" t="s">
        <v>431</v>
      </c>
      <c r="H96" s="1" t="s">
        <v>22</v>
      </c>
      <c r="I96" s="1" t="n">
        <v>20240430092802</v>
      </c>
      <c r="J96" s="3" t="s">
        <v>432</v>
      </c>
      <c r="K96" s="3" t="s">
        <v>433</v>
      </c>
      <c r="L96" s="3" t="s">
        <v>434</v>
      </c>
      <c r="M96" s="3" t="n">
        <v>94012</v>
      </c>
      <c r="N96" s="3" t="s">
        <v>435</v>
      </c>
      <c r="O96" s="1" t="n">
        <v>77626</v>
      </c>
      <c r="P96" s="1" t="n">
        <v>82.57</v>
      </c>
      <c r="Q96" s="1" t="s">
        <v>20</v>
      </c>
      <c r="R96" s="1" t="s">
        <v>27</v>
      </c>
      <c r="S96" s="1" t="s">
        <v>28</v>
      </c>
      <c r="T96" s="1" t="s">
        <v>29</v>
      </c>
    </row>
    <row r="97" customFormat="false" ht="18.7" hidden="false" customHeight="true" outlineLevel="0" collapsed="false">
      <c r="A97" s="1" t="n">
        <v>96</v>
      </c>
      <c r="B97" s="6" t="str">
        <f aca="false">HYPERLINK("https://mncourtfraud.com/file/MCRO_27-CR-18-18391_Notice of Filing of Order_2020-01-24_20240430092753.pdf","MCRO_27-CR-18-18391_Notice of Filing of Order_2020-01-24_20240430092753.pdf")</f>
        <v>MCRO_27-CR-18-18391_Notice of Filing of Order_2020-01-24_20240430092753.pdf</v>
      </c>
      <c r="C97" s="1" t="n">
        <v>4</v>
      </c>
      <c r="D97" s="1" t="n">
        <v>1</v>
      </c>
      <c r="E97" s="1" t="n">
        <v>1</v>
      </c>
      <c r="F97" s="3" t="s">
        <v>20</v>
      </c>
      <c r="G97" s="3" t="s">
        <v>436</v>
      </c>
      <c r="H97" s="1" t="s">
        <v>22</v>
      </c>
      <c r="I97" s="1" t="n">
        <v>20240430092753</v>
      </c>
      <c r="J97" s="3" t="s">
        <v>437</v>
      </c>
      <c r="K97" s="3" t="s">
        <v>438</v>
      </c>
      <c r="L97" s="3" t="s">
        <v>439</v>
      </c>
      <c r="M97" s="3" t="n">
        <v>91633</v>
      </c>
      <c r="N97" s="3" t="s">
        <v>137</v>
      </c>
      <c r="O97" s="1" t="n">
        <v>75247</v>
      </c>
      <c r="P97" s="1" t="n">
        <v>82.12</v>
      </c>
      <c r="Q97" s="1" t="s">
        <v>20</v>
      </c>
      <c r="R97" s="1" t="s">
        <v>27</v>
      </c>
      <c r="S97" s="1" t="s">
        <v>28</v>
      </c>
      <c r="T97" s="1" t="s">
        <v>29</v>
      </c>
    </row>
    <row r="98" customFormat="false" ht="18.7" hidden="false" customHeight="true" outlineLevel="0" collapsed="false">
      <c r="A98" s="1" t="n">
        <v>97</v>
      </c>
      <c r="B98" s="6" t="str">
        <f aca="false">HYPERLINK("https://mncourtfraud.com/file/MCRO_27-CR-18-18391_Notice of Hearing_2020-09-02_20240430092747.pdf","MCRO_27-CR-18-18391_Notice of Hearing_2020-09-02_20240430092747.pdf")</f>
        <v>MCRO_27-CR-18-18391_Notice of Hearing_2020-09-02_20240430092747.pdf</v>
      </c>
      <c r="C98" s="1" t="n">
        <v>4</v>
      </c>
      <c r="D98" s="1" t="n">
        <v>1</v>
      </c>
      <c r="E98" s="1" t="n">
        <v>1</v>
      </c>
      <c r="F98" s="3" t="s">
        <v>20</v>
      </c>
      <c r="G98" s="3" t="s">
        <v>440</v>
      </c>
      <c r="H98" s="1" t="s">
        <v>22</v>
      </c>
      <c r="I98" s="1" t="n">
        <v>20240430092747</v>
      </c>
      <c r="J98" s="3" t="s">
        <v>441</v>
      </c>
      <c r="K98" s="3" t="s">
        <v>442</v>
      </c>
      <c r="L98" s="3" t="s">
        <v>443</v>
      </c>
      <c r="M98" s="3" t="n">
        <v>99657</v>
      </c>
      <c r="N98" s="3" t="s">
        <v>137</v>
      </c>
      <c r="O98" s="1" t="n">
        <v>83271</v>
      </c>
      <c r="P98" s="1" t="n">
        <v>83.56</v>
      </c>
      <c r="Q98" s="1" t="s">
        <v>20</v>
      </c>
      <c r="R98" s="1" t="s">
        <v>27</v>
      </c>
      <c r="S98" s="1" t="s">
        <v>28</v>
      </c>
      <c r="T98" s="1" t="s">
        <v>29</v>
      </c>
    </row>
    <row r="99" customFormat="false" ht="18.7" hidden="false" customHeight="true" outlineLevel="0" collapsed="false">
      <c r="A99" s="1" t="n">
        <v>98</v>
      </c>
      <c r="B99" s="6" t="str">
        <f aca="false">HYPERLINK("https://mncourtfraud.com/file/MCRO_27-CR-18-18391_Notice of Hearing_2020-09-23_20240430092746.pdf","MCRO_27-CR-18-18391_Notice of Hearing_2020-09-23_20240430092746.pdf")</f>
        <v>MCRO_27-CR-18-18391_Notice of Hearing_2020-09-23_20240430092746.pdf</v>
      </c>
      <c r="C99" s="1" t="n">
        <v>4</v>
      </c>
      <c r="D99" s="1" t="n">
        <v>1</v>
      </c>
      <c r="E99" s="1" t="n">
        <v>1</v>
      </c>
      <c r="F99" s="3" t="s">
        <v>20</v>
      </c>
      <c r="G99" s="3" t="s">
        <v>444</v>
      </c>
      <c r="H99" s="1" t="s">
        <v>22</v>
      </c>
      <c r="I99" s="1" t="n">
        <v>20240430092746</v>
      </c>
      <c r="J99" s="3" t="s">
        <v>445</v>
      </c>
      <c r="K99" s="3" t="s">
        <v>446</v>
      </c>
      <c r="L99" s="3" t="s">
        <v>447</v>
      </c>
      <c r="M99" s="3" t="n">
        <v>89591</v>
      </c>
      <c r="N99" s="3" t="s">
        <v>137</v>
      </c>
      <c r="O99" s="1" t="n">
        <v>73205</v>
      </c>
      <c r="P99" s="1" t="n">
        <v>81.71</v>
      </c>
      <c r="Q99" s="1" t="s">
        <v>20</v>
      </c>
      <c r="R99" s="1" t="s">
        <v>27</v>
      </c>
      <c r="S99" s="1" t="s">
        <v>28</v>
      </c>
      <c r="T99" s="1" t="s">
        <v>29</v>
      </c>
    </row>
    <row r="100" customFormat="false" ht="18.7" hidden="false" customHeight="true" outlineLevel="0" collapsed="false">
      <c r="A100" s="1" t="n">
        <v>99</v>
      </c>
      <c r="B100" s="6" t="str">
        <f aca="false">HYPERLINK("https://mncourtfraud.com/file/MCRO_27-CR-18-18391_Notice of Hearing_2020-10-27_20240430092743.pdf","MCRO_27-CR-18-18391_Notice of Hearing_2020-10-27_20240430092743.pdf")</f>
        <v>MCRO_27-CR-18-18391_Notice of Hearing_2020-10-27_20240430092743.pdf</v>
      </c>
      <c r="C100" s="1" t="n">
        <v>4</v>
      </c>
      <c r="D100" s="1" t="n">
        <v>1</v>
      </c>
      <c r="E100" s="1" t="n">
        <v>1</v>
      </c>
      <c r="F100" s="3" t="s">
        <v>20</v>
      </c>
      <c r="G100" s="3" t="s">
        <v>448</v>
      </c>
      <c r="H100" s="1" t="s">
        <v>22</v>
      </c>
      <c r="I100" s="1" t="n">
        <v>20240430092743</v>
      </c>
      <c r="J100" s="3" t="s">
        <v>449</v>
      </c>
      <c r="K100" s="3" t="s">
        <v>450</v>
      </c>
      <c r="L100" s="3" t="s">
        <v>451</v>
      </c>
      <c r="M100" s="3" t="n">
        <v>89773</v>
      </c>
      <c r="N100" s="3" t="s">
        <v>137</v>
      </c>
      <c r="O100" s="1" t="n">
        <v>73387</v>
      </c>
      <c r="P100" s="1" t="n">
        <v>81.75</v>
      </c>
      <c r="Q100" s="1" t="s">
        <v>20</v>
      </c>
      <c r="R100" s="1" t="s">
        <v>27</v>
      </c>
      <c r="S100" s="1" t="s">
        <v>28</v>
      </c>
      <c r="T100" s="1" t="s">
        <v>29</v>
      </c>
    </row>
    <row r="101" customFormat="false" ht="18.7" hidden="false" customHeight="true" outlineLevel="0" collapsed="false">
      <c r="A101" s="1" t="n">
        <v>100</v>
      </c>
      <c r="B101" s="6" t="str">
        <f aca="false">HYPERLINK("https://mncourtfraud.com/file/MCRO_27-CR-18-18391_Notice of Hearing_2020-11-17_20240430092741.pdf","MCRO_27-CR-18-18391_Notice of Hearing_2020-11-17_20240430092741.pdf")</f>
        <v>MCRO_27-CR-18-18391_Notice of Hearing_2020-11-17_20240430092741.pdf</v>
      </c>
      <c r="C101" s="1" t="n">
        <v>4</v>
      </c>
      <c r="D101" s="1" t="n">
        <v>1</v>
      </c>
      <c r="E101" s="1" t="n">
        <v>1</v>
      </c>
      <c r="F101" s="3" t="s">
        <v>20</v>
      </c>
      <c r="G101" s="3" t="s">
        <v>452</v>
      </c>
      <c r="H101" s="1" t="s">
        <v>22</v>
      </c>
      <c r="I101" s="1" t="n">
        <v>20240430092741</v>
      </c>
      <c r="J101" s="3" t="s">
        <v>453</v>
      </c>
      <c r="K101" s="3" t="s">
        <v>454</v>
      </c>
      <c r="L101" s="3" t="s">
        <v>455</v>
      </c>
      <c r="M101" s="3" t="n">
        <v>92113</v>
      </c>
      <c r="N101" s="3" t="s">
        <v>456</v>
      </c>
      <c r="O101" s="1" t="n">
        <v>75727</v>
      </c>
      <c r="P101" s="1" t="n">
        <v>82.21</v>
      </c>
      <c r="Q101" s="1" t="s">
        <v>20</v>
      </c>
      <c r="R101" s="1" t="s">
        <v>27</v>
      </c>
      <c r="S101" s="1" t="s">
        <v>28</v>
      </c>
      <c r="T101" s="1" t="s">
        <v>29</v>
      </c>
    </row>
    <row r="102" customFormat="false" ht="18.7" hidden="false" customHeight="true" outlineLevel="0" collapsed="false">
      <c r="A102" s="1" t="n">
        <v>101</v>
      </c>
      <c r="B102" s="6" t="str">
        <f aca="false">HYPERLINK("https://mncourtfraud.com/file/MCRO_27-CR-18-18391_Notice of Hearing_2021-01-13_20240430092741.pdf","MCRO_27-CR-18-18391_Notice of Hearing_2021-01-13_20240430092741.pdf")</f>
        <v>MCRO_27-CR-18-18391_Notice of Hearing_2021-01-13_20240430092741.pdf</v>
      </c>
      <c r="C102" s="1" t="n">
        <v>4</v>
      </c>
      <c r="D102" s="1" t="n">
        <v>1</v>
      </c>
      <c r="E102" s="1" t="n">
        <v>1</v>
      </c>
      <c r="F102" s="3" t="s">
        <v>20</v>
      </c>
      <c r="G102" s="3" t="s">
        <v>457</v>
      </c>
      <c r="H102" s="1" t="s">
        <v>22</v>
      </c>
      <c r="I102" s="1" t="n">
        <v>20240430092741</v>
      </c>
      <c r="J102" s="3" t="s">
        <v>453</v>
      </c>
      <c r="K102" s="3" t="s">
        <v>454</v>
      </c>
      <c r="L102" s="3" t="s">
        <v>458</v>
      </c>
      <c r="M102" s="3" t="n">
        <v>96982</v>
      </c>
      <c r="N102" s="3" t="s">
        <v>456</v>
      </c>
      <c r="O102" s="1" t="n">
        <v>80596</v>
      </c>
      <c r="P102" s="1" t="n">
        <v>83.1</v>
      </c>
      <c r="Q102" s="1" t="s">
        <v>20</v>
      </c>
      <c r="R102" s="1" t="s">
        <v>27</v>
      </c>
      <c r="S102" s="1" t="s">
        <v>28</v>
      </c>
      <c r="T102" s="1" t="s">
        <v>29</v>
      </c>
    </row>
    <row r="103" customFormat="false" ht="18.7" hidden="false" customHeight="true" outlineLevel="0" collapsed="false">
      <c r="A103" s="1" t="n">
        <v>102</v>
      </c>
      <c r="B103" s="6" t="str">
        <f aca="false">HYPERLINK("https://mncourtfraud.com/file/MCRO_27-CR-18-18391_Notice of Hearing_2021-07-14_20240430092737.pdf","MCRO_27-CR-18-18391_Notice of Hearing_2021-07-14_20240430092737.pdf")</f>
        <v>MCRO_27-CR-18-18391_Notice of Hearing_2021-07-14_20240430092737.pdf</v>
      </c>
      <c r="C103" s="1" t="n">
        <v>4</v>
      </c>
      <c r="D103" s="1" t="n">
        <v>1</v>
      </c>
      <c r="E103" s="1" t="n">
        <v>1</v>
      </c>
      <c r="F103" s="3" t="s">
        <v>20</v>
      </c>
      <c r="G103" s="3" t="s">
        <v>459</v>
      </c>
      <c r="H103" s="1" t="s">
        <v>22</v>
      </c>
      <c r="I103" s="1" t="n">
        <v>20240430092737</v>
      </c>
      <c r="J103" s="3" t="s">
        <v>460</v>
      </c>
      <c r="K103" s="3" t="s">
        <v>461</v>
      </c>
      <c r="L103" s="3" t="s">
        <v>462</v>
      </c>
      <c r="M103" s="3" t="n">
        <v>98419</v>
      </c>
      <c r="N103" s="3" t="s">
        <v>456</v>
      </c>
      <c r="O103" s="1" t="n">
        <v>82033</v>
      </c>
      <c r="P103" s="1" t="n">
        <v>83.35</v>
      </c>
      <c r="Q103" s="1" t="s">
        <v>20</v>
      </c>
      <c r="R103" s="1" t="s">
        <v>27</v>
      </c>
      <c r="S103" s="1" t="s">
        <v>28</v>
      </c>
      <c r="T103" s="1" t="s">
        <v>29</v>
      </c>
    </row>
    <row r="104" customFormat="false" ht="18.7" hidden="false" customHeight="true" outlineLevel="0" collapsed="false">
      <c r="A104" s="1" t="n">
        <v>103</v>
      </c>
      <c r="B104" s="6" t="str">
        <f aca="false">HYPERLINK("https://mncourtfraud.com/file/MCRO_27-CR-18-18391_Notice of Hearing_2022-08-29_20240430092730.pdf","MCRO_27-CR-18-18391_Notice of Hearing_2022-08-29_20240430092730.pdf")</f>
        <v>MCRO_27-CR-18-18391_Notice of Hearing_2022-08-29_20240430092730.pdf</v>
      </c>
      <c r="C104" s="1" t="n">
        <v>5</v>
      </c>
      <c r="D104" s="1" t="n">
        <v>1</v>
      </c>
      <c r="E104" s="1" t="n">
        <v>1</v>
      </c>
      <c r="F104" s="3" t="s">
        <v>20</v>
      </c>
      <c r="G104" s="3" t="s">
        <v>463</v>
      </c>
      <c r="H104" s="1" t="s">
        <v>22</v>
      </c>
      <c r="I104" s="1" t="n">
        <v>20240430092730</v>
      </c>
      <c r="J104" s="3" t="s">
        <v>464</v>
      </c>
      <c r="K104" s="3" t="s">
        <v>465</v>
      </c>
      <c r="L104" s="3" t="s">
        <v>466</v>
      </c>
      <c r="M104" s="3" t="n">
        <v>191505</v>
      </c>
      <c r="N104" s="3" t="s">
        <v>467</v>
      </c>
      <c r="O104" s="1" t="n">
        <v>175119</v>
      </c>
      <c r="P104" s="1" t="n">
        <v>91.44</v>
      </c>
      <c r="Q104" s="1" t="s">
        <v>20</v>
      </c>
      <c r="R104" s="1" t="s">
        <v>27</v>
      </c>
      <c r="S104" s="1" t="s">
        <v>28</v>
      </c>
      <c r="T104" s="1" t="s">
        <v>29</v>
      </c>
    </row>
    <row r="105" customFormat="false" ht="18.7" hidden="false" customHeight="true" outlineLevel="0" collapsed="false">
      <c r="A105" s="1" t="n">
        <v>104</v>
      </c>
      <c r="B105" s="6" t="str">
        <f aca="false">HYPERLINK("https://mncourtfraud.com/file/MCRO_27-CR-18-18391_Notice of Hearing_2022-09-15_20240430092729.pdf","MCRO_27-CR-18-18391_Notice of Hearing_2022-09-15_20240430092729.pdf")</f>
        <v>MCRO_27-CR-18-18391_Notice of Hearing_2022-09-15_20240430092729.pdf</v>
      </c>
      <c r="C105" s="1" t="n">
        <v>5</v>
      </c>
      <c r="D105" s="1" t="n">
        <v>1</v>
      </c>
      <c r="E105" s="1" t="n">
        <v>1</v>
      </c>
      <c r="F105" s="3" t="s">
        <v>20</v>
      </c>
      <c r="G105" s="3" t="s">
        <v>468</v>
      </c>
      <c r="H105" s="1" t="s">
        <v>22</v>
      </c>
      <c r="I105" s="1" t="n">
        <v>20240430092729</v>
      </c>
      <c r="J105" s="3" t="s">
        <v>469</v>
      </c>
      <c r="K105" s="3" t="s">
        <v>470</v>
      </c>
      <c r="L105" s="3" t="s">
        <v>471</v>
      </c>
      <c r="M105" s="3" t="n">
        <v>191920</v>
      </c>
      <c r="N105" s="3" t="s">
        <v>467</v>
      </c>
      <c r="O105" s="1" t="n">
        <v>175534</v>
      </c>
      <c r="P105" s="1" t="n">
        <v>91.46</v>
      </c>
      <c r="Q105" s="1" t="s">
        <v>20</v>
      </c>
      <c r="R105" s="1" t="s">
        <v>27</v>
      </c>
      <c r="S105" s="1" t="s">
        <v>28</v>
      </c>
      <c r="T105" s="1" t="s">
        <v>29</v>
      </c>
    </row>
    <row r="106" customFormat="false" ht="18.7" hidden="false" customHeight="true" outlineLevel="0" collapsed="false">
      <c r="A106" s="1" t="n">
        <v>105</v>
      </c>
      <c r="B106" s="6" t="str">
        <f aca="false">HYPERLINK("https://mncourtfraud.com/file/MCRO_27-CR-18-18391_Notice of Hearing_2022-09-21_20240430092726.pdf","MCRO_27-CR-18-18391_Notice of Hearing_2022-09-21_20240430092726.pdf")</f>
        <v>MCRO_27-CR-18-18391_Notice of Hearing_2022-09-21_20240430092726.pdf</v>
      </c>
      <c r="C106" s="1" t="n">
        <v>5</v>
      </c>
      <c r="D106" s="1" t="n">
        <v>1</v>
      </c>
      <c r="E106" s="1" t="n">
        <v>1</v>
      </c>
      <c r="F106" s="3" t="s">
        <v>20</v>
      </c>
      <c r="G106" s="3" t="s">
        <v>472</v>
      </c>
      <c r="H106" s="1" t="s">
        <v>22</v>
      </c>
      <c r="I106" s="1" t="n">
        <v>20240430092726</v>
      </c>
      <c r="J106" s="3" t="s">
        <v>473</v>
      </c>
      <c r="K106" s="3" t="s">
        <v>474</v>
      </c>
      <c r="L106" s="3" t="s">
        <v>475</v>
      </c>
      <c r="M106" s="3" t="n">
        <v>191648</v>
      </c>
      <c r="N106" s="3" t="s">
        <v>476</v>
      </c>
      <c r="O106" s="1" t="n">
        <v>175262</v>
      </c>
      <c r="P106" s="1" t="n">
        <v>91.45</v>
      </c>
      <c r="Q106" s="1" t="s">
        <v>20</v>
      </c>
      <c r="R106" s="1" t="s">
        <v>27</v>
      </c>
      <c r="S106" s="1" t="s">
        <v>28</v>
      </c>
      <c r="T106" s="1" t="s">
        <v>29</v>
      </c>
    </row>
    <row r="107" customFormat="false" ht="18.7" hidden="false" customHeight="true" outlineLevel="0" collapsed="false">
      <c r="A107" s="1" t="n">
        <v>106</v>
      </c>
      <c r="B107" s="6" t="str">
        <f aca="false">HYPERLINK("https://mncourtfraud.com/file/MCRO_27-CR-18-18391_Notice of Motion and Motion_2019-03-06_20240430092809.pdf","MCRO_27-CR-18-18391_Notice of Motion and Motion_2019-03-06_20240430092809.pdf")</f>
        <v>MCRO_27-CR-18-18391_Notice of Motion and Motion_2019-03-06_20240430092809.pdf</v>
      </c>
      <c r="C107" s="1" t="n">
        <v>3</v>
      </c>
      <c r="D107" s="1" t="n">
        <v>1</v>
      </c>
      <c r="E107" s="1" t="n">
        <v>1</v>
      </c>
      <c r="F107" s="3" t="s">
        <v>20</v>
      </c>
      <c r="G107" s="3" t="s">
        <v>477</v>
      </c>
      <c r="H107" s="1" t="s">
        <v>22</v>
      </c>
      <c r="I107" s="1" t="n">
        <v>20240430092809</v>
      </c>
      <c r="J107" s="3" t="s">
        <v>478</v>
      </c>
      <c r="K107" s="3" t="s">
        <v>479</v>
      </c>
      <c r="L107" s="3" t="s">
        <v>480</v>
      </c>
      <c r="M107" s="3" t="n">
        <v>231468</v>
      </c>
      <c r="N107" s="3" t="s">
        <v>481</v>
      </c>
      <c r="O107" s="1" t="n">
        <v>215082</v>
      </c>
      <c r="P107" s="1" t="n">
        <v>92.92</v>
      </c>
      <c r="Q107" s="1" t="s">
        <v>20</v>
      </c>
      <c r="R107" s="1" t="s">
        <v>27</v>
      </c>
      <c r="S107" s="1" t="s">
        <v>28</v>
      </c>
      <c r="T107" s="1" t="s">
        <v>29</v>
      </c>
    </row>
    <row r="108" customFormat="false" ht="18.7" hidden="false" customHeight="true" outlineLevel="0" collapsed="false">
      <c r="A108" s="1" t="n">
        <v>107</v>
      </c>
      <c r="B108" s="6" t="str">
        <f aca="false">HYPERLINK("https://mncourtfraud.com/file/MCRO_27-CR-18-18391_Notice of Motion and Motion_2019-06-17_20240430092807.pdf","MCRO_27-CR-18-18391_Notice of Motion and Motion_2019-06-17_20240430092807.pdf")</f>
        <v>MCRO_27-CR-18-18391_Notice of Motion and Motion_2019-06-17_20240430092807.pdf</v>
      </c>
      <c r="C108" s="1" t="n">
        <v>4</v>
      </c>
      <c r="D108" s="1" t="n">
        <v>1</v>
      </c>
      <c r="E108" s="1" t="n">
        <v>1</v>
      </c>
      <c r="F108" s="3" t="s">
        <v>20</v>
      </c>
      <c r="G108" s="3" t="s">
        <v>482</v>
      </c>
      <c r="H108" s="1" t="s">
        <v>22</v>
      </c>
      <c r="I108" s="1" t="n">
        <v>20240430092807</v>
      </c>
      <c r="J108" s="3" t="s">
        <v>483</v>
      </c>
      <c r="K108" s="3" t="s">
        <v>484</v>
      </c>
      <c r="L108" s="3" t="s">
        <v>485</v>
      </c>
      <c r="M108" s="3" t="n">
        <v>249145</v>
      </c>
      <c r="N108" s="3" t="s">
        <v>486</v>
      </c>
      <c r="O108" s="1" t="n">
        <v>232759</v>
      </c>
      <c r="P108" s="1" t="n">
        <v>93.42</v>
      </c>
      <c r="Q108" s="1" t="s">
        <v>20</v>
      </c>
      <c r="R108" s="1" t="s">
        <v>27</v>
      </c>
      <c r="S108" s="1" t="s">
        <v>28</v>
      </c>
      <c r="T108" s="1" t="s">
        <v>29</v>
      </c>
    </row>
    <row r="109" customFormat="false" ht="18.7" hidden="false" customHeight="true" outlineLevel="0" collapsed="false">
      <c r="A109" s="1" t="n">
        <v>108</v>
      </c>
      <c r="B109" s="6" t="str">
        <f aca="false">HYPERLINK("https://mncourtfraud.com/file/MCRO_27-CR-18-18391_Notice of Remote Hearing with Instructions_2022-01-10_20240430092736.pdf","MCRO_27-CR-18-18391_Notice of Remote Hearing with Instructions_2022-01-10_20240430092736.pdf")</f>
        <v>MCRO_27-CR-18-18391_Notice of Remote Hearing with Instructions_2022-01-10_20240430092736.pdf</v>
      </c>
      <c r="C109" s="1" t="n">
        <v>5</v>
      </c>
      <c r="D109" s="1" t="n">
        <v>1</v>
      </c>
      <c r="E109" s="1" t="n">
        <v>1</v>
      </c>
      <c r="F109" s="3" t="s">
        <v>20</v>
      </c>
      <c r="G109" s="3" t="s">
        <v>487</v>
      </c>
      <c r="H109" s="1" t="s">
        <v>22</v>
      </c>
      <c r="I109" s="1" t="n">
        <v>20240430092736</v>
      </c>
      <c r="J109" s="3" t="s">
        <v>488</v>
      </c>
      <c r="K109" s="3" t="s">
        <v>489</v>
      </c>
      <c r="L109" s="3" t="s">
        <v>490</v>
      </c>
      <c r="M109" s="3" t="n">
        <v>311901</v>
      </c>
      <c r="N109" s="3" t="s">
        <v>491</v>
      </c>
      <c r="O109" s="1" t="n">
        <v>295515</v>
      </c>
      <c r="P109" s="1" t="n">
        <v>94.75</v>
      </c>
      <c r="Q109" s="1" t="s">
        <v>20</v>
      </c>
      <c r="R109" s="1" t="s">
        <v>27</v>
      </c>
      <c r="S109" s="1" t="s">
        <v>28</v>
      </c>
      <c r="T109" s="1" t="s">
        <v>29</v>
      </c>
    </row>
    <row r="110" customFormat="false" ht="18.7" hidden="false" customHeight="true" outlineLevel="0" collapsed="false">
      <c r="A110" s="1" t="n">
        <v>109</v>
      </c>
      <c r="B110" s="6" t="str">
        <f aca="false">HYPERLINK("https://mncourtfraud.com/file/MCRO_27-CR-18-18391_Notice of Remote Hearing with Instructions_2022-01-25_20240430092735.pdf","MCRO_27-CR-18-18391_Notice of Remote Hearing with Instructions_2022-01-25_20240430092735.pdf")</f>
        <v>MCRO_27-CR-18-18391_Notice of Remote Hearing with Instructions_2022-01-25_20240430092735.pdf</v>
      </c>
      <c r="C110" s="1" t="n">
        <v>4</v>
      </c>
      <c r="D110" s="1" t="n">
        <v>1</v>
      </c>
      <c r="E110" s="1" t="n">
        <v>1</v>
      </c>
      <c r="F110" s="3" t="s">
        <v>20</v>
      </c>
      <c r="G110" s="3" t="s">
        <v>492</v>
      </c>
      <c r="H110" s="1" t="s">
        <v>22</v>
      </c>
      <c r="I110" s="1" t="n">
        <v>20240430092735</v>
      </c>
      <c r="J110" s="3" t="s">
        <v>493</v>
      </c>
      <c r="K110" s="3" t="s">
        <v>494</v>
      </c>
      <c r="L110" s="3" t="s">
        <v>495</v>
      </c>
      <c r="M110" s="3" t="n">
        <v>142891</v>
      </c>
      <c r="N110" s="3" t="s">
        <v>361</v>
      </c>
      <c r="O110" s="1" t="n">
        <v>126505</v>
      </c>
      <c r="P110" s="1" t="n">
        <v>88.53</v>
      </c>
      <c r="Q110" s="1" t="s">
        <v>20</v>
      </c>
      <c r="R110" s="1" t="s">
        <v>27</v>
      </c>
      <c r="S110" s="1" t="s">
        <v>28</v>
      </c>
      <c r="T110" s="1" t="s">
        <v>29</v>
      </c>
    </row>
    <row r="111" customFormat="false" ht="18.7" hidden="false" customHeight="true" outlineLevel="0" collapsed="false">
      <c r="A111" s="1" t="n">
        <v>110</v>
      </c>
      <c r="B111" s="6" t="str">
        <f aca="false">HYPERLINK("https://mncourtfraud.com/file/MCRO_27-CR-18-18391_Notice of Remote Hearing with Instructions_2023-02-08_20240430092724.pdf","MCRO_27-CR-18-18391_Notice of Remote Hearing with Instructions_2023-02-08_20240430092724.pdf")</f>
        <v>MCRO_27-CR-18-18391_Notice of Remote Hearing with Instructions_2023-02-08_20240430092724.pdf</v>
      </c>
      <c r="C111" s="1" t="n">
        <v>5</v>
      </c>
      <c r="D111" s="1" t="n">
        <v>1</v>
      </c>
      <c r="E111" s="1" t="n">
        <v>1</v>
      </c>
      <c r="F111" s="3" t="s">
        <v>20</v>
      </c>
      <c r="G111" s="3" t="s">
        <v>496</v>
      </c>
      <c r="H111" s="1" t="s">
        <v>22</v>
      </c>
      <c r="I111" s="1" t="n">
        <v>20240430092724</v>
      </c>
      <c r="J111" s="3" t="s">
        <v>497</v>
      </c>
      <c r="K111" s="3" t="s">
        <v>498</v>
      </c>
      <c r="L111" s="3" t="s">
        <v>499</v>
      </c>
      <c r="M111" s="3" t="n">
        <v>848941</v>
      </c>
      <c r="N111" s="3" t="s">
        <v>500</v>
      </c>
      <c r="O111" s="1" t="n">
        <v>832555</v>
      </c>
      <c r="P111" s="1" t="n">
        <v>98.07</v>
      </c>
      <c r="Q111" s="1" t="s">
        <v>20</v>
      </c>
      <c r="R111" s="1" t="s">
        <v>27</v>
      </c>
      <c r="S111" s="1" t="s">
        <v>28</v>
      </c>
      <c r="T111" s="1" t="s">
        <v>29</v>
      </c>
    </row>
    <row r="112" customFormat="false" ht="18.7" hidden="false" customHeight="true" outlineLevel="0" collapsed="false">
      <c r="A112" s="1" t="n">
        <v>111</v>
      </c>
      <c r="B112" s="6" t="str">
        <f aca="false">HYPERLINK("https://mncourtfraud.com/file/MCRO_27-CR-18-18391_Notice of Remote Hearing with Instructions_2023-04-05_20240430092722.pdf","MCRO_27-CR-18-18391_Notice of Remote Hearing with Instructions_2023-04-05_20240430092722.pdf")</f>
        <v>MCRO_27-CR-18-18391_Notice of Remote Hearing with Instructions_2023-04-05_20240430092722.pdf</v>
      </c>
      <c r="C112" s="1" t="n">
        <v>5</v>
      </c>
      <c r="D112" s="1" t="n">
        <v>1</v>
      </c>
      <c r="E112" s="1" t="n">
        <v>1</v>
      </c>
      <c r="F112" s="3" t="s">
        <v>20</v>
      </c>
      <c r="G112" s="3" t="s">
        <v>501</v>
      </c>
      <c r="H112" s="1" t="s">
        <v>22</v>
      </c>
      <c r="I112" s="1" t="n">
        <v>20240430092722</v>
      </c>
      <c r="J112" s="3" t="s">
        <v>502</v>
      </c>
      <c r="K112" s="3" t="s">
        <v>503</v>
      </c>
      <c r="L112" s="3" t="s">
        <v>504</v>
      </c>
      <c r="M112" s="3" t="n">
        <v>849819</v>
      </c>
      <c r="N112" s="3" t="s">
        <v>505</v>
      </c>
      <c r="O112" s="1" t="n">
        <v>833433</v>
      </c>
      <c r="P112" s="1" t="n">
        <v>98.07</v>
      </c>
      <c r="Q112" s="1" t="s">
        <v>20</v>
      </c>
      <c r="R112" s="1" t="s">
        <v>27</v>
      </c>
      <c r="S112" s="1" t="s">
        <v>28</v>
      </c>
      <c r="T112" s="1" t="s">
        <v>29</v>
      </c>
    </row>
    <row r="113" customFormat="false" ht="18.7" hidden="false" customHeight="true" outlineLevel="0" collapsed="false">
      <c r="A113" s="1" t="n">
        <v>112</v>
      </c>
      <c r="B113" s="6" t="str">
        <f aca="false">HYPERLINK("https://mncourtfraud.com/file/MCRO_27-CR-18-18391_Notice of Remote Hearing with Instructions_2023-06-12_20240430092719.pdf","MCRO_27-CR-18-18391_Notice of Remote Hearing with Instructions_2023-06-12_20240430092719.pdf")</f>
        <v>MCRO_27-CR-18-18391_Notice of Remote Hearing with Instructions_2023-06-12_20240430092719.pdf</v>
      </c>
      <c r="C113" s="1" t="n">
        <v>5</v>
      </c>
      <c r="D113" s="1" t="n">
        <v>1</v>
      </c>
      <c r="E113" s="1" t="n">
        <v>1</v>
      </c>
      <c r="F113" s="3" t="s">
        <v>20</v>
      </c>
      <c r="G113" s="3" t="s">
        <v>506</v>
      </c>
      <c r="H113" s="1" t="s">
        <v>22</v>
      </c>
      <c r="I113" s="1" t="n">
        <v>20240430092719</v>
      </c>
      <c r="J113" s="3" t="s">
        <v>507</v>
      </c>
      <c r="K113" s="3" t="s">
        <v>508</v>
      </c>
      <c r="L113" s="3" t="s">
        <v>509</v>
      </c>
      <c r="M113" s="3" t="n">
        <v>843736</v>
      </c>
      <c r="N113" s="3" t="s">
        <v>510</v>
      </c>
      <c r="O113" s="1" t="n">
        <v>827350</v>
      </c>
      <c r="P113" s="1" t="n">
        <v>98.06</v>
      </c>
      <c r="Q113" s="1" t="s">
        <v>20</v>
      </c>
      <c r="R113" s="1" t="s">
        <v>27</v>
      </c>
      <c r="S113" s="1" t="s">
        <v>28</v>
      </c>
      <c r="T113" s="1" t="s">
        <v>29</v>
      </c>
    </row>
    <row r="114" customFormat="false" ht="18.7" hidden="false" customHeight="true" outlineLevel="0" collapsed="false">
      <c r="A114" s="1" t="n">
        <v>113</v>
      </c>
      <c r="B114" s="6" t="str">
        <f aca="false">HYPERLINK("https://mncourtfraud.com/file/MCRO_27-CR-18-18391_Notice of Remote Hearing with Instructions_2024-01-02_20240430092717.pdf","MCRO_27-CR-18-18391_Notice of Remote Hearing with Instructions_2024-01-02_20240430092717.pdf")</f>
        <v>MCRO_27-CR-18-18391_Notice of Remote Hearing with Instructions_2024-01-02_20240430092717.pdf</v>
      </c>
      <c r="C114" s="1" t="n">
        <v>4</v>
      </c>
      <c r="D114" s="1" t="n">
        <v>1</v>
      </c>
      <c r="E114" s="1" t="n">
        <v>1</v>
      </c>
      <c r="F114" s="3" t="s">
        <v>20</v>
      </c>
      <c r="G114" s="3" t="s">
        <v>511</v>
      </c>
      <c r="H114" s="1" t="s">
        <v>22</v>
      </c>
      <c r="I114" s="1" t="n">
        <v>20240430092717</v>
      </c>
      <c r="J114" s="3" t="s">
        <v>512</v>
      </c>
      <c r="K114" s="3" t="s">
        <v>513</v>
      </c>
      <c r="L114" s="3" t="s">
        <v>514</v>
      </c>
      <c r="M114" s="3" t="n">
        <v>269832</v>
      </c>
      <c r="N114" s="3" t="s">
        <v>74</v>
      </c>
      <c r="O114" s="1" t="n">
        <v>253446</v>
      </c>
      <c r="P114" s="1" t="n">
        <v>93.93</v>
      </c>
      <c r="Q114" s="1" t="s">
        <v>20</v>
      </c>
      <c r="R114" s="1" t="s">
        <v>27</v>
      </c>
      <c r="S114" s="1" t="s">
        <v>28</v>
      </c>
      <c r="T114" s="1" t="s">
        <v>29</v>
      </c>
    </row>
    <row r="115" customFormat="false" ht="18.7" hidden="false" customHeight="true" outlineLevel="0" collapsed="false">
      <c r="A115" s="1" t="n">
        <v>114</v>
      </c>
      <c r="B115" s="6" t="str">
        <f aca="false">HYPERLINK("https://mncourtfraud.com/file/MCRO_27-CR-18-18391_Notice of Remote Hearing with Instructions_2024-03-12_20240430092714.pdf","MCRO_27-CR-18-18391_Notice of Remote Hearing with Instructions_2024-03-12_20240430092714.pdf")</f>
        <v>MCRO_27-CR-18-18391_Notice of Remote Hearing with Instructions_2024-03-12_20240430092714.pdf</v>
      </c>
      <c r="C115" s="1" t="n">
        <v>4</v>
      </c>
      <c r="D115" s="1" t="n">
        <v>1</v>
      </c>
      <c r="E115" s="1" t="n">
        <v>1</v>
      </c>
      <c r="F115" s="3" t="s">
        <v>20</v>
      </c>
      <c r="G115" s="3" t="s">
        <v>515</v>
      </c>
      <c r="H115" s="1" t="s">
        <v>22</v>
      </c>
      <c r="I115" s="1" t="n">
        <v>20240430092714</v>
      </c>
      <c r="J115" s="3" t="s">
        <v>516</v>
      </c>
      <c r="K115" s="3" t="s">
        <v>517</v>
      </c>
      <c r="L115" s="3" t="s">
        <v>518</v>
      </c>
      <c r="M115" s="3" t="n">
        <v>254782</v>
      </c>
      <c r="N115" s="3" t="s">
        <v>74</v>
      </c>
      <c r="O115" s="1" t="n">
        <v>238396</v>
      </c>
      <c r="P115" s="1" t="n">
        <v>93.57</v>
      </c>
      <c r="Q115" s="1" t="s">
        <v>20</v>
      </c>
      <c r="R115" s="1" t="s">
        <v>27</v>
      </c>
      <c r="S115" s="1" t="s">
        <v>28</v>
      </c>
      <c r="T115" s="1" t="s">
        <v>29</v>
      </c>
    </row>
    <row r="116" customFormat="false" ht="18.7" hidden="false" customHeight="true" outlineLevel="0" collapsed="false">
      <c r="A116" s="1" t="n">
        <v>115</v>
      </c>
      <c r="B116" s="6" t="str">
        <f aca="false">HYPERLINK("https://mncourtfraud.com/file/MCRO_27-CR-18-18391_Notice-Other_2018-11-21_20240430092814.pdf","MCRO_27-CR-18-18391_Notice-Other_2018-11-21_20240430092814.pdf")</f>
        <v>MCRO_27-CR-18-18391_Notice-Other_2018-11-21_20240430092814.pdf</v>
      </c>
      <c r="C116" s="1" t="n">
        <v>4</v>
      </c>
      <c r="D116" s="1" t="n">
        <v>1</v>
      </c>
      <c r="E116" s="1" t="n">
        <v>1</v>
      </c>
      <c r="F116" s="3" t="s">
        <v>20</v>
      </c>
      <c r="G116" s="3" t="s">
        <v>519</v>
      </c>
      <c r="H116" s="1" t="s">
        <v>22</v>
      </c>
      <c r="I116" s="1" t="n">
        <v>20240430092814</v>
      </c>
      <c r="J116" s="3" t="s">
        <v>520</v>
      </c>
      <c r="K116" s="3" t="s">
        <v>521</v>
      </c>
      <c r="L116" s="3" t="s">
        <v>522</v>
      </c>
      <c r="M116" s="3" t="n">
        <v>104608</v>
      </c>
      <c r="N116" s="3" t="s">
        <v>119</v>
      </c>
      <c r="O116" s="1" t="n">
        <v>88222</v>
      </c>
      <c r="P116" s="1" t="n">
        <v>84.34</v>
      </c>
      <c r="Q116" s="1" t="s">
        <v>20</v>
      </c>
      <c r="R116" s="1" t="s">
        <v>27</v>
      </c>
      <c r="S116" s="1" t="s">
        <v>28</v>
      </c>
      <c r="T116" s="1" t="s">
        <v>29</v>
      </c>
    </row>
    <row r="117" customFormat="false" ht="18.7" hidden="false" customHeight="true" outlineLevel="0" collapsed="false">
      <c r="A117" s="1" t="n">
        <v>116</v>
      </c>
      <c r="B117" s="6" t="str">
        <f aca="false">HYPERLINK("https://mncourtfraud.com/file/MCRO_27-CR-18-18391_Notice-Other_2020-01-02_20240430092755.pdf","MCRO_27-CR-18-18391_Notice-Other_2020-01-02_20240430092755.pdf")</f>
        <v>MCRO_27-CR-18-18391_Notice-Other_2020-01-02_20240430092755.pdf</v>
      </c>
      <c r="C117" s="1" t="n">
        <v>4</v>
      </c>
      <c r="D117" s="1" t="n">
        <v>1</v>
      </c>
      <c r="E117" s="1" t="n">
        <v>1</v>
      </c>
      <c r="F117" s="3" t="s">
        <v>20</v>
      </c>
      <c r="G117" s="3" t="s">
        <v>523</v>
      </c>
      <c r="H117" s="1" t="s">
        <v>22</v>
      </c>
      <c r="I117" s="1" t="n">
        <v>20240430092755</v>
      </c>
      <c r="J117" s="3" t="s">
        <v>524</v>
      </c>
      <c r="K117" s="3" t="s">
        <v>525</v>
      </c>
      <c r="L117" s="3" t="s">
        <v>526</v>
      </c>
      <c r="M117" s="3" t="n">
        <v>91148</v>
      </c>
      <c r="N117" s="3" t="s">
        <v>137</v>
      </c>
      <c r="O117" s="1" t="n">
        <v>74762</v>
      </c>
      <c r="P117" s="1" t="n">
        <v>82.02</v>
      </c>
      <c r="Q117" s="1" t="s">
        <v>20</v>
      </c>
      <c r="R117" s="1" t="s">
        <v>27</v>
      </c>
      <c r="S117" s="1" t="s">
        <v>28</v>
      </c>
      <c r="T117" s="1" t="s">
        <v>29</v>
      </c>
    </row>
    <row r="118" customFormat="false" ht="18.7" hidden="false" customHeight="true" outlineLevel="0" collapsed="false">
      <c r="A118" s="1" t="n">
        <v>117</v>
      </c>
      <c r="B118" s="6" t="str">
        <f aca="false">HYPERLINK("https://mncourtfraud.com/file/MCRO_27-CR-18-18391_Order Denying Request for Bond Reinstatement_2019-03-05_20240430092810.pdf","MCRO_27-CR-18-18391_Order Denying Request for Bond Reinstatement_2019-03-05_20240430092810.pdf")</f>
        <v>MCRO_27-CR-18-18391_Order Denying Request for Bond Reinstatement_2019-03-05_20240430092810.pdf</v>
      </c>
      <c r="C118" s="1" t="n">
        <v>4</v>
      </c>
      <c r="D118" s="1" t="n">
        <v>1</v>
      </c>
      <c r="E118" s="1" t="n">
        <v>1</v>
      </c>
      <c r="F118" s="3" t="s">
        <v>20</v>
      </c>
      <c r="G118" s="3" t="s">
        <v>527</v>
      </c>
      <c r="H118" s="1" t="s">
        <v>22</v>
      </c>
      <c r="I118" s="1" t="n">
        <v>20240430092810</v>
      </c>
      <c r="J118" s="3" t="s">
        <v>528</v>
      </c>
      <c r="K118" s="3" t="s">
        <v>529</v>
      </c>
      <c r="L118" s="3" t="s">
        <v>530</v>
      </c>
      <c r="M118" s="3" t="n">
        <v>178536</v>
      </c>
      <c r="N118" s="3" t="s">
        <v>486</v>
      </c>
      <c r="O118" s="1" t="n">
        <v>162150</v>
      </c>
      <c r="P118" s="1" t="n">
        <v>90.82</v>
      </c>
      <c r="Q118" s="1" t="s">
        <v>20</v>
      </c>
      <c r="R118" s="1" t="s">
        <v>27</v>
      </c>
      <c r="S118" s="1" t="s">
        <v>28</v>
      </c>
      <c r="T118" s="1" t="s">
        <v>29</v>
      </c>
    </row>
    <row r="119" customFormat="false" ht="18.7" hidden="false" customHeight="true" outlineLevel="0" collapsed="false">
      <c r="A119" s="1" t="n">
        <v>118</v>
      </c>
      <c r="B119" s="6" t="str">
        <f aca="false">HYPERLINK("https://mncourtfraud.com/file/MCRO_27-CR-18-18391_Order Denying Request for Bond Reinstatement_2019-09-27_20240430092803.pdf","MCRO_27-CR-18-18391_Order Denying Request for Bond Reinstatement_2019-09-27_20240430092803.pdf")</f>
        <v>MCRO_27-CR-18-18391_Order Denying Request for Bond Reinstatement_2019-09-27_20240430092803.pdf</v>
      </c>
      <c r="C119" s="1" t="n">
        <v>4</v>
      </c>
      <c r="D119" s="1" t="n">
        <v>1</v>
      </c>
      <c r="E119" s="1" t="n">
        <v>1</v>
      </c>
      <c r="F119" s="3" t="s">
        <v>20</v>
      </c>
      <c r="G119" s="3" t="s">
        <v>531</v>
      </c>
      <c r="H119" s="1" t="s">
        <v>22</v>
      </c>
      <c r="I119" s="1" t="n">
        <v>20240430092803</v>
      </c>
      <c r="J119" s="3" t="s">
        <v>532</v>
      </c>
      <c r="K119" s="3" t="s">
        <v>533</v>
      </c>
      <c r="L119" s="3" t="s">
        <v>534</v>
      </c>
      <c r="M119" s="3" t="n">
        <v>258715</v>
      </c>
      <c r="N119" s="3" t="s">
        <v>535</v>
      </c>
      <c r="O119" s="1" t="n">
        <v>242329</v>
      </c>
      <c r="P119" s="1" t="n">
        <v>93.67</v>
      </c>
      <c r="Q119" s="1" t="s">
        <v>20</v>
      </c>
      <c r="R119" s="1" t="s">
        <v>27</v>
      </c>
      <c r="S119" s="1" t="s">
        <v>28</v>
      </c>
      <c r="T119" s="1" t="s">
        <v>29</v>
      </c>
    </row>
    <row r="120" customFormat="false" ht="18.7" hidden="false" customHeight="true" outlineLevel="0" collapsed="false">
      <c r="A120" s="1" t="n">
        <v>119</v>
      </c>
      <c r="B120" s="6" t="str">
        <f aca="false">HYPERLINK("https://mncourtfraud.com/file/MCRO_27-CR-18-18391_Order-Evaluation for Competency to Proceed (Rule 20.01)_2019-01-28_20240430092815.pdf","MCRO_27-CR-18-18391_Order-Evaluation for Competency to Proceed (Rule 20.01)_2019-01-28_20240430092815.pdf")</f>
        <v>MCRO_27-CR-18-18391_Order-Evaluation for Competency to Proceed (Rule 20.01)_2019-01-28_20240430092815.pdf</v>
      </c>
      <c r="C120" s="1" t="n">
        <v>3</v>
      </c>
      <c r="D120" s="1" t="n">
        <v>1</v>
      </c>
      <c r="E120" s="1" t="n">
        <v>1</v>
      </c>
      <c r="F120" s="3" t="s">
        <v>20</v>
      </c>
      <c r="G120" s="3" t="s">
        <v>536</v>
      </c>
      <c r="H120" s="1" t="s">
        <v>22</v>
      </c>
      <c r="I120" s="1" t="n">
        <v>20240430092815</v>
      </c>
      <c r="J120" s="3" t="s">
        <v>537</v>
      </c>
      <c r="K120" s="3" t="s">
        <v>538</v>
      </c>
      <c r="L120" s="3" t="s">
        <v>539</v>
      </c>
      <c r="M120" s="3" t="n">
        <v>294337</v>
      </c>
      <c r="N120" s="3" t="s">
        <v>540</v>
      </c>
      <c r="O120" s="1" t="n">
        <v>277951</v>
      </c>
      <c r="P120" s="1" t="n">
        <v>94.43</v>
      </c>
      <c r="Q120" s="1" t="s">
        <v>20</v>
      </c>
      <c r="R120" s="1" t="s">
        <v>27</v>
      </c>
      <c r="S120" s="1" t="s">
        <v>28</v>
      </c>
      <c r="T120" s="1" t="s">
        <v>29</v>
      </c>
    </row>
    <row r="121" customFormat="false" ht="18.7" hidden="false" customHeight="true" outlineLevel="0" collapsed="false">
      <c r="A121" s="1" t="n">
        <v>120</v>
      </c>
      <c r="B121" s="6" t="str">
        <f aca="false">HYPERLINK("https://mncourtfraud.com/file/MCRO_27-CR-18-18391_Order-Evaluation for Competency to Proceed (Rule 20.01)_2019-02-05_20240430092812.pdf","MCRO_27-CR-18-18391_Order-Evaluation for Competency to Proceed (Rule 20.01)_2019-02-05_20240430092812.pdf")</f>
        <v>MCRO_27-CR-18-18391_Order-Evaluation for Competency to Proceed (Rule 20.01)_2019-02-05_20240430092812.pdf</v>
      </c>
      <c r="C121" s="1" t="n">
        <v>4</v>
      </c>
      <c r="D121" s="1" t="n">
        <v>1</v>
      </c>
      <c r="E121" s="1" t="n">
        <v>1</v>
      </c>
      <c r="F121" s="3" t="s">
        <v>20</v>
      </c>
      <c r="G121" s="3" t="s">
        <v>541</v>
      </c>
      <c r="H121" s="1" t="s">
        <v>22</v>
      </c>
      <c r="I121" s="1" t="n">
        <v>20240430092812</v>
      </c>
      <c r="J121" s="3" t="s">
        <v>542</v>
      </c>
      <c r="K121" s="3" t="s">
        <v>543</v>
      </c>
      <c r="L121" s="3" t="s">
        <v>544</v>
      </c>
      <c r="M121" s="3" t="n">
        <v>162706</v>
      </c>
      <c r="N121" s="3" t="s">
        <v>486</v>
      </c>
      <c r="O121" s="1" t="n">
        <v>146320</v>
      </c>
      <c r="P121" s="1" t="n">
        <v>89.93</v>
      </c>
      <c r="Q121" s="1" t="s">
        <v>20</v>
      </c>
      <c r="R121" s="1" t="s">
        <v>27</v>
      </c>
      <c r="S121" s="1" t="s">
        <v>28</v>
      </c>
      <c r="T121" s="1" t="s">
        <v>29</v>
      </c>
    </row>
    <row r="122" customFormat="false" ht="18.7" hidden="false" customHeight="true" outlineLevel="0" collapsed="false">
      <c r="A122" s="1" t="n">
        <v>121</v>
      </c>
      <c r="B122" s="6" t="str">
        <f aca="false">HYPERLINK("https://mncourtfraud.com/file/MCRO_27-CR-18-18391_Order-Evaluation for Competency to Proceed (Rule 20.01)_2020-11-13_20240430092743.pdf","MCRO_27-CR-18-18391_Order-Evaluation for Competency to Proceed (Rule 20.01)_2020-11-13_20240430092743.pdf")</f>
        <v>MCRO_27-CR-18-18391_Order-Evaluation for Competency to Proceed (Rule 20.01)_2020-11-13_20240430092743.pdf</v>
      </c>
      <c r="C122" s="1" t="n">
        <v>3</v>
      </c>
      <c r="D122" s="1" t="n">
        <v>1</v>
      </c>
      <c r="E122" s="1" t="n">
        <v>1</v>
      </c>
      <c r="F122" s="3" t="s">
        <v>20</v>
      </c>
      <c r="G122" s="3" t="s">
        <v>545</v>
      </c>
      <c r="H122" s="1" t="s">
        <v>22</v>
      </c>
      <c r="I122" s="1" t="n">
        <v>20240430092743</v>
      </c>
      <c r="J122" s="3" t="s">
        <v>546</v>
      </c>
      <c r="K122" s="3" t="s">
        <v>547</v>
      </c>
      <c r="L122" s="3" t="s">
        <v>548</v>
      </c>
      <c r="M122" s="3" t="n">
        <v>455247</v>
      </c>
      <c r="N122" s="3" t="s">
        <v>549</v>
      </c>
      <c r="O122" s="1" t="n">
        <v>438861</v>
      </c>
      <c r="P122" s="1" t="n">
        <v>96.4</v>
      </c>
      <c r="Q122" s="1" t="s">
        <v>20</v>
      </c>
      <c r="R122" s="1" t="s">
        <v>27</v>
      </c>
      <c r="S122" s="1" t="s">
        <v>28</v>
      </c>
      <c r="T122" s="1" t="s">
        <v>29</v>
      </c>
    </row>
    <row r="123" customFormat="false" ht="18.7" hidden="false" customHeight="true" outlineLevel="0" collapsed="false">
      <c r="A123" s="1" t="n">
        <v>122</v>
      </c>
      <c r="B123" s="6" t="str">
        <f aca="false">HYPERLINK("https://mncourtfraud.com/file/MCRO_27-CR-18-18391_Order-Evaluation for Competency to Proceed (Rule 20.01)_2021-04-29_20240430092738.pdf","MCRO_27-CR-18-18391_Order-Evaluation for Competency to Proceed (Rule 20.01)_2021-04-29_20240430092738.pdf")</f>
        <v>MCRO_27-CR-18-18391_Order-Evaluation for Competency to Proceed (Rule 20.01)_2021-04-29_20240430092738.pdf</v>
      </c>
      <c r="C123" s="1" t="n">
        <v>3</v>
      </c>
      <c r="D123" s="1" t="n">
        <v>1</v>
      </c>
      <c r="E123" s="1" t="n">
        <v>1</v>
      </c>
      <c r="F123" s="3" t="s">
        <v>20</v>
      </c>
      <c r="G123" s="3" t="s">
        <v>550</v>
      </c>
      <c r="H123" s="1" t="s">
        <v>22</v>
      </c>
      <c r="I123" s="1" t="n">
        <v>20240430092738</v>
      </c>
      <c r="J123" s="3" t="s">
        <v>551</v>
      </c>
      <c r="K123" s="3" t="s">
        <v>552</v>
      </c>
      <c r="L123" s="3" t="s">
        <v>553</v>
      </c>
      <c r="M123" s="3" t="n">
        <v>454702</v>
      </c>
      <c r="N123" s="3" t="s">
        <v>554</v>
      </c>
      <c r="O123" s="1" t="n">
        <v>438316</v>
      </c>
      <c r="P123" s="1" t="n">
        <v>96.4</v>
      </c>
      <c r="Q123" s="1" t="s">
        <v>20</v>
      </c>
      <c r="R123" s="1" t="s">
        <v>27</v>
      </c>
      <c r="S123" s="1" t="s">
        <v>28</v>
      </c>
      <c r="T123" s="1" t="s">
        <v>29</v>
      </c>
    </row>
    <row r="124" customFormat="false" ht="18.7" hidden="false" customHeight="true" outlineLevel="0" collapsed="false">
      <c r="A124" s="1" t="n">
        <v>123</v>
      </c>
      <c r="B124" s="6" t="str">
        <f aca="false">HYPERLINK("https://mncourtfraud.com/file/MCRO_27-CR-18-18391_Order-Evaluation for Competency to Proceed (Rule 20.01)_2023-04-04_20240430092723.pdf","MCRO_27-CR-18-18391_Order-Evaluation for Competency to Proceed (Rule 20.01)_2023-04-04_20240430092723.pdf")</f>
        <v>MCRO_27-CR-18-18391_Order-Evaluation for Competency to Proceed (Rule 20.01)_2023-04-04_20240430092723.pdf</v>
      </c>
      <c r="C124" s="1" t="n">
        <v>6</v>
      </c>
      <c r="D124" s="1" t="n">
        <v>2</v>
      </c>
      <c r="E124" s="1" t="n">
        <v>2</v>
      </c>
      <c r="F124" s="3" t="s">
        <v>27</v>
      </c>
      <c r="G124" s="3" t="s">
        <v>555</v>
      </c>
      <c r="H124" s="1" t="s">
        <v>22</v>
      </c>
      <c r="I124" s="1" t="n">
        <v>20240430092723</v>
      </c>
      <c r="J124" s="3" t="s">
        <v>556</v>
      </c>
      <c r="K124" s="3" t="s">
        <v>557</v>
      </c>
      <c r="L124" s="3" t="s">
        <v>558</v>
      </c>
      <c r="M124" s="3" t="n">
        <v>887460</v>
      </c>
      <c r="N124" s="3" t="s">
        <v>559</v>
      </c>
      <c r="O124" s="1" t="n">
        <v>871074</v>
      </c>
      <c r="P124" s="1" t="n">
        <v>98.15</v>
      </c>
      <c r="Q124" s="1" t="s">
        <v>20</v>
      </c>
      <c r="R124" s="1" t="s">
        <v>27</v>
      </c>
      <c r="S124" s="1" t="s">
        <v>28</v>
      </c>
      <c r="T124" s="1" t="s">
        <v>29</v>
      </c>
    </row>
    <row r="125" customFormat="false" ht="18.7" hidden="false" customHeight="true" outlineLevel="0" collapsed="false">
      <c r="A125" s="1" t="n">
        <v>124</v>
      </c>
      <c r="B125" s="6" t="str">
        <f aca="false">HYPERLINK("https://mncourtfraud.com/file/MCRO_27-CR-18-18391_Order-Evaluation for Competency to Proceed (Rule 20.01)_2023-09-28_20240430092718.pdf","MCRO_27-CR-18-18391_Order-Evaluation for Competency to Proceed (Rule 20.01)_2023-09-28_20240430092718.pdf")</f>
        <v>MCRO_27-CR-18-18391_Order-Evaluation for Competency to Proceed (Rule 20.01)_2023-09-28_20240430092718.pdf</v>
      </c>
      <c r="C125" s="1" t="n">
        <v>6</v>
      </c>
      <c r="D125" s="1" t="n">
        <v>2</v>
      </c>
      <c r="E125" s="1" t="n">
        <v>2</v>
      </c>
      <c r="F125" s="3" t="s">
        <v>27</v>
      </c>
      <c r="G125" s="3" t="s">
        <v>560</v>
      </c>
      <c r="H125" s="1" t="s">
        <v>22</v>
      </c>
      <c r="I125" s="1" t="n">
        <v>20240430092718</v>
      </c>
      <c r="J125" s="3" t="s">
        <v>561</v>
      </c>
      <c r="K125" s="3" t="s">
        <v>562</v>
      </c>
      <c r="L125" s="3" t="s">
        <v>563</v>
      </c>
      <c r="M125" s="3" t="n">
        <v>867382</v>
      </c>
      <c r="N125" s="3" t="s">
        <v>564</v>
      </c>
      <c r="O125" s="1" t="n">
        <v>850996</v>
      </c>
      <c r="P125" s="1" t="n">
        <v>98.11</v>
      </c>
      <c r="Q125" s="1" t="s">
        <v>20</v>
      </c>
      <c r="R125" s="1" t="s">
        <v>27</v>
      </c>
      <c r="S125" s="1" t="s">
        <v>28</v>
      </c>
      <c r="T125" s="1" t="s">
        <v>29</v>
      </c>
    </row>
    <row r="126" customFormat="false" ht="18.7" hidden="false" customHeight="true" outlineLevel="0" collapsed="false">
      <c r="A126" s="1" t="n">
        <v>125</v>
      </c>
      <c r="B126" s="6" t="str">
        <f aca="false">HYPERLINK("https://mncourtfraud.com/file/MCRO_27-CR-18-18391_Order for Conditional Release_2018-11-19_20240430092821.pdf","MCRO_27-CR-18-18391_Order for Conditional Release_2018-11-19_20240430092821.pdf")</f>
        <v>MCRO_27-CR-18-18391_Order for Conditional Release_2018-11-19_20240430092821.pdf</v>
      </c>
      <c r="C126" s="1" t="n">
        <v>4</v>
      </c>
      <c r="D126" s="1" t="n">
        <v>1</v>
      </c>
      <c r="E126" s="1" t="n">
        <v>1</v>
      </c>
      <c r="F126" s="3" t="s">
        <v>20</v>
      </c>
      <c r="G126" s="3" t="s">
        <v>565</v>
      </c>
      <c r="H126" s="1" t="s">
        <v>22</v>
      </c>
      <c r="I126" s="1" t="n">
        <v>20240430092821</v>
      </c>
      <c r="J126" s="3" t="s">
        <v>566</v>
      </c>
      <c r="K126" s="3" t="s">
        <v>567</v>
      </c>
      <c r="L126" s="3" t="s">
        <v>568</v>
      </c>
      <c r="M126" s="3" t="n">
        <v>152236</v>
      </c>
      <c r="N126" s="3" t="s">
        <v>119</v>
      </c>
      <c r="O126" s="1" t="n">
        <v>135850</v>
      </c>
      <c r="P126" s="1" t="n">
        <v>89.24</v>
      </c>
      <c r="Q126" s="1" t="s">
        <v>20</v>
      </c>
      <c r="R126" s="1" t="s">
        <v>27</v>
      </c>
      <c r="S126" s="1" t="s">
        <v>28</v>
      </c>
      <c r="T126" s="1" t="s">
        <v>29</v>
      </c>
    </row>
    <row r="127" customFormat="false" ht="18.7" hidden="false" customHeight="true" outlineLevel="0" collapsed="false">
      <c r="A127" s="1" t="n">
        <v>126</v>
      </c>
      <c r="B127" s="6" t="str">
        <f aca="false">HYPERLINK("https://mncourtfraud.com/file/MCRO_27-CR-18-18391_Order Forfeiting Cash Bond or Surety Bond_2018-09-19_20240430092823.pdf","MCRO_27-CR-18-18391_Order Forfeiting Cash Bond or Surety Bond_2018-09-19_20240430092823.pdf")</f>
        <v>MCRO_27-CR-18-18391_Order Forfeiting Cash Bond or Surety Bond_2018-09-19_20240430092823.pdf</v>
      </c>
      <c r="C127" s="1" t="n">
        <v>4</v>
      </c>
      <c r="D127" s="1" t="n">
        <v>1</v>
      </c>
      <c r="E127" s="1" t="n">
        <v>1</v>
      </c>
      <c r="F127" s="3" t="s">
        <v>20</v>
      </c>
      <c r="G127" s="3" t="s">
        <v>569</v>
      </c>
      <c r="H127" s="1" t="s">
        <v>22</v>
      </c>
      <c r="I127" s="1" t="n">
        <v>20240430092823</v>
      </c>
      <c r="J127" s="3" t="s">
        <v>570</v>
      </c>
      <c r="K127" s="3" t="s">
        <v>571</v>
      </c>
      <c r="L127" s="3" t="s">
        <v>572</v>
      </c>
      <c r="M127" s="3" t="n">
        <v>107428</v>
      </c>
      <c r="N127" s="3" t="s">
        <v>119</v>
      </c>
      <c r="O127" s="1" t="n">
        <v>91042</v>
      </c>
      <c r="P127" s="1" t="n">
        <v>84.75</v>
      </c>
      <c r="Q127" s="1" t="s">
        <v>20</v>
      </c>
      <c r="R127" s="1" t="s">
        <v>27</v>
      </c>
      <c r="S127" s="1" t="s">
        <v>28</v>
      </c>
      <c r="T127" s="1" t="s">
        <v>29</v>
      </c>
    </row>
    <row r="128" customFormat="false" ht="18.7" hidden="false" customHeight="true" outlineLevel="0" collapsed="false">
      <c r="A128" s="1" t="n">
        <v>127</v>
      </c>
      <c r="B128" s="6" t="str">
        <f aca="false">HYPERLINK("https://mncourtfraud.com/file/MCRO_27-CR-18-18391_Order for Production of Medical Records_2020-06-04_20240430092748.pdf","MCRO_27-CR-18-18391_Order for Production of Medical Records_2020-06-04_20240430092748.pdf")</f>
        <v>MCRO_27-CR-18-18391_Order for Production of Medical Records_2020-06-04_20240430092748.pdf</v>
      </c>
      <c r="C128" s="1" t="n">
        <v>3</v>
      </c>
      <c r="D128" s="1" t="n">
        <v>1</v>
      </c>
      <c r="E128" s="1" t="n">
        <v>1</v>
      </c>
      <c r="F128" s="3" t="s">
        <v>20</v>
      </c>
      <c r="G128" s="3" t="s">
        <v>573</v>
      </c>
      <c r="H128" s="1" t="s">
        <v>22</v>
      </c>
      <c r="I128" s="1" t="n">
        <v>20240430092748</v>
      </c>
      <c r="J128" s="3" t="s">
        <v>574</v>
      </c>
      <c r="K128" s="3" t="s">
        <v>575</v>
      </c>
      <c r="L128" s="3" t="s">
        <v>576</v>
      </c>
      <c r="M128" s="3" t="n">
        <v>257677</v>
      </c>
      <c r="N128" s="3" t="s">
        <v>577</v>
      </c>
      <c r="O128" s="1" t="n">
        <v>241291</v>
      </c>
      <c r="P128" s="1" t="n">
        <v>93.64</v>
      </c>
      <c r="Q128" s="1" t="s">
        <v>20</v>
      </c>
      <c r="R128" s="1" t="s">
        <v>27</v>
      </c>
      <c r="S128" s="1" t="s">
        <v>28</v>
      </c>
      <c r="T128" s="1" t="s">
        <v>29</v>
      </c>
    </row>
    <row r="129" customFormat="false" ht="18.7" hidden="false" customHeight="true" outlineLevel="0" collapsed="false">
      <c r="A129" s="1" t="n">
        <v>128</v>
      </c>
      <c r="B129" s="6" t="str">
        <f aca="false">HYPERLINK("https://mncourtfraud.com/file/MCRO_27-CR-18-18391_Order Granting Motion_2020-01-22_20240430092754.pdf","MCRO_27-CR-18-18391_Order Granting Motion_2020-01-22_20240430092754.pdf")</f>
        <v>MCRO_27-CR-18-18391_Order Granting Motion_2020-01-22_20240430092754.pdf</v>
      </c>
      <c r="C129" s="1" t="n">
        <v>4</v>
      </c>
      <c r="D129" s="1" t="n">
        <v>1</v>
      </c>
      <c r="E129" s="1" t="n">
        <v>1</v>
      </c>
      <c r="F129" s="3" t="s">
        <v>20</v>
      </c>
      <c r="G129" s="3" t="s">
        <v>578</v>
      </c>
      <c r="H129" s="1" t="s">
        <v>22</v>
      </c>
      <c r="I129" s="1" t="n">
        <v>20240430092754</v>
      </c>
      <c r="J129" s="3" t="s">
        <v>579</v>
      </c>
      <c r="K129" s="3" t="s">
        <v>580</v>
      </c>
      <c r="L129" s="3" t="s">
        <v>581</v>
      </c>
      <c r="M129" s="3" t="n">
        <v>85253</v>
      </c>
      <c r="N129" s="3" t="s">
        <v>137</v>
      </c>
      <c r="O129" s="1" t="n">
        <v>68867</v>
      </c>
      <c r="P129" s="1" t="n">
        <v>80.78</v>
      </c>
      <c r="Q129" s="1" t="s">
        <v>20</v>
      </c>
      <c r="R129" s="1" t="s">
        <v>27</v>
      </c>
      <c r="S129" s="1" t="s">
        <v>28</v>
      </c>
      <c r="T129" s="1" t="s">
        <v>29</v>
      </c>
    </row>
    <row r="130" customFormat="false" ht="18.7" hidden="false" customHeight="true" outlineLevel="0" collapsed="false">
      <c r="A130" s="1" t="n">
        <v>129</v>
      </c>
      <c r="B130" s="6" t="str">
        <f aca="false">HYPERLINK("https://mncourtfraud.com/file/MCRO_27-CR-18-18391_Order-Other_2019-10-09_20240430092800.pdf","MCRO_27-CR-18-18391_Order-Other_2019-10-09_20240430092800.pdf")</f>
        <v>MCRO_27-CR-18-18391_Order-Other_2019-10-09_20240430092800.pdf</v>
      </c>
      <c r="C130" s="1" t="n">
        <v>5</v>
      </c>
      <c r="D130" s="1" t="n">
        <v>7</v>
      </c>
      <c r="E130" s="1" t="n">
        <v>7</v>
      </c>
      <c r="F130" s="3" t="s">
        <v>20</v>
      </c>
      <c r="G130" s="3" t="s">
        <v>582</v>
      </c>
      <c r="H130" s="1" t="s">
        <v>22</v>
      </c>
      <c r="I130" s="1" t="n">
        <v>20240430092800</v>
      </c>
      <c r="J130" s="3" t="s">
        <v>354</v>
      </c>
      <c r="K130" s="3" t="s">
        <v>355</v>
      </c>
      <c r="L130" s="3" t="s">
        <v>583</v>
      </c>
      <c r="M130" s="3" t="n">
        <v>342316</v>
      </c>
      <c r="N130" s="3" t="s">
        <v>476</v>
      </c>
      <c r="O130" s="1" t="n">
        <v>325930</v>
      </c>
      <c r="P130" s="1" t="n">
        <v>95.21</v>
      </c>
      <c r="Q130" s="1" t="s">
        <v>20</v>
      </c>
      <c r="R130" s="1" t="s">
        <v>27</v>
      </c>
      <c r="S130" s="1" t="s">
        <v>28</v>
      </c>
      <c r="T130" s="1" t="s">
        <v>29</v>
      </c>
    </row>
    <row r="131" customFormat="false" ht="18.7" hidden="false" customHeight="true" outlineLevel="0" collapsed="false">
      <c r="A131" s="1" t="n">
        <v>130</v>
      </c>
      <c r="B131" s="6" t="str">
        <f aca="false">HYPERLINK("https://mncourtfraud.com/file/MCRO_27-CR-18-18391_Order-Other_2023-06-08_20240430092720.pdf","MCRO_27-CR-18-18391_Order-Other_2023-06-08_20240430092720.pdf")</f>
        <v>MCRO_27-CR-18-18391_Order-Other_2023-06-08_20240430092720.pdf</v>
      </c>
      <c r="C131" s="1" t="n">
        <v>7</v>
      </c>
      <c r="D131" s="1" t="n">
        <v>2</v>
      </c>
      <c r="E131" s="1" t="n">
        <v>2</v>
      </c>
      <c r="F131" s="3" t="s">
        <v>27</v>
      </c>
      <c r="G131" s="3" t="s">
        <v>584</v>
      </c>
      <c r="H131" s="1" t="s">
        <v>22</v>
      </c>
      <c r="I131" s="1" t="n">
        <v>20240430092720</v>
      </c>
      <c r="J131" s="3" t="s">
        <v>585</v>
      </c>
      <c r="K131" s="3" t="s">
        <v>586</v>
      </c>
      <c r="L131" s="3" t="s">
        <v>587</v>
      </c>
      <c r="M131" s="3" t="n">
        <v>977594</v>
      </c>
      <c r="N131" s="3" t="s">
        <v>588</v>
      </c>
      <c r="O131" s="1" t="n">
        <v>961208</v>
      </c>
      <c r="P131" s="1" t="n">
        <v>98.32</v>
      </c>
      <c r="Q131" s="1" t="s">
        <v>20</v>
      </c>
      <c r="R131" s="1" t="s">
        <v>27</v>
      </c>
      <c r="S131" s="1" t="s">
        <v>28</v>
      </c>
      <c r="T131" s="1" t="s">
        <v>29</v>
      </c>
    </row>
    <row r="132" customFormat="false" ht="18.7" hidden="false" customHeight="true" outlineLevel="0" collapsed="false">
      <c r="A132" s="1" t="n">
        <v>131</v>
      </c>
      <c r="B132" s="6" t="str">
        <f aca="false">HYPERLINK("https://mncourtfraud.com/file/MCRO_27-CR-18-18391_Order Regarding Access to Confidential or Sealed Record_2022-09-28_20240430092725.pdf","MCRO_27-CR-18-18391_Order Regarding Access to Confidential or Sealed Record_2022-09-28_20240430092725.pdf")</f>
        <v>MCRO_27-CR-18-18391_Order Regarding Access to Confidential or Sealed Record_2022-09-28_20240430092725.pdf</v>
      </c>
      <c r="C132" s="1" t="n">
        <v>3</v>
      </c>
      <c r="D132" s="1" t="n">
        <v>1</v>
      </c>
      <c r="E132" s="1" t="n">
        <v>1</v>
      </c>
      <c r="F132" s="3" t="s">
        <v>20</v>
      </c>
      <c r="G132" s="3" t="s">
        <v>589</v>
      </c>
      <c r="H132" s="1" t="s">
        <v>22</v>
      </c>
      <c r="I132" s="1" t="n">
        <v>20240430092725</v>
      </c>
      <c r="J132" s="3" t="s">
        <v>590</v>
      </c>
      <c r="K132" s="3" t="s">
        <v>591</v>
      </c>
      <c r="L132" s="3" t="s">
        <v>592</v>
      </c>
      <c r="M132" s="3" t="n">
        <v>143431</v>
      </c>
      <c r="N132" s="3" t="s">
        <v>593</v>
      </c>
      <c r="O132" s="1" t="n">
        <v>127045</v>
      </c>
      <c r="P132" s="1" t="n">
        <v>88.58</v>
      </c>
      <c r="Q132" s="1" t="s">
        <v>20</v>
      </c>
      <c r="R132" s="1" t="s">
        <v>27</v>
      </c>
      <c r="S132" s="1" t="s">
        <v>28</v>
      </c>
      <c r="T132" s="1" t="s">
        <v>29</v>
      </c>
    </row>
    <row r="133" customFormat="false" ht="18.7" hidden="false" customHeight="true" outlineLevel="0" collapsed="false">
      <c r="A133" s="1" t="n">
        <v>132</v>
      </c>
      <c r="B133" s="6" t="str">
        <f aca="false">HYPERLINK("https://mncourtfraud.com/file/MCRO_27-CR-18-18391_Order to Transport_2019-08-19_20240430092805.pdf","MCRO_27-CR-18-18391_Order to Transport_2019-08-19_20240430092805.pdf")</f>
        <v>MCRO_27-CR-18-18391_Order to Transport_2019-08-19_20240430092805.pdf</v>
      </c>
      <c r="C133" s="1" t="n">
        <v>4</v>
      </c>
      <c r="D133" s="1" t="n">
        <v>1</v>
      </c>
      <c r="E133" s="1" t="n">
        <v>1</v>
      </c>
      <c r="F133" s="3" t="s">
        <v>20</v>
      </c>
      <c r="G133" s="3" t="s">
        <v>594</v>
      </c>
      <c r="H133" s="1" t="s">
        <v>22</v>
      </c>
      <c r="I133" s="1" t="n">
        <v>20240430092805</v>
      </c>
      <c r="J133" s="3" t="s">
        <v>595</v>
      </c>
      <c r="K133" s="3" t="s">
        <v>596</v>
      </c>
      <c r="L133" s="3" t="s">
        <v>597</v>
      </c>
      <c r="M133" s="3" t="n">
        <v>89441</v>
      </c>
      <c r="N133" s="3" t="s">
        <v>137</v>
      </c>
      <c r="O133" s="1" t="n">
        <v>73055</v>
      </c>
      <c r="P133" s="1" t="n">
        <v>81.68</v>
      </c>
      <c r="Q133" s="1" t="s">
        <v>20</v>
      </c>
      <c r="R133" s="1" t="s">
        <v>27</v>
      </c>
      <c r="S133" s="1" t="s">
        <v>28</v>
      </c>
      <c r="T133" s="1" t="s">
        <v>29</v>
      </c>
    </row>
    <row r="134" customFormat="false" ht="18.7" hidden="false" customHeight="true" outlineLevel="0" collapsed="false">
      <c r="A134" s="1" t="n">
        <v>133</v>
      </c>
      <c r="B134" s="6" t="str">
        <f aca="false">HYPERLINK("https://mncourtfraud.com/file/MCRO_27-CR-18-18391_Order to Transport_2024-02-02_20240430092716.pdf","MCRO_27-CR-18-18391_Order to Transport_2024-02-02_20240430092716.pdf")</f>
        <v>MCRO_27-CR-18-18391_Order to Transport_2024-02-02_20240430092716.pdf</v>
      </c>
      <c r="C134" s="1" t="n">
        <v>5</v>
      </c>
      <c r="D134" s="1" t="n">
        <v>3</v>
      </c>
      <c r="E134" s="1" t="n">
        <v>3</v>
      </c>
      <c r="F134" s="3" t="s">
        <v>20</v>
      </c>
      <c r="G134" s="3" t="s">
        <v>598</v>
      </c>
      <c r="H134" s="1" t="s">
        <v>22</v>
      </c>
      <c r="I134" s="1" t="n">
        <v>20240430092716</v>
      </c>
      <c r="J134" s="3" t="s">
        <v>599</v>
      </c>
      <c r="K134" s="3" t="s">
        <v>600</v>
      </c>
      <c r="L134" s="3" t="s">
        <v>601</v>
      </c>
      <c r="M134" s="3" t="n">
        <v>217369</v>
      </c>
      <c r="N134" s="3" t="s">
        <v>602</v>
      </c>
      <c r="O134" s="1" t="n">
        <v>200983</v>
      </c>
      <c r="P134" s="1" t="n">
        <v>92.46</v>
      </c>
      <c r="Q134" s="1" t="s">
        <v>20</v>
      </c>
      <c r="R134" s="1" t="s">
        <v>27</v>
      </c>
      <c r="S134" s="1" t="s">
        <v>28</v>
      </c>
      <c r="T134" s="1" t="s">
        <v>29</v>
      </c>
    </row>
    <row r="135" customFormat="false" ht="18.7" hidden="false" customHeight="true" outlineLevel="0" collapsed="false">
      <c r="A135" s="1" t="n">
        <v>134</v>
      </c>
      <c r="B135" s="6" t="str">
        <f aca="false">HYPERLINK("https://mncourtfraud.com/file/MCRO_27-CR-18-18391_Other Document_2019-07-02_20240430092806.pdf","MCRO_27-CR-18-18391_Other Document_2019-07-02_20240430092806.pdf")</f>
        <v>MCRO_27-CR-18-18391_Other Document_2019-07-02_20240430092806.pdf</v>
      </c>
      <c r="C135" s="1" t="n">
        <v>4</v>
      </c>
      <c r="D135" s="1" t="n">
        <v>1</v>
      </c>
      <c r="E135" s="1" t="n">
        <v>1</v>
      </c>
      <c r="F135" s="3" t="s">
        <v>20</v>
      </c>
      <c r="G135" s="3" t="s">
        <v>603</v>
      </c>
      <c r="H135" s="1" t="s">
        <v>22</v>
      </c>
      <c r="I135" s="1" t="n">
        <v>20240430092806</v>
      </c>
      <c r="J135" s="3" t="s">
        <v>604</v>
      </c>
      <c r="K135" s="3" t="s">
        <v>605</v>
      </c>
      <c r="L135" s="3" t="s">
        <v>606</v>
      </c>
      <c r="M135" s="3" t="n">
        <v>614822</v>
      </c>
      <c r="N135" s="3" t="s">
        <v>607</v>
      </c>
      <c r="O135" s="1" t="n">
        <v>598436</v>
      </c>
      <c r="P135" s="1" t="n">
        <v>97.33</v>
      </c>
      <c r="Q135" s="1" t="s">
        <v>20</v>
      </c>
      <c r="R135" s="1" t="s">
        <v>27</v>
      </c>
      <c r="S135" s="1" t="s">
        <v>28</v>
      </c>
      <c r="T135" s="1" t="s">
        <v>29</v>
      </c>
    </row>
    <row r="136" customFormat="false" ht="18.7" hidden="false" customHeight="true" outlineLevel="0" collapsed="false">
      <c r="A136" s="1" t="n">
        <v>135</v>
      </c>
      <c r="B136" s="6" t="str">
        <f aca="false">HYPERLINK("https://mncourtfraud.com/file/MCRO_27-CR-18-18391_Petition to Reinstate Cash or Surety Bond Forfeiture_2018-11-21_20240430092820.pdf","MCRO_27-CR-18-18391_Petition to Reinstate Cash or Surety Bond Forfeiture_2018-11-21_20240430092820.pdf")</f>
        <v>MCRO_27-CR-18-18391_Petition to Reinstate Cash or Surety Bond Forfeiture_2018-11-21_20240430092820.pdf</v>
      </c>
      <c r="C136" s="1" t="n">
        <v>4</v>
      </c>
      <c r="D136" s="1" t="n">
        <v>1</v>
      </c>
      <c r="E136" s="1" t="n">
        <v>1</v>
      </c>
      <c r="F136" s="3" t="s">
        <v>20</v>
      </c>
      <c r="G136" s="3" t="s">
        <v>608</v>
      </c>
      <c r="H136" s="1" t="s">
        <v>22</v>
      </c>
      <c r="I136" s="1" t="n">
        <v>20240430092820</v>
      </c>
      <c r="J136" s="3" t="s">
        <v>609</v>
      </c>
      <c r="K136" s="3" t="s">
        <v>610</v>
      </c>
      <c r="L136" s="3" t="s">
        <v>611</v>
      </c>
      <c r="M136" s="3" t="n">
        <v>93938</v>
      </c>
      <c r="N136" s="3" t="s">
        <v>158</v>
      </c>
      <c r="O136" s="1" t="n">
        <v>77552</v>
      </c>
      <c r="P136" s="1" t="n">
        <v>82.56</v>
      </c>
      <c r="Q136" s="1" t="s">
        <v>20</v>
      </c>
      <c r="R136" s="1" t="s">
        <v>27</v>
      </c>
      <c r="S136" s="1" t="s">
        <v>28</v>
      </c>
      <c r="T136" s="1" t="s">
        <v>29</v>
      </c>
    </row>
    <row r="137" customFormat="false" ht="18.7" hidden="false" customHeight="true" outlineLevel="0" collapsed="false">
      <c r="A137" s="1" t="n">
        <v>136</v>
      </c>
      <c r="B137" s="6" t="str">
        <f aca="false">HYPERLINK("https://mncourtfraud.com/file/MCRO_27-CR-18-18391_Proposed Order or Document_2018-11-21_20240430092815.pdf","MCRO_27-CR-18-18391_Proposed Order or Document_2018-11-21_20240430092815.pdf")</f>
        <v>MCRO_27-CR-18-18391_Proposed Order or Document_2018-11-21_20240430092815.pdf</v>
      </c>
      <c r="C137" s="1" t="n">
        <v>4</v>
      </c>
      <c r="D137" s="1" t="n">
        <v>1</v>
      </c>
      <c r="E137" s="1" t="n">
        <v>1</v>
      </c>
      <c r="F137" s="3" t="s">
        <v>20</v>
      </c>
      <c r="G137" s="3" t="s">
        <v>612</v>
      </c>
      <c r="H137" s="1" t="s">
        <v>22</v>
      </c>
      <c r="I137" s="1" t="n">
        <v>20240430092815</v>
      </c>
      <c r="J137" s="3" t="s">
        <v>537</v>
      </c>
      <c r="K137" s="3" t="s">
        <v>538</v>
      </c>
      <c r="L137" s="3" t="s">
        <v>613</v>
      </c>
      <c r="M137" s="3" t="n">
        <v>79075</v>
      </c>
      <c r="N137" s="3" t="s">
        <v>614</v>
      </c>
      <c r="O137" s="1" t="n">
        <v>62689</v>
      </c>
      <c r="P137" s="1" t="n">
        <v>79.28</v>
      </c>
      <c r="Q137" s="1" t="s">
        <v>20</v>
      </c>
      <c r="R137" s="1" t="s">
        <v>27</v>
      </c>
      <c r="S137" s="1" t="s">
        <v>28</v>
      </c>
      <c r="T137" s="1" t="s">
        <v>29</v>
      </c>
    </row>
    <row r="138" customFormat="false" ht="18.7" hidden="false" customHeight="true" outlineLevel="0" collapsed="false">
      <c r="A138" s="1" t="n">
        <v>137</v>
      </c>
      <c r="B138" s="6" t="str">
        <f aca="false">HYPERLINK("https://mncourtfraud.com/file/MCRO_27-CR-18-18391_Proposed Order or Document_2019-12-30_20240430092757.pdf","MCRO_27-CR-18-18391_Proposed Order or Document_2019-12-30_20240430092757.pdf")</f>
        <v>MCRO_27-CR-18-18391_Proposed Order or Document_2019-12-30_20240430092757.pdf</v>
      </c>
      <c r="C138" s="1" t="n">
        <v>3</v>
      </c>
      <c r="D138" s="1" t="n">
        <v>1</v>
      </c>
      <c r="E138" s="1" t="n">
        <v>1</v>
      </c>
      <c r="F138" s="3" t="s">
        <v>20</v>
      </c>
      <c r="G138" s="3" t="s">
        <v>615</v>
      </c>
      <c r="H138" s="1" t="s">
        <v>22</v>
      </c>
      <c r="I138" s="1" t="n">
        <v>20240430092757</v>
      </c>
      <c r="J138" s="3" t="s">
        <v>616</v>
      </c>
      <c r="K138" s="3" t="s">
        <v>617</v>
      </c>
      <c r="L138" s="3" t="s">
        <v>618</v>
      </c>
      <c r="M138" s="3" t="n">
        <v>168011</v>
      </c>
      <c r="N138" s="3" t="s">
        <v>619</v>
      </c>
      <c r="O138" s="1" t="n">
        <v>151625</v>
      </c>
      <c r="P138" s="1" t="n">
        <v>90.25</v>
      </c>
      <c r="Q138" s="1" t="s">
        <v>20</v>
      </c>
      <c r="R138" s="1" t="s">
        <v>27</v>
      </c>
      <c r="S138" s="1" t="s">
        <v>28</v>
      </c>
      <c r="T138" s="1" t="s">
        <v>29</v>
      </c>
    </row>
    <row r="139" customFormat="false" ht="18.7" hidden="false" customHeight="true" outlineLevel="0" collapsed="false">
      <c r="A139" s="1" t="n">
        <v>138</v>
      </c>
      <c r="B139" s="6" t="str">
        <f aca="false">HYPERLINK("https://mncourtfraud.com/file/MCRO_27-CR-18-18391_Proposed Order or Document_2020-06-04_20240430092749.pdf","MCRO_27-CR-18-18391_Proposed Order or Document_2020-06-04_20240430092749.pdf")</f>
        <v>MCRO_27-CR-18-18391_Proposed Order or Document_2020-06-04_20240430092749.pdf</v>
      </c>
      <c r="C139" s="1" t="n">
        <v>3</v>
      </c>
      <c r="D139" s="1" t="n">
        <v>1</v>
      </c>
      <c r="E139" s="1" t="n">
        <v>1</v>
      </c>
      <c r="F139" s="3" t="s">
        <v>20</v>
      </c>
      <c r="G139" s="3" t="s">
        <v>620</v>
      </c>
      <c r="H139" s="1" t="s">
        <v>22</v>
      </c>
      <c r="I139" s="1" t="n">
        <v>20240430092749</v>
      </c>
      <c r="J139" s="3" t="s">
        <v>621</v>
      </c>
      <c r="K139" s="3" t="s">
        <v>622</v>
      </c>
      <c r="L139" s="3" t="s">
        <v>623</v>
      </c>
      <c r="M139" s="3" t="n">
        <v>194690</v>
      </c>
      <c r="N139" s="3" t="s">
        <v>624</v>
      </c>
      <c r="O139" s="1" t="n">
        <v>178304</v>
      </c>
      <c r="P139" s="1" t="n">
        <v>91.58</v>
      </c>
      <c r="Q139" s="1" t="s">
        <v>20</v>
      </c>
      <c r="R139" s="1" t="s">
        <v>27</v>
      </c>
      <c r="S139" s="1" t="s">
        <v>28</v>
      </c>
      <c r="T139" s="1" t="s">
        <v>29</v>
      </c>
    </row>
    <row r="140" customFormat="false" ht="18.7" hidden="false" customHeight="true" outlineLevel="0" collapsed="false">
      <c r="A140" s="1" t="n">
        <v>139</v>
      </c>
      <c r="B140" s="6" t="str">
        <f aca="false">HYPERLINK("https://mncourtfraud.com/file/MCRO_27-CR-18-18391_Proposed Order or Document_2022-07-14_20240430092731.pdf","MCRO_27-CR-18-18391_Proposed Order or Document_2022-07-14_20240430092731.pdf")</f>
        <v>MCRO_27-CR-18-18391_Proposed Order or Document_2022-07-14_20240430092731.pdf</v>
      </c>
      <c r="C140" s="1" t="n">
        <v>3</v>
      </c>
      <c r="D140" s="1" t="n">
        <v>1</v>
      </c>
      <c r="E140" s="1" t="n">
        <v>1</v>
      </c>
      <c r="F140" s="3" t="s">
        <v>20</v>
      </c>
      <c r="G140" s="3" t="s">
        <v>625</v>
      </c>
      <c r="H140" s="1" t="s">
        <v>22</v>
      </c>
      <c r="I140" s="1" t="n">
        <v>20240430092731</v>
      </c>
      <c r="J140" s="3" t="s">
        <v>626</v>
      </c>
      <c r="K140" s="3" t="s">
        <v>627</v>
      </c>
      <c r="L140" s="3" t="s">
        <v>628</v>
      </c>
      <c r="M140" s="3" t="n">
        <v>141840</v>
      </c>
      <c r="N140" s="3" t="s">
        <v>629</v>
      </c>
      <c r="O140" s="1" t="n">
        <v>125454</v>
      </c>
      <c r="P140" s="1" t="n">
        <v>88.45</v>
      </c>
      <c r="Q140" s="1" t="s">
        <v>20</v>
      </c>
      <c r="R140" s="1" t="s">
        <v>27</v>
      </c>
      <c r="S140" s="1" t="s">
        <v>28</v>
      </c>
      <c r="T140" s="1" t="s">
        <v>29</v>
      </c>
    </row>
    <row r="141" customFormat="false" ht="18.7" hidden="false" customHeight="true" outlineLevel="0" collapsed="false">
      <c r="A141" s="1" t="n">
        <v>140</v>
      </c>
      <c r="B141" s="6" t="str">
        <f aca="false">HYPERLINK("https://mncourtfraud.com/file/MCRO_27-CR-18-18391_Returned Mail_2022-01-31_20240430092734.pdf","MCRO_27-CR-18-18391_Returned Mail_2022-01-31_20240430092734.pdf")</f>
        <v>MCRO_27-CR-18-18391_Returned Mail_2022-01-31_20240430092734.pdf</v>
      </c>
      <c r="C141" s="1" t="n">
        <v>4</v>
      </c>
      <c r="D141" s="1" t="n">
        <v>1</v>
      </c>
      <c r="E141" s="1" t="n">
        <v>1</v>
      </c>
      <c r="F141" s="3" t="s">
        <v>20</v>
      </c>
      <c r="G141" s="3" t="s">
        <v>630</v>
      </c>
      <c r="H141" s="1" t="s">
        <v>22</v>
      </c>
      <c r="I141" s="1" t="n">
        <v>20240430092734</v>
      </c>
      <c r="J141" s="3" t="s">
        <v>631</v>
      </c>
      <c r="K141" s="3" t="s">
        <v>632</v>
      </c>
      <c r="L141" s="3" t="s">
        <v>633</v>
      </c>
      <c r="M141" s="3" t="n">
        <v>92641</v>
      </c>
      <c r="N141" s="3" t="s">
        <v>456</v>
      </c>
      <c r="O141" s="1" t="n">
        <v>76255</v>
      </c>
      <c r="P141" s="1" t="n">
        <v>82.31</v>
      </c>
      <c r="Q141" s="1" t="s">
        <v>20</v>
      </c>
      <c r="R141" s="1" t="s">
        <v>27</v>
      </c>
      <c r="S141" s="1" t="s">
        <v>28</v>
      </c>
      <c r="T141" s="1" t="s">
        <v>29</v>
      </c>
    </row>
    <row r="142" customFormat="false" ht="18.7" hidden="false" customHeight="true" outlineLevel="0" collapsed="false">
      <c r="A142" s="1" t="n">
        <v>141</v>
      </c>
      <c r="B142" s="6" t="str">
        <f aca="false">HYPERLINK("https://mncourtfraud.com/file/MCRO_27-CR-18-18391_Returned Mail_2022-02-28_20240430092733.pdf","MCRO_27-CR-18-18391_Returned Mail_2022-02-28_20240430092733.pdf")</f>
        <v>MCRO_27-CR-18-18391_Returned Mail_2022-02-28_20240430092733.pdf</v>
      </c>
      <c r="C142" s="1" t="n">
        <v>4</v>
      </c>
      <c r="D142" s="1" t="n">
        <v>1</v>
      </c>
      <c r="E142" s="1" t="n">
        <v>1</v>
      </c>
      <c r="F142" s="3" t="s">
        <v>20</v>
      </c>
      <c r="G142" s="3" t="s">
        <v>634</v>
      </c>
      <c r="H142" s="1" t="s">
        <v>22</v>
      </c>
      <c r="I142" s="1" t="n">
        <v>20240430092733</v>
      </c>
      <c r="J142" s="3" t="s">
        <v>635</v>
      </c>
      <c r="K142" s="3" t="s">
        <v>636</v>
      </c>
      <c r="L142" s="3" t="s">
        <v>637</v>
      </c>
      <c r="M142" s="3" t="n">
        <v>93437</v>
      </c>
      <c r="N142" s="3" t="s">
        <v>456</v>
      </c>
      <c r="O142" s="1" t="n">
        <v>77051</v>
      </c>
      <c r="P142" s="1" t="n">
        <v>82.46</v>
      </c>
      <c r="Q142" s="1" t="s">
        <v>20</v>
      </c>
      <c r="R142" s="1" t="s">
        <v>27</v>
      </c>
      <c r="S142" s="1" t="s">
        <v>28</v>
      </c>
      <c r="T142" s="1" t="s">
        <v>29</v>
      </c>
    </row>
    <row r="143" customFormat="false" ht="18.7" hidden="false" customHeight="true" outlineLevel="0" collapsed="false">
      <c r="A143" s="1" t="n">
        <v>142</v>
      </c>
      <c r="B143" s="6" t="str">
        <f aca="false">HYPERLINK("https://mncourtfraud.com/file/MCRO_27-CR-18-18391_Returned Mail_2022-09-20_20240430092728.pdf","MCRO_27-CR-18-18391_Returned Mail_2022-09-20_20240430092728.pdf")</f>
        <v>MCRO_27-CR-18-18391_Returned Mail_2022-09-20_20240430092728.pdf</v>
      </c>
      <c r="C143" s="1" t="n">
        <v>4</v>
      </c>
      <c r="D143" s="1" t="n">
        <v>1</v>
      </c>
      <c r="E143" s="1" t="n">
        <v>1</v>
      </c>
      <c r="F143" s="3" t="s">
        <v>20</v>
      </c>
      <c r="G143" s="3" t="s">
        <v>638</v>
      </c>
      <c r="H143" s="1" t="s">
        <v>22</v>
      </c>
      <c r="I143" s="1" t="n">
        <v>20240430092728</v>
      </c>
      <c r="J143" s="3" t="s">
        <v>639</v>
      </c>
      <c r="K143" s="3" t="s">
        <v>640</v>
      </c>
      <c r="L143" s="3" t="s">
        <v>641</v>
      </c>
      <c r="M143" s="3" t="n">
        <v>473703</v>
      </c>
      <c r="N143" s="3" t="s">
        <v>158</v>
      </c>
      <c r="O143" s="1" t="n">
        <v>457317</v>
      </c>
      <c r="P143" s="1" t="n">
        <v>96.54</v>
      </c>
      <c r="Q143" s="1" t="s">
        <v>20</v>
      </c>
      <c r="R143" s="1" t="s">
        <v>27</v>
      </c>
      <c r="S143" s="1" t="s">
        <v>28</v>
      </c>
      <c r="T143" s="1" t="s">
        <v>29</v>
      </c>
    </row>
    <row r="144" customFormat="false" ht="18.7" hidden="false" customHeight="true" outlineLevel="0" collapsed="false">
      <c r="A144" s="1" t="n">
        <v>143</v>
      </c>
      <c r="B144" s="6" t="str">
        <f aca="false">HYPERLINK("https://mncourtfraud.com/file/MCRO_27-CR-18-18391_Returned Mail_2024-02-26_20240430092715.pdf","MCRO_27-CR-18-18391_Returned Mail_2024-02-26_20240430092715.pdf")</f>
        <v>MCRO_27-CR-18-18391_Returned Mail_2024-02-26_20240430092715.pdf</v>
      </c>
      <c r="C144" s="1" t="n">
        <v>4</v>
      </c>
      <c r="D144" s="1" t="n">
        <v>1</v>
      </c>
      <c r="E144" s="1" t="n">
        <v>1</v>
      </c>
      <c r="F144" s="3" t="s">
        <v>20</v>
      </c>
      <c r="G144" s="3" t="s">
        <v>642</v>
      </c>
      <c r="H144" s="1" t="s">
        <v>22</v>
      </c>
      <c r="I144" s="1" t="n">
        <v>20240430092715</v>
      </c>
      <c r="J144" s="3" t="s">
        <v>643</v>
      </c>
      <c r="K144" s="3" t="s">
        <v>644</v>
      </c>
      <c r="L144" s="3" t="s">
        <v>645</v>
      </c>
      <c r="M144" s="3" t="n">
        <v>87852</v>
      </c>
      <c r="N144" s="3" t="s">
        <v>435</v>
      </c>
      <c r="O144" s="1" t="n">
        <v>71466</v>
      </c>
      <c r="P144" s="1" t="n">
        <v>81.35</v>
      </c>
      <c r="Q144" s="1" t="s">
        <v>20</v>
      </c>
      <c r="R144" s="1" t="s">
        <v>27</v>
      </c>
      <c r="S144" s="1" t="s">
        <v>28</v>
      </c>
      <c r="T144" s="1" t="s">
        <v>29</v>
      </c>
    </row>
    <row r="145" customFormat="false" ht="18.7" hidden="false" customHeight="true" outlineLevel="0" collapsed="false">
      <c r="A145" s="1" t="n">
        <v>144</v>
      </c>
      <c r="B145" s="6" t="str">
        <f aca="false">HYPERLINK("https://mncourtfraud.com/file/MCRO_27-CR-18-18391_Witness List_2020-10-16_20240430092745.pdf","MCRO_27-CR-18-18391_Witness List_2020-10-16_20240430092745.pdf")</f>
        <v>MCRO_27-CR-18-18391_Witness List_2020-10-16_20240430092745.pdf</v>
      </c>
      <c r="C145" s="1" t="n">
        <v>3</v>
      </c>
      <c r="D145" s="1" t="n">
        <v>1</v>
      </c>
      <c r="E145" s="1" t="n">
        <v>1</v>
      </c>
      <c r="F145" s="3" t="s">
        <v>20</v>
      </c>
      <c r="G145" s="3" t="s">
        <v>646</v>
      </c>
      <c r="H145" s="1" t="s">
        <v>22</v>
      </c>
      <c r="I145" s="1" t="n">
        <v>20240430092745</v>
      </c>
      <c r="J145" s="3" t="s">
        <v>647</v>
      </c>
      <c r="K145" s="3" t="s">
        <v>648</v>
      </c>
      <c r="L145" s="3" t="s">
        <v>649</v>
      </c>
      <c r="M145" s="3" t="n">
        <v>251103</v>
      </c>
      <c r="N145" s="3" t="s">
        <v>650</v>
      </c>
      <c r="O145" s="1" t="n">
        <v>234717</v>
      </c>
      <c r="P145" s="1" t="n">
        <v>93.47</v>
      </c>
      <c r="Q145" s="1" t="s">
        <v>20</v>
      </c>
      <c r="R145" s="1" t="s">
        <v>27</v>
      </c>
      <c r="S145" s="1" t="s">
        <v>28</v>
      </c>
      <c r="T145" s="1" t="s">
        <v>29</v>
      </c>
    </row>
    <row r="146" customFormat="false" ht="18.7" hidden="false" customHeight="true" outlineLevel="0" collapsed="false">
      <c r="A146" s="1" t="n">
        <v>145</v>
      </c>
      <c r="B146" s="6" t="str">
        <f aca="false">HYPERLINK("https://mncourtfraud.com/file/MCRO_27-CR-18-18396_Demand or Request for Discovery_2018-07-24_20240430093007.pdf","MCRO_27-CR-18-18396_Demand or Request for Discovery_2018-07-24_20240430093007.pdf")</f>
        <v>MCRO_27-CR-18-18396_Demand or Request for Discovery_2018-07-24_20240430093007.pdf</v>
      </c>
      <c r="C146" s="1" t="n">
        <v>3</v>
      </c>
      <c r="D146" s="1" t="n">
        <v>1</v>
      </c>
      <c r="E146" s="1" t="n">
        <v>1</v>
      </c>
      <c r="F146" s="3" t="s">
        <v>20</v>
      </c>
      <c r="G146" s="3" t="s">
        <v>651</v>
      </c>
      <c r="H146" s="1" t="s">
        <v>22</v>
      </c>
      <c r="I146" s="1" t="n">
        <v>20240430093007</v>
      </c>
      <c r="J146" s="3" t="s">
        <v>652</v>
      </c>
      <c r="K146" s="3" t="s">
        <v>653</v>
      </c>
      <c r="L146" s="3" t="s">
        <v>654</v>
      </c>
      <c r="M146" s="3" t="n">
        <v>383529</v>
      </c>
      <c r="N146" s="3" t="s">
        <v>655</v>
      </c>
      <c r="O146" s="1" t="n">
        <v>367143</v>
      </c>
      <c r="P146" s="1" t="n">
        <v>95.73</v>
      </c>
      <c r="Q146" s="1" t="s">
        <v>20</v>
      </c>
      <c r="R146" s="1" t="s">
        <v>27</v>
      </c>
      <c r="S146" s="1" t="s">
        <v>28</v>
      </c>
      <c r="T146" s="1" t="s">
        <v>29</v>
      </c>
    </row>
    <row r="147" customFormat="false" ht="18.7" hidden="false" customHeight="true" outlineLevel="0" collapsed="false">
      <c r="A147" s="1" t="n">
        <v>146</v>
      </c>
      <c r="B147" s="6" t="str">
        <f aca="false">HYPERLINK("https://mncourtfraud.com/file/MCRO_27-CR-18-18396_Dismissal by Prosecuting Attorney_2024-03-01_20240430092927.pdf","MCRO_27-CR-18-18396_Dismissal by Prosecuting Attorney_2024-03-01_20240430092927.pdf")</f>
        <v>MCRO_27-CR-18-18396_Dismissal by Prosecuting Attorney_2024-03-01_20240430092927.pdf</v>
      </c>
      <c r="C147" s="1" t="n">
        <v>3</v>
      </c>
      <c r="D147" s="1" t="n">
        <v>1</v>
      </c>
      <c r="E147" s="1" t="n">
        <v>1</v>
      </c>
      <c r="F147" s="3" t="s">
        <v>20</v>
      </c>
      <c r="G147" s="3" t="s">
        <v>656</v>
      </c>
      <c r="H147" s="1" t="s">
        <v>22</v>
      </c>
      <c r="I147" s="1" t="n">
        <v>20240430092927</v>
      </c>
      <c r="J147" s="3" t="s">
        <v>657</v>
      </c>
      <c r="K147" s="3" t="s">
        <v>658</v>
      </c>
      <c r="L147" s="3" t="s">
        <v>659</v>
      </c>
      <c r="M147" s="3" t="n">
        <v>103770</v>
      </c>
      <c r="N147" s="3" t="s">
        <v>660</v>
      </c>
      <c r="O147" s="1" t="n">
        <v>87384</v>
      </c>
      <c r="P147" s="1" t="n">
        <v>84.21</v>
      </c>
      <c r="Q147" s="1" t="s">
        <v>20</v>
      </c>
      <c r="R147" s="1" t="s">
        <v>27</v>
      </c>
      <c r="S147" s="1" t="s">
        <v>28</v>
      </c>
      <c r="T147" s="1" t="s">
        <v>29</v>
      </c>
    </row>
    <row r="148" customFormat="false" ht="18.7" hidden="false" customHeight="true" outlineLevel="0" collapsed="false">
      <c r="A148" s="1" t="n">
        <v>147</v>
      </c>
      <c r="B148" s="6" t="str">
        <f aca="false">HYPERLINK("https://mncourtfraud.com/file/MCRO_27-CR-18-18396_E-filed Comp-Order for Detention_2018-07-23_20240430093009.pdf","MCRO_27-CR-18-18396_E-filed Comp-Order for Detention_2018-07-23_20240430093009.pdf")</f>
        <v>MCRO_27-CR-18-18396_E-filed Comp-Order for Detention_2018-07-23_20240430093009.pdf</v>
      </c>
      <c r="C148" s="1" t="n">
        <v>5</v>
      </c>
      <c r="D148" s="1" t="n">
        <v>2</v>
      </c>
      <c r="E148" s="1" t="n">
        <v>2</v>
      </c>
      <c r="F148" s="3" t="s">
        <v>20</v>
      </c>
      <c r="G148" s="3" t="s">
        <v>661</v>
      </c>
      <c r="H148" s="1" t="s">
        <v>22</v>
      </c>
      <c r="I148" s="1" t="n">
        <v>20240430093009</v>
      </c>
      <c r="J148" s="3" t="s">
        <v>662</v>
      </c>
      <c r="K148" s="3" t="s">
        <v>663</v>
      </c>
      <c r="L148" s="3" t="s">
        <v>664</v>
      </c>
      <c r="M148" s="3" t="n">
        <v>423523</v>
      </c>
      <c r="N148" s="3" t="s">
        <v>665</v>
      </c>
      <c r="O148" s="1" t="n">
        <v>407137</v>
      </c>
      <c r="P148" s="1" t="n">
        <v>96.13</v>
      </c>
      <c r="Q148" s="1" t="s">
        <v>20</v>
      </c>
      <c r="R148" s="1" t="s">
        <v>27</v>
      </c>
      <c r="S148" s="1" t="s">
        <v>28</v>
      </c>
      <c r="T148" s="1" t="s">
        <v>29</v>
      </c>
    </row>
    <row r="149" customFormat="false" ht="18.7" hidden="false" customHeight="true" outlineLevel="0" collapsed="false">
      <c r="A149" s="1" t="n">
        <v>148</v>
      </c>
      <c r="B149" s="6" t="str">
        <f aca="false">HYPERLINK("https://mncourtfraud.com/file/MCRO_27-CR-18-18396_Findings and Order_2021-09-07_20240430092943.pdf","MCRO_27-CR-18-18396_Findings and Order_2021-09-07_20240430092943.pdf")</f>
        <v>MCRO_27-CR-18-18396_Findings and Order_2021-09-07_20240430092943.pdf</v>
      </c>
      <c r="C149" s="1" t="n">
        <v>5</v>
      </c>
      <c r="D149" s="1" t="n">
        <v>1</v>
      </c>
      <c r="E149" s="1" t="n">
        <v>1</v>
      </c>
      <c r="F149" s="3" t="s">
        <v>20</v>
      </c>
      <c r="G149" s="3" t="s">
        <v>666</v>
      </c>
      <c r="H149" s="1" t="s">
        <v>22</v>
      </c>
      <c r="I149" s="1" t="n">
        <v>20240430092943</v>
      </c>
      <c r="J149" s="3" t="s">
        <v>667</v>
      </c>
      <c r="K149" s="3" t="s">
        <v>668</v>
      </c>
      <c r="L149" s="3" t="s">
        <v>669</v>
      </c>
      <c r="M149" s="3" t="n">
        <v>231563</v>
      </c>
      <c r="N149" s="3" t="s">
        <v>670</v>
      </c>
      <c r="O149" s="1" t="n">
        <v>215177</v>
      </c>
      <c r="P149" s="1" t="n">
        <v>92.92</v>
      </c>
      <c r="Q149" s="1" t="s">
        <v>20</v>
      </c>
      <c r="R149" s="1" t="s">
        <v>27</v>
      </c>
      <c r="S149" s="1" t="s">
        <v>28</v>
      </c>
      <c r="T149" s="1" t="s">
        <v>29</v>
      </c>
    </row>
    <row r="150" customFormat="false" ht="18.7" hidden="false" customHeight="true" outlineLevel="0" collapsed="false">
      <c r="A150" s="1" t="n">
        <v>149</v>
      </c>
      <c r="B150" s="6" t="str">
        <f aca="false">HYPERLINK("https://mncourtfraud.com/file/MCRO_27-CR-18-18396_Find of Fact-Order, Pet Commitment-Dfd Found Incompetent_2018-10-02_20240430093000.pdf","MCRO_27-CR-18-18396_Find of Fact-Order, Pet Commitment-Dfd Found Incompetent_2018-10-02_20240430093000.pdf")</f>
        <v>MCRO_27-CR-18-18396_Find of Fact-Order, Pet Commitment-Dfd Found Incompetent_2018-10-02_20240430093000.pdf</v>
      </c>
      <c r="C150" s="1" t="n">
        <v>4</v>
      </c>
      <c r="D150" s="1" t="n">
        <v>2</v>
      </c>
      <c r="E150" s="1" t="n">
        <v>2</v>
      </c>
      <c r="F150" s="3" t="s">
        <v>20</v>
      </c>
      <c r="G150" s="3" t="s">
        <v>671</v>
      </c>
      <c r="H150" s="1" t="s">
        <v>22</v>
      </c>
      <c r="I150" s="1" t="n">
        <v>20240430093000</v>
      </c>
      <c r="J150" s="3" t="s">
        <v>672</v>
      </c>
      <c r="K150" s="3" t="s">
        <v>673</v>
      </c>
      <c r="L150" s="3" t="s">
        <v>674</v>
      </c>
      <c r="M150" s="3" t="n">
        <v>273910</v>
      </c>
      <c r="N150" s="3" t="s">
        <v>675</v>
      </c>
      <c r="O150" s="1" t="n">
        <v>257524</v>
      </c>
      <c r="P150" s="1" t="n">
        <v>94.02</v>
      </c>
      <c r="Q150" s="1" t="s">
        <v>20</v>
      </c>
      <c r="R150" s="1" t="s">
        <v>27</v>
      </c>
      <c r="S150" s="1" t="s">
        <v>28</v>
      </c>
      <c r="T150" s="1" t="s">
        <v>29</v>
      </c>
    </row>
    <row r="151" customFormat="false" ht="18.7" hidden="false" customHeight="true" outlineLevel="0" collapsed="false">
      <c r="A151" s="1" t="n">
        <v>150</v>
      </c>
      <c r="B151" s="6" t="str">
        <f aca="false">HYPERLINK("https://mncourtfraud.com/file/MCRO_27-CR-18-18396_Find of Fact-Order, Pet Commitment-Dfd Found Incompetent_2019-11-12_20240430092954.pdf","MCRO_27-CR-18-18396_Find of Fact-Order, Pet Commitment-Dfd Found Incompetent_2019-11-12_20240430092954.pdf")</f>
        <v>MCRO_27-CR-18-18396_Find of Fact-Order, Pet Commitment-Dfd Found Incompetent_2019-11-12_20240430092954.pdf</v>
      </c>
      <c r="C151" s="1" t="n">
        <v>4</v>
      </c>
      <c r="D151" s="1" t="n">
        <v>2</v>
      </c>
      <c r="E151" s="1" t="n">
        <v>2</v>
      </c>
      <c r="F151" s="3" t="s">
        <v>20</v>
      </c>
      <c r="G151" s="3" t="s">
        <v>676</v>
      </c>
      <c r="H151" s="1" t="s">
        <v>22</v>
      </c>
      <c r="I151" s="1" t="n">
        <v>20240430092954</v>
      </c>
      <c r="J151" s="3" t="s">
        <v>677</v>
      </c>
      <c r="K151" s="3" t="s">
        <v>678</v>
      </c>
      <c r="L151" s="3" t="s">
        <v>679</v>
      </c>
      <c r="M151" s="3" t="n">
        <v>275990</v>
      </c>
      <c r="N151" s="3" t="s">
        <v>680</v>
      </c>
      <c r="O151" s="1" t="n">
        <v>259604</v>
      </c>
      <c r="P151" s="1" t="n">
        <v>94.06</v>
      </c>
      <c r="Q151" s="1" t="s">
        <v>20</v>
      </c>
      <c r="R151" s="1" t="s">
        <v>27</v>
      </c>
      <c r="S151" s="1" t="s">
        <v>28</v>
      </c>
      <c r="T151" s="1" t="s">
        <v>29</v>
      </c>
    </row>
    <row r="152" customFormat="false" ht="18.7" hidden="false" customHeight="true" outlineLevel="0" collapsed="false">
      <c r="A152" s="1" t="n">
        <v>151</v>
      </c>
      <c r="B152" s="6" t="str">
        <f aca="false">HYPERLINK("https://mncourtfraud.com/file/MCRO_27-CR-18-18396_Law Enforcement Notice of Release and Appearance_2018-07-30_20240430093004.pdf","MCRO_27-CR-18-18396_Law Enforcement Notice of Release and Appearance_2018-07-30_20240430093004.pdf")</f>
        <v>MCRO_27-CR-18-18396_Law Enforcement Notice of Release and Appearance_2018-07-30_20240430093004.pdf</v>
      </c>
      <c r="C152" s="1" t="n">
        <v>4</v>
      </c>
      <c r="D152" s="1" t="n">
        <v>1</v>
      </c>
      <c r="E152" s="1" t="n">
        <v>1</v>
      </c>
      <c r="F152" s="3" t="s">
        <v>20</v>
      </c>
      <c r="G152" s="3" t="s">
        <v>681</v>
      </c>
      <c r="H152" s="1" t="s">
        <v>22</v>
      </c>
      <c r="I152" s="1" t="n">
        <v>20240430093004</v>
      </c>
      <c r="J152" s="3" t="s">
        <v>682</v>
      </c>
      <c r="K152" s="3" t="s">
        <v>683</v>
      </c>
      <c r="L152" s="3" t="s">
        <v>684</v>
      </c>
      <c r="M152" s="3" t="n">
        <v>123409</v>
      </c>
      <c r="N152" s="3" t="s">
        <v>119</v>
      </c>
      <c r="O152" s="1" t="n">
        <v>107023</v>
      </c>
      <c r="P152" s="1" t="n">
        <v>86.72</v>
      </c>
      <c r="Q152" s="1" t="s">
        <v>20</v>
      </c>
      <c r="R152" s="1" t="s">
        <v>27</v>
      </c>
      <c r="S152" s="1" t="s">
        <v>28</v>
      </c>
      <c r="T152" s="1" t="s">
        <v>29</v>
      </c>
    </row>
    <row r="153" customFormat="false" ht="18.7" hidden="false" customHeight="true" outlineLevel="0" collapsed="false">
      <c r="A153" s="1" t="n">
        <v>152</v>
      </c>
      <c r="B153" s="6" t="str">
        <f aca="false">HYPERLINK("https://mncourtfraud.com/file/MCRO_27-CR-18-18396_Non-Cash Bond Posted_2018-07-27_20240430093005.pdf","MCRO_27-CR-18-18396_Non-Cash Bond Posted_2018-07-27_20240430093005.pdf")</f>
        <v>MCRO_27-CR-18-18396_Non-Cash Bond Posted_2018-07-27_20240430093005.pdf</v>
      </c>
      <c r="C153" s="1" t="n">
        <v>4</v>
      </c>
      <c r="D153" s="1" t="n">
        <v>1</v>
      </c>
      <c r="E153" s="1" t="n">
        <v>1</v>
      </c>
      <c r="F153" s="3" t="s">
        <v>20</v>
      </c>
      <c r="G153" s="3" t="s">
        <v>685</v>
      </c>
      <c r="H153" s="1" t="s">
        <v>22</v>
      </c>
      <c r="I153" s="1" t="n">
        <v>20240430093005</v>
      </c>
      <c r="J153" s="3" t="s">
        <v>686</v>
      </c>
      <c r="K153" s="3" t="s">
        <v>687</v>
      </c>
      <c r="L153" s="3" t="s">
        <v>688</v>
      </c>
      <c r="M153" s="3" t="n">
        <v>196056</v>
      </c>
      <c r="N153" s="3" t="s">
        <v>158</v>
      </c>
      <c r="O153" s="1" t="n">
        <v>179670</v>
      </c>
      <c r="P153" s="1" t="n">
        <v>91.64</v>
      </c>
      <c r="Q153" s="1" t="s">
        <v>20</v>
      </c>
      <c r="R153" s="1" t="s">
        <v>27</v>
      </c>
      <c r="S153" s="1" t="s">
        <v>28</v>
      </c>
      <c r="T153" s="1" t="s">
        <v>29</v>
      </c>
    </row>
    <row r="154" customFormat="false" ht="18.7" hidden="false" customHeight="true" outlineLevel="0" collapsed="false">
      <c r="A154" s="1" t="n">
        <v>153</v>
      </c>
      <c r="B154" s="6" t="str">
        <f aca="false">HYPERLINK("https://mncourtfraud.com/file/MCRO_27-CR-18-18396_Notice of Appearance_2018-08-20_20240430093003.pdf","MCRO_27-CR-18-18396_Notice of Appearance_2018-08-20_20240430093003.pdf")</f>
        <v>MCRO_27-CR-18-18396_Notice of Appearance_2018-08-20_20240430093003.pdf</v>
      </c>
      <c r="C154" s="1" t="n">
        <v>4</v>
      </c>
      <c r="D154" s="1" t="n">
        <v>1</v>
      </c>
      <c r="E154" s="1" t="n">
        <v>1</v>
      </c>
      <c r="F154" s="3" t="s">
        <v>20</v>
      </c>
      <c r="G154" s="3" t="s">
        <v>689</v>
      </c>
      <c r="H154" s="1" t="s">
        <v>22</v>
      </c>
      <c r="I154" s="1" t="n">
        <v>20240430093003</v>
      </c>
      <c r="J154" s="3" t="s">
        <v>690</v>
      </c>
      <c r="K154" s="3" t="s">
        <v>691</v>
      </c>
      <c r="L154" s="3" t="s">
        <v>692</v>
      </c>
      <c r="M154" s="3" t="n">
        <v>120417</v>
      </c>
      <c r="N154" s="3" t="s">
        <v>119</v>
      </c>
      <c r="O154" s="1" t="n">
        <v>104031</v>
      </c>
      <c r="P154" s="1" t="n">
        <v>86.39</v>
      </c>
      <c r="Q154" s="1" t="s">
        <v>20</v>
      </c>
      <c r="R154" s="1" t="s">
        <v>27</v>
      </c>
      <c r="S154" s="1" t="s">
        <v>28</v>
      </c>
      <c r="T154" s="1" t="s">
        <v>29</v>
      </c>
    </row>
    <row r="155" customFormat="false" ht="18.7" hidden="false" customHeight="true" outlineLevel="0" collapsed="false">
      <c r="A155" s="1" t="n">
        <v>154</v>
      </c>
      <c r="B155" s="6" t="str">
        <f aca="false">HYPERLINK("https://mncourtfraud.com/file/MCRO_27-CR-18-18396_Notice of Appearance_2018-08-21_20240430093002.pdf","MCRO_27-CR-18-18396_Notice of Appearance_2018-08-21_20240430093002.pdf")</f>
        <v>MCRO_27-CR-18-18396_Notice of Appearance_2018-08-21_20240430093002.pdf</v>
      </c>
      <c r="C155" s="1" t="n">
        <v>4</v>
      </c>
      <c r="D155" s="1" t="n">
        <v>1</v>
      </c>
      <c r="E155" s="1" t="n">
        <v>1</v>
      </c>
      <c r="F155" s="3" t="s">
        <v>20</v>
      </c>
      <c r="G155" s="3" t="s">
        <v>693</v>
      </c>
      <c r="H155" s="1" t="s">
        <v>22</v>
      </c>
      <c r="I155" s="1" t="n">
        <v>20240430093002</v>
      </c>
      <c r="J155" s="3" t="s">
        <v>694</v>
      </c>
      <c r="K155" s="3" t="s">
        <v>695</v>
      </c>
      <c r="L155" s="3" t="s">
        <v>696</v>
      </c>
      <c r="M155" s="3" t="n">
        <v>124098</v>
      </c>
      <c r="N155" s="3" t="s">
        <v>119</v>
      </c>
      <c r="O155" s="1" t="n">
        <v>107712</v>
      </c>
      <c r="P155" s="1" t="n">
        <v>86.8</v>
      </c>
      <c r="Q155" s="1" t="s">
        <v>20</v>
      </c>
      <c r="R155" s="1" t="s">
        <v>27</v>
      </c>
      <c r="S155" s="1" t="s">
        <v>28</v>
      </c>
      <c r="T155" s="1" t="s">
        <v>29</v>
      </c>
    </row>
    <row r="156" customFormat="false" ht="18.7" hidden="false" customHeight="true" outlineLevel="0" collapsed="false">
      <c r="A156" s="1" t="n">
        <v>155</v>
      </c>
      <c r="B156" s="6" t="str">
        <f aca="false">HYPERLINK("https://mncourtfraud.com/file/MCRO_27-CR-18-18396_Notice of Appearance_2019-04-09_20240430092956.pdf","MCRO_27-CR-18-18396_Notice of Appearance_2019-04-09_20240430092956.pdf")</f>
        <v>MCRO_27-CR-18-18396_Notice of Appearance_2019-04-09_20240430092956.pdf</v>
      </c>
      <c r="C156" s="1" t="n">
        <v>4</v>
      </c>
      <c r="D156" s="1" t="n">
        <v>1</v>
      </c>
      <c r="E156" s="1" t="n">
        <v>1</v>
      </c>
      <c r="F156" s="3" t="s">
        <v>20</v>
      </c>
      <c r="G156" s="3" t="s">
        <v>697</v>
      </c>
      <c r="H156" s="1" t="s">
        <v>22</v>
      </c>
      <c r="I156" s="1" t="n">
        <v>20240430092956</v>
      </c>
      <c r="J156" s="3" t="s">
        <v>698</v>
      </c>
      <c r="K156" s="3" t="s">
        <v>699</v>
      </c>
      <c r="L156" s="3" t="s">
        <v>700</v>
      </c>
      <c r="M156" s="3" t="n">
        <v>107888</v>
      </c>
      <c r="N156" s="3" t="s">
        <v>435</v>
      </c>
      <c r="O156" s="1" t="n">
        <v>91502</v>
      </c>
      <c r="P156" s="1" t="n">
        <v>84.81</v>
      </c>
      <c r="Q156" s="1" t="s">
        <v>20</v>
      </c>
      <c r="R156" s="1" t="s">
        <v>27</v>
      </c>
      <c r="S156" s="1" t="s">
        <v>28</v>
      </c>
      <c r="T156" s="1" t="s">
        <v>29</v>
      </c>
    </row>
    <row r="157" customFormat="false" ht="18.7" hidden="false" customHeight="true" outlineLevel="0" collapsed="false">
      <c r="A157" s="1" t="n">
        <v>156</v>
      </c>
      <c r="B157" s="6" t="str">
        <f aca="false">HYPERLINK("https://mncourtfraud.com/file/MCRO_27-CR-18-18396_Notice of Hearing_2018-10-02_20240430092959.pdf","MCRO_27-CR-18-18396_Notice of Hearing_2018-10-02_20240430092959.pdf")</f>
        <v>MCRO_27-CR-18-18396_Notice of Hearing_2018-10-02_20240430092959.pdf</v>
      </c>
      <c r="C157" s="1" t="n">
        <v>4</v>
      </c>
      <c r="D157" s="1" t="n">
        <v>1</v>
      </c>
      <c r="E157" s="1" t="n">
        <v>1</v>
      </c>
      <c r="F157" s="3" t="s">
        <v>20</v>
      </c>
      <c r="G157" s="3" t="s">
        <v>701</v>
      </c>
      <c r="H157" s="1" t="s">
        <v>22</v>
      </c>
      <c r="I157" s="1" t="n">
        <v>20240430092959</v>
      </c>
      <c r="J157" s="3" t="s">
        <v>702</v>
      </c>
      <c r="K157" s="3" t="s">
        <v>703</v>
      </c>
      <c r="L157" s="3" t="s">
        <v>704</v>
      </c>
      <c r="M157" s="3" t="n">
        <v>117929</v>
      </c>
      <c r="N157" s="3" t="s">
        <v>119</v>
      </c>
      <c r="O157" s="1" t="n">
        <v>101543</v>
      </c>
      <c r="P157" s="1" t="n">
        <v>86.11</v>
      </c>
      <c r="Q157" s="1" t="s">
        <v>20</v>
      </c>
      <c r="R157" s="1" t="s">
        <v>27</v>
      </c>
      <c r="S157" s="1" t="s">
        <v>28</v>
      </c>
      <c r="T157" s="1" t="s">
        <v>29</v>
      </c>
    </row>
    <row r="158" customFormat="false" ht="18.7" hidden="false" customHeight="true" outlineLevel="0" collapsed="false">
      <c r="A158" s="1" t="n">
        <v>157</v>
      </c>
      <c r="B158" s="6" t="str">
        <f aca="false">HYPERLINK("https://mncourtfraud.com/file/MCRO_27-CR-18-18396_Notice of Hearing_2020-05-05_20240430092951.pdf","MCRO_27-CR-18-18396_Notice of Hearing_2020-05-05_20240430092951.pdf")</f>
        <v>MCRO_27-CR-18-18396_Notice of Hearing_2020-05-05_20240430092951.pdf</v>
      </c>
      <c r="C158" s="1" t="n">
        <v>4</v>
      </c>
      <c r="D158" s="1" t="n">
        <v>1</v>
      </c>
      <c r="E158" s="1" t="n">
        <v>1</v>
      </c>
      <c r="F158" s="3" t="s">
        <v>20</v>
      </c>
      <c r="G158" s="3" t="s">
        <v>705</v>
      </c>
      <c r="H158" s="1" t="s">
        <v>22</v>
      </c>
      <c r="I158" s="1" t="n">
        <v>20240430092951</v>
      </c>
      <c r="J158" s="3" t="s">
        <v>706</v>
      </c>
      <c r="K158" s="3" t="s">
        <v>707</v>
      </c>
      <c r="L158" s="3" t="s">
        <v>708</v>
      </c>
      <c r="M158" s="3" t="n">
        <v>106145</v>
      </c>
      <c r="N158" s="3" t="s">
        <v>137</v>
      </c>
      <c r="O158" s="1" t="n">
        <v>89759</v>
      </c>
      <c r="P158" s="1" t="n">
        <v>84.56</v>
      </c>
      <c r="Q158" s="1" t="s">
        <v>20</v>
      </c>
      <c r="R158" s="1" t="s">
        <v>27</v>
      </c>
      <c r="S158" s="1" t="s">
        <v>28</v>
      </c>
      <c r="T158" s="1" t="s">
        <v>29</v>
      </c>
    </row>
    <row r="159" customFormat="false" ht="18.7" hidden="false" customHeight="true" outlineLevel="0" collapsed="false">
      <c r="A159" s="1" t="n">
        <v>158</v>
      </c>
      <c r="B159" s="6" t="str">
        <f aca="false">HYPERLINK("https://mncourtfraud.com/file/MCRO_27-CR-18-18396_Notice of Hearing_2020-11-03_20240430092948.pdf","MCRO_27-CR-18-18396_Notice of Hearing_2020-11-03_20240430092948.pdf")</f>
        <v>MCRO_27-CR-18-18396_Notice of Hearing_2020-11-03_20240430092948.pdf</v>
      </c>
      <c r="C159" s="1" t="n">
        <v>5</v>
      </c>
      <c r="D159" s="1" t="n">
        <v>1</v>
      </c>
      <c r="E159" s="1" t="n">
        <v>1</v>
      </c>
      <c r="F159" s="3" t="s">
        <v>20</v>
      </c>
      <c r="G159" s="3" t="s">
        <v>709</v>
      </c>
      <c r="H159" s="1" t="s">
        <v>22</v>
      </c>
      <c r="I159" s="1" t="n">
        <v>20240430092948</v>
      </c>
      <c r="J159" s="3" t="s">
        <v>710</v>
      </c>
      <c r="K159" s="3" t="s">
        <v>711</v>
      </c>
      <c r="L159" s="3" t="s">
        <v>712</v>
      </c>
      <c r="M159" s="3" t="n">
        <v>1066971</v>
      </c>
      <c r="N159" s="3" t="s">
        <v>713</v>
      </c>
      <c r="O159" s="1" t="n">
        <v>1050585</v>
      </c>
      <c r="P159" s="1" t="n">
        <v>98.46</v>
      </c>
      <c r="Q159" s="1" t="s">
        <v>20</v>
      </c>
      <c r="R159" s="1" t="s">
        <v>27</v>
      </c>
      <c r="S159" s="1" t="s">
        <v>28</v>
      </c>
      <c r="T159" s="1" t="s">
        <v>29</v>
      </c>
    </row>
    <row r="160" customFormat="false" ht="18.7" hidden="false" customHeight="true" outlineLevel="0" collapsed="false">
      <c r="A160" s="1" t="n">
        <v>159</v>
      </c>
      <c r="B160" s="6" t="str">
        <f aca="false">HYPERLINK("https://mncourtfraud.com/file/MCRO_27-CR-18-18396_Notice of Hearing_2021-09-16_20240430092942.pdf","MCRO_27-CR-18-18396_Notice of Hearing_2021-09-16_20240430092942.pdf")</f>
        <v>MCRO_27-CR-18-18396_Notice of Hearing_2021-09-16_20240430092942.pdf</v>
      </c>
      <c r="C160" s="1" t="n">
        <v>4</v>
      </c>
      <c r="D160" s="1" t="n">
        <v>1</v>
      </c>
      <c r="E160" s="1" t="n">
        <v>1</v>
      </c>
      <c r="F160" s="3" t="s">
        <v>20</v>
      </c>
      <c r="G160" s="3" t="s">
        <v>714</v>
      </c>
      <c r="H160" s="1" t="s">
        <v>22</v>
      </c>
      <c r="I160" s="1" t="n">
        <v>20240430092942</v>
      </c>
      <c r="J160" s="3" t="s">
        <v>715</v>
      </c>
      <c r="K160" s="3" t="s">
        <v>716</v>
      </c>
      <c r="L160" s="3" t="s">
        <v>717</v>
      </c>
      <c r="M160" s="3" t="n">
        <v>96350</v>
      </c>
      <c r="N160" s="3" t="s">
        <v>456</v>
      </c>
      <c r="O160" s="1" t="n">
        <v>79964</v>
      </c>
      <c r="P160" s="1" t="n">
        <v>82.99</v>
      </c>
      <c r="Q160" s="1" t="s">
        <v>20</v>
      </c>
      <c r="R160" s="1" t="s">
        <v>27</v>
      </c>
      <c r="S160" s="1" t="s">
        <v>28</v>
      </c>
      <c r="T160" s="1" t="s">
        <v>29</v>
      </c>
    </row>
    <row r="161" customFormat="false" ht="18.7" hidden="false" customHeight="true" outlineLevel="0" collapsed="false">
      <c r="A161" s="1" t="n">
        <v>160</v>
      </c>
      <c r="B161" s="6" t="str">
        <f aca="false">HYPERLINK("https://mncourtfraud.com/file/MCRO_27-CR-18-18396_Notice of Hearing_2023-11-08_20240430092932.pdf","MCRO_27-CR-18-18396_Notice of Hearing_2023-11-08_20240430092932.pdf")</f>
        <v>MCRO_27-CR-18-18396_Notice of Hearing_2023-11-08_20240430092932.pdf</v>
      </c>
      <c r="C161" s="1" t="n">
        <v>5</v>
      </c>
      <c r="D161" s="1" t="n">
        <v>1</v>
      </c>
      <c r="E161" s="1" t="n">
        <v>1</v>
      </c>
      <c r="F161" s="3" t="s">
        <v>20</v>
      </c>
      <c r="G161" s="3" t="s">
        <v>718</v>
      </c>
      <c r="H161" s="1" t="s">
        <v>22</v>
      </c>
      <c r="I161" s="1" t="n">
        <v>20240430092932</v>
      </c>
      <c r="J161" s="3" t="s">
        <v>719</v>
      </c>
      <c r="K161" s="3" t="s">
        <v>720</v>
      </c>
      <c r="L161" s="3" t="s">
        <v>721</v>
      </c>
      <c r="M161" s="3" t="n">
        <v>740001</v>
      </c>
      <c r="N161" s="3" t="s">
        <v>722</v>
      </c>
      <c r="O161" s="1" t="n">
        <v>723615</v>
      </c>
      <c r="P161" s="1" t="n">
        <v>97.79</v>
      </c>
      <c r="Q161" s="1" t="s">
        <v>20</v>
      </c>
      <c r="R161" s="1" t="s">
        <v>27</v>
      </c>
      <c r="S161" s="1" t="s">
        <v>28</v>
      </c>
      <c r="T161" s="1" t="s">
        <v>29</v>
      </c>
    </row>
    <row r="162" customFormat="false" ht="18.7" hidden="false" customHeight="true" outlineLevel="0" collapsed="false">
      <c r="A162" s="1" t="n">
        <v>161</v>
      </c>
      <c r="B162" s="6" t="str">
        <f aca="false">HYPERLINK("https://mncourtfraud.com/file/MCRO_27-CR-18-18396_Notice of Hearing_2024-02-09_20240430092928.pdf","MCRO_27-CR-18-18396_Notice of Hearing_2024-02-09_20240430092928.pdf")</f>
        <v>MCRO_27-CR-18-18396_Notice of Hearing_2024-02-09_20240430092928.pdf</v>
      </c>
      <c r="C162" s="1" t="n">
        <v>4</v>
      </c>
      <c r="D162" s="1" t="n">
        <v>1</v>
      </c>
      <c r="E162" s="1" t="n">
        <v>1</v>
      </c>
      <c r="F162" s="3" t="s">
        <v>20</v>
      </c>
      <c r="G162" s="3" t="s">
        <v>723</v>
      </c>
      <c r="H162" s="1" t="s">
        <v>22</v>
      </c>
      <c r="I162" s="1" t="n">
        <v>20240430092928</v>
      </c>
      <c r="J162" s="3" t="s">
        <v>724</v>
      </c>
      <c r="K162" s="3" t="s">
        <v>725</v>
      </c>
      <c r="L162" s="3" t="s">
        <v>726</v>
      </c>
      <c r="M162" s="3" t="n">
        <v>715123</v>
      </c>
      <c r="N162" s="3" t="s">
        <v>727</v>
      </c>
      <c r="O162" s="1" t="n">
        <v>698737</v>
      </c>
      <c r="P162" s="1" t="n">
        <v>97.71</v>
      </c>
      <c r="Q162" s="1" t="s">
        <v>20</v>
      </c>
      <c r="R162" s="1" t="s">
        <v>27</v>
      </c>
      <c r="S162" s="1" t="s">
        <v>28</v>
      </c>
      <c r="T162" s="1" t="s">
        <v>29</v>
      </c>
    </row>
    <row r="163" customFormat="false" ht="18.7" hidden="false" customHeight="true" outlineLevel="0" collapsed="false">
      <c r="A163" s="1" t="n">
        <v>162</v>
      </c>
      <c r="B163" s="6" t="str">
        <f aca="false">HYPERLINK("https://mncourtfraud.com/file/MCRO_27-CR-18-18396_Notice of Hearing_2024-02-09_20240430092929.pdf","MCRO_27-CR-18-18396_Notice of Hearing_2024-02-09_20240430092929.pdf")</f>
        <v>MCRO_27-CR-18-18396_Notice of Hearing_2024-02-09_20240430092929.pdf</v>
      </c>
      <c r="C163" s="1" t="n">
        <v>4</v>
      </c>
      <c r="D163" s="1" t="n">
        <v>1</v>
      </c>
      <c r="E163" s="1" t="n">
        <v>1</v>
      </c>
      <c r="F163" s="3" t="s">
        <v>20</v>
      </c>
      <c r="G163" s="3" t="s">
        <v>728</v>
      </c>
      <c r="H163" s="1" t="s">
        <v>22</v>
      </c>
      <c r="I163" s="1" t="n">
        <v>20240430092929</v>
      </c>
      <c r="J163" s="3" t="s">
        <v>729</v>
      </c>
      <c r="K163" s="3" t="s">
        <v>730</v>
      </c>
      <c r="L163" s="3" t="s">
        <v>731</v>
      </c>
      <c r="M163" s="3" t="n">
        <v>714419</v>
      </c>
      <c r="N163" s="3" t="s">
        <v>727</v>
      </c>
      <c r="O163" s="1" t="n">
        <v>698033</v>
      </c>
      <c r="P163" s="1" t="n">
        <v>97.71</v>
      </c>
      <c r="Q163" s="1" t="s">
        <v>20</v>
      </c>
      <c r="R163" s="1" t="s">
        <v>27</v>
      </c>
      <c r="S163" s="1" t="s">
        <v>28</v>
      </c>
      <c r="T163" s="1" t="s">
        <v>29</v>
      </c>
    </row>
    <row r="164" customFormat="false" ht="18.7" hidden="false" customHeight="true" outlineLevel="0" collapsed="false">
      <c r="A164" s="1" t="n">
        <v>163</v>
      </c>
      <c r="B164" s="6" t="str">
        <f aca="false">HYPERLINK("https://mncourtfraud.com/file/MCRO_27-CR-18-18396_Notice of Intent to Prosecute_2018-10-09_20240430092958.pdf","MCRO_27-CR-18-18396_Notice of Intent to Prosecute_2018-10-09_20240430092958.pdf")</f>
        <v>MCRO_27-CR-18-18396_Notice of Intent to Prosecute_2018-10-09_20240430092958.pdf</v>
      </c>
      <c r="C164" s="1" t="n">
        <v>3</v>
      </c>
      <c r="D164" s="1" t="n">
        <v>1</v>
      </c>
      <c r="E164" s="1" t="n">
        <v>1</v>
      </c>
      <c r="F164" s="3" t="s">
        <v>20</v>
      </c>
      <c r="G164" s="3" t="s">
        <v>732</v>
      </c>
      <c r="H164" s="1" t="s">
        <v>22</v>
      </c>
      <c r="I164" s="1" t="n">
        <v>20240430092958</v>
      </c>
      <c r="J164" s="3" t="s">
        <v>733</v>
      </c>
      <c r="K164" s="3" t="s">
        <v>734</v>
      </c>
      <c r="L164" s="3" t="s">
        <v>735</v>
      </c>
      <c r="M164" s="3" t="n">
        <v>112838</v>
      </c>
      <c r="N164" s="3" t="s">
        <v>736</v>
      </c>
      <c r="O164" s="1" t="n">
        <v>96452</v>
      </c>
      <c r="P164" s="1" t="n">
        <v>85.48</v>
      </c>
      <c r="Q164" s="1" t="s">
        <v>20</v>
      </c>
      <c r="R164" s="1" t="s">
        <v>27</v>
      </c>
      <c r="S164" s="1" t="s">
        <v>28</v>
      </c>
      <c r="T164" s="1" t="s">
        <v>29</v>
      </c>
    </row>
    <row r="165" customFormat="false" ht="18.7" hidden="false" customHeight="true" outlineLevel="0" collapsed="false">
      <c r="A165" s="1" t="n">
        <v>164</v>
      </c>
      <c r="B165" s="6" t="str">
        <f aca="false">HYPERLINK("https://mncourtfraud.com/file/MCRO_27-CR-18-18396_Notice of Motion and Motion_2024-01-30_20240430092931.pdf","MCRO_27-CR-18-18396_Notice of Motion and Motion_2024-01-30_20240430092931.pdf")</f>
        <v>MCRO_27-CR-18-18396_Notice of Motion and Motion_2024-01-30_20240430092931.pdf</v>
      </c>
      <c r="C165" s="1" t="n">
        <v>3</v>
      </c>
      <c r="D165" s="1" t="n">
        <v>1</v>
      </c>
      <c r="E165" s="1" t="n">
        <v>1</v>
      </c>
      <c r="F165" s="3" t="s">
        <v>20</v>
      </c>
      <c r="G165" s="3" t="s">
        <v>737</v>
      </c>
      <c r="H165" s="1" t="s">
        <v>22</v>
      </c>
      <c r="I165" s="1" t="n">
        <v>20240430092931</v>
      </c>
      <c r="J165" s="3" t="s">
        <v>738</v>
      </c>
      <c r="K165" s="3" t="s">
        <v>739</v>
      </c>
      <c r="L165" s="3" t="s">
        <v>740</v>
      </c>
      <c r="M165" s="3" t="n">
        <v>169946</v>
      </c>
      <c r="N165" s="3" t="s">
        <v>741</v>
      </c>
      <c r="O165" s="1" t="n">
        <v>153560</v>
      </c>
      <c r="P165" s="1" t="n">
        <v>90.36</v>
      </c>
      <c r="Q165" s="1" t="s">
        <v>20</v>
      </c>
      <c r="R165" s="1" t="s">
        <v>27</v>
      </c>
      <c r="S165" s="1" t="s">
        <v>28</v>
      </c>
      <c r="T165" s="1" t="s">
        <v>29</v>
      </c>
    </row>
    <row r="166" customFormat="false" ht="18.7" hidden="false" customHeight="true" outlineLevel="0" collapsed="false">
      <c r="A166" s="1" t="n">
        <v>165</v>
      </c>
      <c r="B166" s="6" t="str">
        <f aca="false">HYPERLINK("https://mncourtfraud.com/file/MCRO_27-CR-18-18396_Notice of Remote Hearing with Instructions_2021-06-23_20240430092945.pdf","MCRO_27-CR-18-18396_Notice of Remote Hearing with Instructions_2021-06-23_20240430092945.pdf")</f>
        <v>MCRO_27-CR-18-18396_Notice of Remote Hearing with Instructions_2021-06-23_20240430092945.pdf</v>
      </c>
      <c r="C166" s="1" t="n">
        <v>3</v>
      </c>
      <c r="D166" s="1" t="n">
        <v>1</v>
      </c>
      <c r="E166" s="1" t="n">
        <v>1</v>
      </c>
      <c r="F166" s="3" t="s">
        <v>20</v>
      </c>
      <c r="G166" s="3" t="s">
        <v>742</v>
      </c>
      <c r="H166" s="1" t="s">
        <v>22</v>
      </c>
      <c r="I166" s="1" t="n">
        <v>20240430092945</v>
      </c>
      <c r="J166" s="3" t="s">
        <v>743</v>
      </c>
      <c r="K166" s="3" t="s">
        <v>744</v>
      </c>
      <c r="L166" s="3" t="s">
        <v>745</v>
      </c>
      <c r="M166" s="3" t="n">
        <v>693519</v>
      </c>
      <c r="N166" s="3" t="s">
        <v>746</v>
      </c>
      <c r="O166" s="1" t="n">
        <v>677133</v>
      </c>
      <c r="P166" s="1" t="n">
        <v>97.64</v>
      </c>
      <c r="Q166" s="1" t="s">
        <v>20</v>
      </c>
      <c r="R166" s="1" t="s">
        <v>27</v>
      </c>
      <c r="S166" s="1" t="s">
        <v>28</v>
      </c>
      <c r="T166" s="1" t="s">
        <v>29</v>
      </c>
    </row>
    <row r="167" customFormat="false" ht="18.7" hidden="false" customHeight="true" outlineLevel="0" collapsed="false">
      <c r="A167" s="1" t="n">
        <v>166</v>
      </c>
      <c r="B167" s="6" t="str">
        <f aca="false">HYPERLINK("https://mncourtfraud.com/file/MCRO_27-CR-18-18396_Notice of Remote Hearing with Instructions_2022-02-02_20240430092939.pdf","MCRO_27-CR-18-18396_Notice of Remote Hearing with Instructions_2022-02-02_20240430092939.pdf")</f>
        <v>MCRO_27-CR-18-18396_Notice of Remote Hearing with Instructions_2022-02-02_20240430092939.pdf</v>
      </c>
      <c r="C167" s="1" t="n">
        <v>5</v>
      </c>
      <c r="D167" s="1" t="n">
        <v>1</v>
      </c>
      <c r="E167" s="1" t="n">
        <v>1</v>
      </c>
      <c r="F167" s="3" t="s">
        <v>20</v>
      </c>
      <c r="G167" s="3" t="s">
        <v>747</v>
      </c>
      <c r="H167" s="1" t="s">
        <v>22</v>
      </c>
      <c r="I167" s="1" t="n">
        <v>20240430092939</v>
      </c>
      <c r="J167" s="3" t="s">
        <v>748</v>
      </c>
      <c r="K167" s="3" t="s">
        <v>749</v>
      </c>
      <c r="L167" s="3" t="s">
        <v>750</v>
      </c>
      <c r="M167" s="3" t="n">
        <v>310572</v>
      </c>
      <c r="N167" s="3" t="s">
        <v>751</v>
      </c>
      <c r="O167" s="1" t="n">
        <v>294186</v>
      </c>
      <c r="P167" s="1" t="n">
        <v>94.72</v>
      </c>
      <c r="Q167" s="1" t="s">
        <v>20</v>
      </c>
      <c r="R167" s="1" t="s">
        <v>27</v>
      </c>
      <c r="S167" s="1" t="s">
        <v>28</v>
      </c>
      <c r="T167" s="1" t="s">
        <v>29</v>
      </c>
    </row>
    <row r="168" customFormat="false" ht="18.7" hidden="false" customHeight="true" outlineLevel="0" collapsed="false">
      <c r="A168" s="1" t="n">
        <v>167</v>
      </c>
      <c r="B168" s="6" t="str">
        <f aca="false">HYPERLINK("https://mncourtfraud.com/file/MCRO_27-CR-18-18396_Notice of Remote Hearing with Instructions_2023-09-05_20240430092935.pdf","MCRO_27-CR-18-18396_Notice of Remote Hearing with Instructions_2023-09-05_20240430092935.pdf")</f>
        <v>MCRO_27-CR-18-18396_Notice of Remote Hearing with Instructions_2023-09-05_20240430092935.pdf</v>
      </c>
      <c r="C168" s="1" t="n">
        <v>5</v>
      </c>
      <c r="D168" s="1" t="n">
        <v>1</v>
      </c>
      <c r="E168" s="1" t="n">
        <v>1</v>
      </c>
      <c r="F168" s="3" t="s">
        <v>20</v>
      </c>
      <c r="G168" s="3" t="s">
        <v>752</v>
      </c>
      <c r="H168" s="1" t="s">
        <v>22</v>
      </c>
      <c r="I168" s="1" t="n">
        <v>20240430092935</v>
      </c>
      <c r="J168" s="3" t="s">
        <v>753</v>
      </c>
      <c r="K168" s="3" t="s">
        <v>754</v>
      </c>
      <c r="L168" s="3" t="s">
        <v>755</v>
      </c>
      <c r="M168" s="3" t="n">
        <v>903779</v>
      </c>
      <c r="N168" s="3" t="s">
        <v>366</v>
      </c>
      <c r="O168" s="1" t="n">
        <v>887393</v>
      </c>
      <c r="P168" s="1" t="n">
        <v>98.19</v>
      </c>
      <c r="Q168" s="1" t="s">
        <v>20</v>
      </c>
      <c r="R168" s="1" t="s">
        <v>27</v>
      </c>
      <c r="S168" s="1" t="s">
        <v>28</v>
      </c>
      <c r="T168" s="1" t="s">
        <v>29</v>
      </c>
    </row>
    <row r="169" customFormat="false" ht="18.7" hidden="false" customHeight="true" outlineLevel="0" collapsed="false">
      <c r="A169" s="1" t="n">
        <v>168</v>
      </c>
      <c r="B169" s="6" t="str">
        <f aca="false">HYPERLINK("https://mncourtfraud.com/file/MCRO_27-CR-18-18396_Notice of Remote Hearing with Instructions_2023-10-02_20240430092934.pdf","MCRO_27-CR-18-18396_Notice of Remote Hearing with Instructions_2023-10-02_20240430092934.pdf")</f>
        <v>MCRO_27-CR-18-18396_Notice of Remote Hearing with Instructions_2023-10-02_20240430092934.pdf</v>
      </c>
      <c r="C169" s="1" t="n">
        <v>5</v>
      </c>
      <c r="D169" s="1" t="n">
        <v>1</v>
      </c>
      <c r="E169" s="1" t="n">
        <v>1</v>
      </c>
      <c r="F169" s="3" t="s">
        <v>20</v>
      </c>
      <c r="G169" s="3" t="s">
        <v>756</v>
      </c>
      <c r="H169" s="1" t="s">
        <v>22</v>
      </c>
      <c r="I169" s="1" t="n">
        <v>20240430092934</v>
      </c>
      <c r="J169" s="3" t="s">
        <v>757</v>
      </c>
      <c r="K169" s="3" t="s">
        <v>758</v>
      </c>
      <c r="L169" s="3" t="s">
        <v>759</v>
      </c>
      <c r="M169" s="3" t="n">
        <v>845134</v>
      </c>
      <c r="N169" s="3" t="s">
        <v>510</v>
      </c>
      <c r="O169" s="1" t="n">
        <v>828748</v>
      </c>
      <c r="P169" s="1" t="n">
        <v>98.06</v>
      </c>
      <c r="Q169" s="1" t="s">
        <v>20</v>
      </c>
      <c r="R169" s="1" t="s">
        <v>27</v>
      </c>
      <c r="S169" s="1" t="s">
        <v>28</v>
      </c>
      <c r="T169" s="1" t="s">
        <v>29</v>
      </c>
    </row>
    <row r="170" customFormat="false" ht="18.7" hidden="false" customHeight="true" outlineLevel="0" collapsed="false">
      <c r="A170" s="1" t="n">
        <v>169</v>
      </c>
      <c r="B170" s="6" t="str">
        <f aca="false">HYPERLINK("https://mncourtfraud.com/file/MCRO_27-CR-18-18396_Objection to Referee_2024-02-07_20240430092930.pdf","MCRO_27-CR-18-18396_Objection to Referee_2024-02-07_20240430092930.pdf")</f>
        <v>MCRO_27-CR-18-18396_Objection to Referee_2024-02-07_20240430092930.pdf</v>
      </c>
      <c r="C170" s="1" t="n">
        <v>3</v>
      </c>
      <c r="D170" s="1" t="n">
        <v>1</v>
      </c>
      <c r="E170" s="1" t="n">
        <v>1</v>
      </c>
      <c r="F170" s="3" t="s">
        <v>20</v>
      </c>
      <c r="G170" s="3" t="s">
        <v>760</v>
      </c>
      <c r="H170" s="1" t="s">
        <v>22</v>
      </c>
      <c r="I170" s="1" t="n">
        <v>20240430092930</v>
      </c>
      <c r="J170" s="3" t="s">
        <v>761</v>
      </c>
      <c r="K170" s="3" t="s">
        <v>762</v>
      </c>
      <c r="L170" s="3" t="s">
        <v>763</v>
      </c>
      <c r="M170" s="3" t="n">
        <v>180500</v>
      </c>
      <c r="N170" s="3" t="s">
        <v>764</v>
      </c>
      <c r="O170" s="1" t="n">
        <v>164114</v>
      </c>
      <c r="P170" s="1" t="n">
        <v>90.92</v>
      </c>
      <c r="Q170" s="1" t="s">
        <v>20</v>
      </c>
      <c r="R170" s="1" t="s">
        <v>27</v>
      </c>
      <c r="S170" s="1" t="s">
        <v>28</v>
      </c>
      <c r="T170" s="1" t="s">
        <v>29</v>
      </c>
    </row>
    <row r="171" customFormat="false" ht="18.7" hidden="false" customHeight="true" outlineLevel="0" collapsed="false">
      <c r="A171" s="1" t="n">
        <v>170</v>
      </c>
      <c r="B171" s="6" t="str">
        <f aca="false">HYPERLINK("https://mncourtfraud.com/file/MCRO_27-CR-18-18396_Order-Evaluation for Competency to Proceed (Rule 20.01)_2018-08-21_20240430093001.pdf","MCRO_27-CR-18-18396_Order-Evaluation for Competency to Proceed (Rule 20.01)_2018-08-21_20240430093001.pdf")</f>
        <v>MCRO_27-CR-18-18396_Order-Evaluation for Competency to Proceed (Rule 20.01)_2018-08-21_20240430093001.pdf</v>
      </c>
      <c r="C171" s="1" t="n">
        <v>4</v>
      </c>
      <c r="D171" s="1" t="n">
        <v>1</v>
      </c>
      <c r="E171" s="1" t="n">
        <v>1</v>
      </c>
      <c r="F171" s="3" t="s">
        <v>20</v>
      </c>
      <c r="G171" s="3" t="s">
        <v>765</v>
      </c>
      <c r="H171" s="1" t="s">
        <v>22</v>
      </c>
      <c r="I171" s="1" t="n">
        <v>20240430093001</v>
      </c>
      <c r="J171" s="3" t="s">
        <v>766</v>
      </c>
      <c r="K171" s="3" t="s">
        <v>767</v>
      </c>
      <c r="L171" s="3" t="s">
        <v>768</v>
      </c>
      <c r="M171" s="3" t="n">
        <v>170054</v>
      </c>
      <c r="N171" s="3" t="s">
        <v>158</v>
      </c>
      <c r="O171" s="1" t="n">
        <v>153668</v>
      </c>
      <c r="P171" s="1" t="n">
        <v>90.36</v>
      </c>
      <c r="Q171" s="1" t="s">
        <v>20</v>
      </c>
      <c r="R171" s="1" t="s">
        <v>27</v>
      </c>
      <c r="S171" s="1" t="s">
        <v>28</v>
      </c>
      <c r="T171" s="1" t="s">
        <v>29</v>
      </c>
    </row>
    <row r="172" customFormat="false" ht="18.7" hidden="false" customHeight="true" outlineLevel="0" collapsed="false">
      <c r="A172" s="1" t="n">
        <v>171</v>
      </c>
      <c r="B172" s="6" t="str">
        <f aca="false">HYPERLINK("https://mncourtfraud.com/file/MCRO_27-CR-18-18396_Order-Evaluation for Competency to Proceed (Rule 20.01)_2018-12-28_20240430092957.pdf","MCRO_27-CR-18-18396_Order-Evaluation for Competency to Proceed (Rule 20.01)_2018-12-28_20240430092957.pdf")</f>
        <v>MCRO_27-CR-18-18396_Order-Evaluation for Competency to Proceed (Rule 20.01)_2018-12-28_20240430092957.pdf</v>
      </c>
      <c r="C172" s="1" t="n">
        <v>4</v>
      </c>
      <c r="D172" s="1" t="n">
        <v>1</v>
      </c>
      <c r="E172" s="1" t="n">
        <v>1</v>
      </c>
      <c r="F172" s="3" t="s">
        <v>20</v>
      </c>
      <c r="G172" s="3" t="s">
        <v>769</v>
      </c>
      <c r="H172" s="1" t="s">
        <v>22</v>
      </c>
      <c r="I172" s="1" t="n">
        <v>20240430092957</v>
      </c>
      <c r="J172" s="3" t="s">
        <v>770</v>
      </c>
      <c r="K172" s="3" t="s">
        <v>771</v>
      </c>
      <c r="L172" s="3" t="s">
        <v>772</v>
      </c>
      <c r="M172" s="3" t="n">
        <v>168402</v>
      </c>
      <c r="N172" s="3" t="s">
        <v>158</v>
      </c>
      <c r="O172" s="1" t="n">
        <v>152016</v>
      </c>
      <c r="P172" s="1" t="n">
        <v>90.27</v>
      </c>
      <c r="Q172" s="1" t="s">
        <v>20</v>
      </c>
      <c r="R172" s="1" t="s">
        <v>27</v>
      </c>
      <c r="S172" s="1" t="s">
        <v>28</v>
      </c>
      <c r="T172" s="1" t="s">
        <v>29</v>
      </c>
    </row>
    <row r="173" customFormat="false" ht="18.7" hidden="false" customHeight="true" outlineLevel="0" collapsed="false">
      <c r="A173" s="1" t="n">
        <v>172</v>
      </c>
      <c r="B173" s="6" t="str">
        <f aca="false">HYPERLINK("https://mncourtfraud.com/file/MCRO_27-CR-18-18396_Order-Evaluation for Competency to Proceed (Rule 20.01)_2019-08-01_20240430092955.pdf","MCRO_27-CR-18-18396_Order-Evaluation for Competency to Proceed (Rule 20.01)_2019-08-01_20240430092955.pdf")</f>
        <v>MCRO_27-CR-18-18396_Order-Evaluation for Competency to Proceed (Rule 20.01)_2019-08-01_20240430092955.pdf</v>
      </c>
      <c r="C173" s="1" t="n">
        <v>4</v>
      </c>
      <c r="D173" s="1" t="n">
        <v>1</v>
      </c>
      <c r="E173" s="1" t="n">
        <v>1</v>
      </c>
      <c r="F173" s="3" t="s">
        <v>20</v>
      </c>
      <c r="G173" s="3" t="s">
        <v>773</v>
      </c>
      <c r="H173" s="1" t="s">
        <v>22</v>
      </c>
      <c r="I173" s="1" t="n">
        <v>20240430092955</v>
      </c>
      <c r="J173" s="3" t="s">
        <v>774</v>
      </c>
      <c r="K173" s="3" t="s">
        <v>775</v>
      </c>
      <c r="L173" s="3" t="s">
        <v>776</v>
      </c>
      <c r="M173" s="3" t="n">
        <v>884588</v>
      </c>
      <c r="N173" s="3" t="s">
        <v>777</v>
      </c>
      <c r="O173" s="1" t="n">
        <v>868202</v>
      </c>
      <c r="P173" s="1" t="n">
        <v>98.15</v>
      </c>
      <c r="Q173" s="1" t="s">
        <v>20</v>
      </c>
      <c r="R173" s="1" t="s">
        <v>27</v>
      </c>
      <c r="S173" s="1" t="s">
        <v>28</v>
      </c>
      <c r="T173" s="1" t="s">
        <v>29</v>
      </c>
    </row>
    <row r="174" customFormat="false" ht="18.7" hidden="false" customHeight="true" outlineLevel="0" collapsed="false">
      <c r="A174" s="1" t="n">
        <v>173</v>
      </c>
      <c r="B174" s="6" t="str">
        <f aca="false">HYPERLINK("https://mncourtfraud.com/file/MCRO_27-CR-18-18396_Order-Evaluation for Competency to Proceed (Rule 20.01)_2020-03-05_20240430092953.pdf","MCRO_27-CR-18-18396_Order-Evaluation for Competency to Proceed (Rule 20.01)_2020-03-05_20240430092953.pdf")</f>
        <v>MCRO_27-CR-18-18396_Order-Evaluation for Competency to Proceed (Rule 20.01)_2020-03-05_20240430092953.pdf</v>
      </c>
      <c r="C174" s="1" t="n">
        <v>4</v>
      </c>
      <c r="D174" s="1" t="n">
        <v>1</v>
      </c>
      <c r="E174" s="1" t="n">
        <v>1</v>
      </c>
      <c r="F174" s="3" t="s">
        <v>20</v>
      </c>
      <c r="G174" s="3" t="s">
        <v>778</v>
      </c>
      <c r="H174" s="1" t="s">
        <v>22</v>
      </c>
      <c r="I174" s="1" t="n">
        <v>20240430092953</v>
      </c>
      <c r="J174" s="3" t="s">
        <v>779</v>
      </c>
      <c r="K174" s="3" t="s">
        <v>780</v>
      </c>
      <c r="L174" s="3" t="s">
        <v>781</v>
      </c>
      <c r="M174" s="3" t="n">
        <v>173838</v>
      </c>
      <c r="N174" s="3" t="s">
        <v>158</v>
      </c>
      <c r="O174" s="1" t="n">
        <v>157452</v>
      </c>
      <c r="P174" s="1" t="n">
        <v>90.57</v>
      </c>
      <c r="Q174" s="1" t="s">
        <v>20</v>
      </c>
      <c r="R174" s="1" t="s">
        <v>27</v>
      </c>
      <c r="S174" s="1" t="s">
        <v>28</v>
      </c>
      <c r="T174" s="1" t="s">
        <v>29</v>
      </c>
    </row>
    <row r="175" customFormat="false" ht="18.7" hidden="false" customHeight="true" outlineLevel="0" collapsed="false">
      <c r="A175" s="1" t="n">
        <v>174</v>
      </c>
      <c r="B175" s="6" t="str">
        <f aca="false">HYPERLINK("https://mncourtfraud.com/file/MCRO_27-CR-18-18396_Order-Evaluation for Competency to Proceed (Rule 20.01)_2020-08-24_20240430092949.pdf","MCRO_27-CR-18-18396_Order-Evaluation for Competency to Proceed (Rule 20.01)_2020-08-24_20240430092949.pdf")</f>
        <v>MCRO_27-CR-18-18396_Order-Evaluation for Competency to Proceed (Rule 20.01)_2020-08-24_20240430092949.pdf</v>
      </c>
      <c r="C175" s="1" t="n">
        <v>3</v>
      </c>
      <c r="D175" s="1" t="n">
        <v>1</v>
      </c>
      <c r="E175" s="1" t="n">
        <v>1</v>
      </c>
      <c r="F175" s="3" t="s">
        <v>20</v>
      </c>
      <c r="G175" s="3" t="s">
        <v>782</v>
      </c>
      <c r="H175" s="1" t="s">
        <v>22</v>
      </c>
      <c r="I175" s="1" t="n">
        <v>20240430092949</v>
      </c>
      <c r="J175" s="3" t="s">
        <v>783</v>
      </c>
      <c r="K175" s="3" t="s">
        <v>784</v>
      </c>
      <c r="L175" s="3" t="s">
        <v>785</v>
      </c>
      <c r="M175" s="3" t="n">
        <v>481747</v>
      </c>
      <c r="N175" s="3" t="s">
        <v>786</v>
      </c>
      <c r="O175" s="1" t="n">
        <v>465361</v>
      </c>
      <c r="P175" s="1" t="n">
        <v>96.6</v>
      </c>
      <c r="Q175" s="1" t="s">
        <v>20</v>
      </c>
      <c r="R175" s="1" t="s">
        <v>27</v>
      </c>
      <c r="S175" s="1" t="s">
        <v>28</v>
      </c>
      <c r="T175" s="1" t="s">
        <v>29</v>
      </c>
    </row>
    <row r="176" customFormat="false" ht="18.7" hidden="false" customHeight="true" outlineLevel="0" collapsed="false">
      <c r="A176" s="1" t="n">
        <v>175</v>
      </c>
      <c r="B176" s="6" t="str">
        <f aca="false">HYPERLINK("https://mncourtfraud.com/file/MCRO_27-CR-18-18396_Order-Evaluation for Competency to Proceed (Rule 20.01)_2021-03-01_20240430092947.pdf","MCRO_27-CR-18-18396_Order-Evaluation for Competency to Proceed (Rule 20.01)_2021-03-01_20240430092947.pdf")</f>
        <v>MCRO_27-CR-18-18396_Order-Evaluation for Competency to Proceed (Rule 20.01)_2021-03-01_20240430092947.pdf</v>
      </c>
      <c r="C176" s="1" t="n">
        <v>3</v>
      </c>
      <c r="D176" s="1" t="n">
        <v>1</v>
      </c>
      <c r="E176" s="1" t="n">
        <v>1</v>
      </c>
      <c r="F176" s="3" t="s">
        <v>20</v>
      </c>
      <c r="G176" s="3" t="s">
        <v>787</v>
      </c>
      <c r="H176" s="1" t="s">
        <v>22</v>
      </c>
      <c r="I176" s="1" t="n">
        <v>20240430092947</v>
      </c>
      <c r="J176" s="3" t="s">
        <v>788</v>
      </c>
      <c r="K176" s="3" t="s">
        <v>789</v>
      </c>
      <c r="L176" s="3" t="s">
        <v>790</v>
      </c>
      <c r="M176" s="3" t="n">
        <v>320246</v>
      </c>
      <c r="N176" s="3" t="s">
        <v>791</v>
      </c>
      <c r="O176" s="1" t="n">
        <v>303860</v>
      </c>
      <c r="P176" s="1" t="n">
        <v>94.88</v>
      </c>
      <c r="Q176" s="1" t="s">
        <v>20</v>
      </c>
      <c r="R176" s="1" t="s">
        <v>27</v>
      </c>
      <c r="S176" s="1" t="s">
        <v>28</v>
      </c>
      <c r="T176" s="1" t="s">
        <v>29</v>
      </c>
    </row>
    <row r="177" customFormat="false" ht="18.7" hidden="false" customHeight="true" outlineLevel="0" collapsed="false">
      <c r="A177" s="1" t="n">
        <v>176</v>
      </c>
      <c r="B177" s="6" t="str">
        <f aca="false">HYPERLINK("https://mncourtfraud.com/file/MCRO_27-CR-18-18396_Order-Evaluation for Competency to Proceed (Rule 20.01)_2021-06-23_20240430092946.pdf","MCRO_27-CR-18-18396_Order-Evaluation for Competency to Proceed (Rule 20.01)_2021-06-23_20240430092946.pdf")</f>
        <v>MCRO_27-CR-18-18396_Order-Evaluation for Competency to Proceed (Rule 20.01)_2021-06-23_20240430092946.pdf</v>
      </c>
      <c r="C177" s="1" t="n">
        <v>3</v>
      </c>
      <c r="D177" s="1" t="n">
        <v>1</v>
      </c>
      <c r="E177" s="1" t="n">
        <v>1</v>
      </c>
      <c r="F177" s="3" t="s">
        <v>20</v>
      </c>
      <c r="G177" s="3" t="s">
        <v>792</v>
      </c>
      <c r="H177" s="1" t="s">
        <v>22</v>
      </c>
      <c r="I177" s="1" t="n">
        <v>20240430092946</v>
      </c>
      <c r="J177" s="3" t="s">
        <v>793</v>
      </c>
      <c r="K177" s="3" t="s">
        <v>794</v>
      </c>
      <c r="L177" s="3" t="s">
        <v>795</v>
      </c>
      <c r="M177" s="3" t="n">
        <v>453514</v>
      </c>
      <c r="N177" s="3" t="s">
        <v>796</v>
      </c>
      <c r="O177" s="1" t="n">
        <v>437128</v>
      </c>
      <c r="P177" s="1" t="n">
        <v>96.39</v>
      </c>
      <c r="Q177" s="1" t="s">
        <v>20</v>
      </c>
      <c r="R177" s="1" t="s">
        <v>27</v>
      </c>
      <c r="S177" s="1" t="s">
        <v>28</v>
      </c>
      <c r="T177" s="1" t="s">
        <v>29</v>
      </c>
    </row>
    <row r="178" customFormat="false" ht="18.7" hidden="false" customHeight="true" outlineLevel="0" collapsed="false">
      <c r="A178" s="1" t="n">
        <v>177</v>
      </c>
      <c r="B178" s="6" t="str">
        <f aca="false">HYPERLINK("https://mncourtfraud.com/file/MCRO_27-CR-18-18396_Order-Evaluation for Competency to Proceed (Rule 20.01)_2021-12-30_20240430092940.pdf","MCRO_27-CR-18-18396_Order-Evaluation for Competency to Proceed (Rule 20.01)_2021-12-30_20240430092940.pdf")</f>
        <v>MCRO_27-CR-18-18396_Order-Evaluation for Competency to Proceed (Rule 20.01)_2021-12-30_20240430092940.pdf</v>
      </c>
      <c r="C178" s="1" t="n">
        <v>3</v>
      </c>
      <c r="D178" s="1" t="n">
        <v>1</v>
      </c>
      <c r="E178" s="1" t="n">
        <v>1</v>
      </c>
      <c r="F178" s="3" t="s">
        <v>20</v>
      </c>
      <c r="G178" s="3" t="s">
        <v>797</v>
      </c>
      <c r="H178" s="1" t="s">
        <v>22</v>
      </c>
      <c r="I178" s="1" t="n">
        <v>20240430092940</v>
      </c>
      <c r="J178" s="3" t="s">
        <v>798</v>
      </c>
      <c r="K178" s="3" t="s">
        <v>799</v>
      </c>
      <c r="L178" s="3" t="s">
        <v>800</v>
      </c>
      <c r="M178" s="3" t="n">
        <v>256605</v>
      </c>
      <c r="N178" s="3" t="s">
        <v>801</v>
      </c>
      <c r="O178" s="1" t="n">
        <v>240219</v>
      </c>
      <c r="P178" s="1" t="n">
        <v>93.61</v>
      </c>
      <c r="Q178" s="1" t="s">
        <v>20</v>
      </c>
      <c r="R178" s="1" t="s">
        <v>27</v>
      </c>
      <c r="S178" s="1" t="s">
        <v>28</v>
      </c>
      <c r="T178" s="1" t="s">
        <v>29</v>
      </c>
    </row>
    <row r="179" customFormat="false" ht="18.7" hidden="false" customHeight="true" outlineLevel="0" collapsed="false">
      <c r="A179" s="1" t="n">
        <v>178</v>
      </c>
      <c r="B179" s="6" t="str">
        <f aca="false">HYPERLINK("https://mncourtfraud.com/file/MCRO_27-CR-18-18396_Order-Evaluation for Competency to Proceed (Rule 20.01)_2022-06-14_20240430092937.pdf","MCRO_27-CR-18-18396_Order-Evaluation for Competency to Proceed (Rule 20.01)_2022-06-14_20240430092937.pdf")</f>
        <v>MCRO_27-CR-18-18396_Order-Evaluation for Competency to Proceed (Rule 20.01)_2022-06-14_20240430092937.pdf</v>
      </c>
      <c r="C179" s="1" t="n">
        <v>6</v>
      </c>
      <c r="D179" s="1" t="n">
        <v>1</v>
      </c>
      <c r="E179" s="1" t="n">
        <v>1</v>
      </c>
      <c r="F179" s="3" t="s">
        <v>20</v>
      </c>
      <c r="G179" s="3" t="s">
        <v>802</v>
      </c>
      <c r="H179" s="1" t="s">
        <v>22</v>
      </c>
      <c r="I179" s="1" t="n">
        <v>20240430092937</v>
      </c>
      <c r="J179" s="3" t="s">
        <v>803</v>
      </c>
      <c r="K179" s="3" t="s">
        <v>804</v>
      </c>
      <c r="L179" s="3" t="s">
        <v>805</v>
      </c>
      <c r="M179" s="3" t="n">
        <v>953518</v>
      </c>
      <c r="N179" s="3" t="s">
        <v>660</v>
      </c>
      <c r="O179" s="1" t="n">
        <v>937132</v>
      </c>
      <c r="P179" s="1" t="n">
        <v>98.28</v>
      </c>
      <c r="Q179" s="1" t="s">
        <v>20</v>
      </c>
      <c r="R179" s="1" t="s">
        <v>27</v>
      </c>
      <c r="S179" s="1" t="s">
        <v>28</v>
      </c>
      <c r="T179" s="1" t="s">
        <v>29</v>
      </c>
    </row>
    <row r="180" customFormat="false" ht="18.7" hidden="false" customHeight="true" outlineLevel="0" collapsed="false">
      <c r="A180" s="1" t="n">
        <v>179</v>
      </c>
      <c r="B180" s="6" t="str">
        <f aca="false">HYPERLINK("https://mncourtfraud.com/file/MCRO_27-CR-18-18396_Order-Evaluation for Competency to Proceed (Rule 20.01)_2023-06-28_20240430092936.pdf","MCRO_27-CR-18-18396_Order-Evaluation for Competency to Proceed (Rule 20.01)_2023-06-28_20240430092936.pdf")</f>
        <v>MCRO_27-CR-18-18396_Order-Evaluation for Competency to Proceed (Rule 20.01)_2023-06-28_20240430092936.pdf</v>
      </c>
      <c r="C180" s="1" t="n">
        <v>6</v>
      </c>
      <c r="D180" s="1" t="n">
        <v>2</v>
      </c>
      <c r="E180" s="1" t="n">
        <v>2</v>
      </c>
      <c r="F180" s="3" t="s">
        <v>27</v>
      </c>
      <c r="G180" s="3" t="s">
        <v>806</v>
      </c>
      <c r="H180" s="1" t="s">
        <v>22</v>
      </c>
      <c r="I180" s="1" t="n">
        <v>20240430092936</v>
      </c>
      <c r="J180" s="3" t="s">
        <v>807</v>
      </c>
      <c r="K180" s="3" t="s">
        <v>808</v>
      </c>
      <c r="L180" s="3" t="s">
        <v>809</v>
      </c>
      <c r="M180" s="3" t="n">
        <v>892357</v>
      </c>
      <c r="N180" s="3" t="s">
        <v>810</v>
      </c>
      <c r="O180" s="1" t="n">
        <v>875971</v>
      </c>
      <c r="P180" s="1" t="n">
        <v>98.16</v>
      </c>
      <c r="Q180" s="1" t="s">
        <v>20</v>
      </c>
      <c r="R180" s="1" t="s">
        <v>27</v>
      </c>
      <c r="S180" s="1" t="s">
        <v>28</v>
      </c>
      <c r="T180" s="1" t="s">
        <v>29</v>
      </c>
    </row>
    <row r="181" customFormat="false" ht="18.7" hidden="false" customHeight="true" outlineLevel="0" collapsed="false">
      <c r="A181" s="1" t="n">
        <v>180</v>
      </c>
      <c r="B181" s="6" t="str">
        <f aca="false">HYPERLINK("https://mncourtfraud.com/file/MCRO_27-CR-18-18396_Order for Conditional Release_2018-07-24_20240430093007.pdf","MCRO_27-CR-18-18396_Order for Conditional Release_2018-07-24_20240430093007.pdf")</f>
        <v>MCRO_27-CR-18-18396_Order for Conditional Release_2018-07-24_20240430093007.pdf</v>
      </c>
      <c r="C181" s="1" t="n">
        <v>4</v>
      </c>
      <c r="D181" s="1" t="n">
        <v>1</v>
      </c>
      <c r="E181" s="1" t="n">
        <v>1</v>
      </c>
      <c r="F181" s="3" t="s">
        <v>20</v>
      </c>
      <c r="G181" s="3" t="s">
        <v>811</v>
      </c>
      <c r="H181" s="1" t="s">
        <v>22</v>
      </c>
      <c r="I181" s="1" t="n">
        <v>20240430093007</v>
      </c>
      <c r="J181" s="3" t="s">
        <v>812</v>
      </c>
      <c r="K181" s="3" t="s">
        <v>813</v>
      </c>
      <c r="L181" s="3" t="s">
        <v>814</v>
      </c>
      <c r="M181" s="3" t="n">
        <v>171094</v>
      </c>
      <c r="N181" s="3" t="s">
        <v>119</v>
      </c>
      <c r="O181" s="1" t="n">
        <v>154708</v>
      </c>
      <c r="P181" s="1" t="n">
        <v>90.42</v>
      </c>
      <c r="Q181" s="1" t="s">
        <v>20</v>
      </c>
      <c r="R181" s="1" t="s">
        <v>27</v>
      </c>
      <c r="S181" s="1" t="s">
        <v>28</v>
      </c>
      <c r="T181" s="1" t="s">
        <v>29</v>
      </c>
    </row>
    <row r="182" customFormat="false" ht="18.7" hidden="false" customHeight="true" outlineLevel="0" collapsed="false">
      <c r="A182" s="1" t="n">
        <v>181</v>
      </c>
      <c r="B182" s="6" t="str">
        <f aca="false">HYPERLINK("https://mncourtfraud.com/file/MCRO_27-CR-18-18396_Returned Mail_2020-05-07_20240430092951.pdf","MCRO_27-CR-18-18396_Returned Mail_2020-05-07_20240430092951.pdf")</f>
        <v>MCRO_27-CR-18-18396_Returned Mail_2020-05-07_20240430092951.pdf</v>
      </c>
      <c r="C182" s="1" t="n">
        <v>4</v>
      </c>
      <c r="D182" s="1" t="n">
        <v>1</v>
      </c>
      <c r="E182" s="1" t="n">
        <v>1</v>
      </c>
      <c r="F182" s="3" t="s">
        <v>20</v>
      </c>
      <c r="G182" s="3" t="s">
        <v>815</v>
      </c>
      <c r="H182" s="1" t="s">
        <v>22</v>
      </c>
      <c r="I182" s="1" t="n">
        <v>20240430092951</v>
      </c>
      <c r="J182" s="3" t="s">
        <v>706</v>
      </c>
      <c r="K182" s="3" t="s">
        <v>707</v>
      </c>
      <c r="L182" s="3" t="s">
        <v>816</v>
      </c>
      <c r="M182" s="3" t="n">
        <v>94702</v>
      </c>
      <c r="N182" s="3" t="s">
        <v>137</v>
      </c>
      <c r="O182" s="1" t="n">
        <v>78316</v>
      </c>
      <c r="P182" s="1" t="n">
        <v>82.7</v>
      </c>
      <c r="Q182" s="1" t="s">
        <v>20</v>
      </c>
      <c r="R182" s="1" t="s">
        <v>27</v>
      </c>
      <c r="S182" s="1" t="s">
        <v>28</v>
      </c>
      <c r="T182" s="1" t="s">
        <v>29</v>
      </c>
    </row>
    <row r="183" customFormat="false" ht="18.7" hidden="false" customHeight="true" outlineLevel="0" collapsed="false">
      <c r="A183" s="1" t="n">
        <v>182</v>
      </c>
      <c r="B183" s="6" t="str">
        <f aca="false">HYPERLINK("https://mncourtfraud.com/file/MCRO_27-CR-18-18396_Returned Mail_2021-07-06_20240430092944.pdf","MCRO_27-CR-18-18396_Returned Mail_2021-07-06_20240430092944.pdf")</f>
        <v>MCRO_27-CR-18-18396_Returned Mail_2021-07-06_20240430092944.pdf</v>
      </c>
      <c r="C183" s="1" t="n">
        <v>4</v>
      </c>
      <c r="D183" s="1" t="n">
        <v>1</v>
      </c>
      <c r="E183" s="1" t="n">
        <v>1</v>
      </c>
      <c r="F183" s="3" t="s">
        <v>20</v>
      </c>
      <c r="G183" s="3" t="s">
        <v>817</v>
      </c>
      <c r="H183" s="1" t="s">
        <v>22</v>
      </c>
      <c r="I183" s="1" t="n">
        <v>20240430092944</v>
      </c>
      <c r="J183" s="3" t="s">
        <v>818</v>
      </c>
      <c r="K183" s="3" t="s">
        <v>819</v>
      </c>
      <c r="L183" s="3" t="s">
        <v>820</v>
      </c>
      <c r="M183" s="3" t="n">
        <v>121500</v>
      </c>
      <c r="N183" s="3" t="s">
        <v>456</v>
      </c>
      <c r="O183" s="1" t="n">
        <v>105114</v>
      </c>
      <c r="P183" s="1" t="n">
        <v>86.51</v>
      </c>
      <c r="Q183" s="1" t="s">
        <v>20</v>
      </c>
      <c r="R183" s="1" t="s">
        <v>27</v>
      </c>
      <c r="S183" s="1" t="s">
        <v>28</v>
      </c>
      <c r="T183" s="1" t="s">
        <v>29</v>
      </c>
    </row>
    <row r="184" customFormat="false" ht="18.7" hidden="false" customHeight="true" outlineLevel="0" collapsed="false">
      <c r="A184" s="1" t="n">
        <v>183</v>
      </c>
      <c r="B184" s="6" t="str">
        <f aca="false">HYPERLINK("https://mncourtfraud.com/file/MCRO_27-CR-18-18396_Returned Mail_2021-09-28_20240430092941.pdf","MCRO_27-CR-18-18396_Returned Mail_2021-09-28_20240430092941.pdf")</f>
        <v>MCRO_27-CR-18-18396_Returned Mail_2021-09-28_20240430092941.pdf</v>
      </c>
      <c r="C184" s="1" t="n">
        <v>4</v>
      </c>
      <c r="D184" s="1" t="n">
        <v>1</v>
      </c>
      <c r="E184" s="1" t="n">
        <v>1</v>
      </c>
      <c r="F184" s="3" t="s">
        <v>20</v>
      </c>
      <c r="G184" s="3" t="s">
        <v>821</v>
      </c>
      <c r="H184" s="1" t="s">
        <v>22</v>
      </c>
      <c r="I184" s="1" t="n">
        <v>20240430092941</v>
      </c>
      <c r="J184" s="3" t="s">
        <v>822</v>
      </c>
      <c r="K184" s="3" t="s">
        <v>823</v>
      </c>
      <c r="L184" s="3" t="s">
        <v>824</v>
      </c>
      <c r="M184" s="3" t="n">
        <v>278628</v>
      </c>
      <c r="N184" s="3" t="s">
        <v>456</v>
      </c>
      <c r="O184" s="1" t="n">
        <v>262242</v>
      </c>
      <c r="P184" s="1" t="n">
        <v>94.12</v>
      </c>
      <c r="Q184" s="1" t="s">
        <v>20</v>
      </c>
      <c r="R184" s="1" t="s">
        <v>27</v>
      </c>
      <c r="S184" s="1" t="s">
        <v>28</v>
      </c>
      <c r="T184" s="1" t="s">
        <v>29</v>
      </c>
    </row>
    <row r="185" customFormat="false" ht="18.7" hidden="false" customHeight="true" outlineLevel="0" collapsed="false">
      <c r="A185" s="1" t="n">
        <v>184</v>
      </c>
      <c r="B185" s="6" t="str">
        <f aca="false">HYPERLINK("https://mncourtfraud.com/file/MCRO_27-CR-18-18396_Returned Mail_2022-05-03_20240430092938.pdf","MCRO_27-CR-18-18396_Returned Mail_2022-05-03_20240430092938.pdf")</f>
        <v>MCRO_27-CR-18-18396_Returned Mail_2022-05-03_20240430092938.pdf</v>
      </c>
      <c r="C185" s="1" t="n">
        <v>4</v>
      </c>
      <c r="D185" s="1" t="n">
        <v>1</v>
      </c>
      <c r="E185" s="1" t="n">
        <v>1</v>
      </c>
      <c r="F185" s="3" t="s">
        <v>20</v>
      </c>
      <c r="G185" s="3" t="s">
        <v>825</v>
      </c>
      <c r="H185" s="1" t="s">
        <v>22</v>
      </c>
      <c r="I185" s="1" t="n">
        <v>20240430092938</v>
      </c>
      <c r="J185" s="3" t="s">
        <v>826</v>
      </c>
      <c r="K185" s="3" t="s">
        <v>827</v>
      </c>
      <c r="L185" s="3" t="s">
        <v>828</v>
      </c>
      <c r="M185" s="3" t="n">
        <v>91392</v>
      </c>
      <c r="N185" s="3" t="s">
        <v>456</v>
      </c>
      <c r="O185" s="1" t="n">
        <v>75006</v>
      </c>
      <c r="P185" s="1" t="n">
        <v>82.07</v>
      </c>
      <c r="Q185" s="1" t="s">
        <v>20</v>
      </c>
      <c r="R185" s="1" t="s">
        <v>27</v>
      </c>
      <c r="S185" s="1" t="s">
        <v>28</v>
      </c>
      <c r="T185" s="1" t="s">
        <v>29</v>
      </c>
    </row>
    <row r="186" customFormat="false" ht="18.7" hidden="false" customHeight="true" outlineLevel="0" collapsed="false">
      <c r="A186" s="1" t="n">
        <v>185</v>
      </c>
      <c r="B186" s="6" t="str">
        <f aca="false">HYPERLINK("https://mncourtfraud.com/file/MCRO_27-CR-18-19274_Correspondence_2018-09-07_20240430093109.pdf","MCRO_27-CR-18-19274_Correspondence_2018-09-07_20240430093109.pdf")</f>
        <v>MCRO_27-CR-18-19274_Correspondence_2018-09-07_20240430093109.pdf</v>
      </c>
      <c r="C186" s="1" t="n">
        <v>4</v>
      </c>
      <c r="D186" s="1" t="n">
        <v>1</v>
      </c>
      <c r="E186" s="1" t="n">
        <v>1</v>
      </c>
      <c r="F186" s="3" t="s">
        <v>20</v>
      </c>
      <c r="G186" s="3" t="s">
        <v>829</v>
      </c>
      <c r="H186" s="1" t="s">
        <v>22</v>
      </c>
      <c r="I186" s="1" t="n">
        <v>20240430093109</v>
      </c>
      <c r="J186" s="3" t="s">
        <v>830</v>
      </c>
      <c r="K186" s="3" t="s">
        <v>831</v>
      </c>
      <c r="L186" s="3" t="s">
        <v>832</v>
      </c>
      <c r="M186" s="3" t="n">
        <v>139523</v>
      </c>
      <c r="N186" s="3" t="s">
        <v>128</v>
      </c>
      <c r="O186" s="1" t="n">
        <v>123137</v>
      </c>
      <c r="P186" s="1" t="n">
        <v>88.26</v>
      </c>
      <c r="Q186" s="1" t="s">
        <v>20</v>
      </c>
      <c r="R186" s="1" t="s">
        <v>27</v>
      </c>
      <c r="S186" s="1" t="s">
        <v>28</v>
      </c>
      <c r="T186" s="1" t="s">
        <v>29</v>
      </c>
    </row>
    <row r="187" customFormat="false" ht="18.7" hidden="false" customHeight="true" outlineLevel="0" collapsed="false">
      <c r="A187" s="1" t="n">
        <v>186</v>
      </c>
      <c r="B187" s="6" t="str">
        <f aca="false">HYPERLINK("https://mncourtfraud.com/file/MCRO_27-CR-18-19274_Correspondence_2018-12-12_20240430093108.pdf","MCRO_27-CR-18-19274_Correspondence_2018-12-12_20240430093108.pdf")</f>
        <v>MCRO_27-CR-18-19274_Correspondence_2018-12-12_20240430093108.pdf</v>
      </c>
      <c r="C187" s="1" t="n">
        <v>4</v>
      </c>
      <c r="D187" s="1" t="n">
        <v>1</v>
      </c>
      <c r="E187" s="1" t="n">
        <v>1</v>
      </c>
      <c r="F187" s="3" t="s">
        <v>20</v>
      </c>
      <c r="G187" s="3" t="s">
        <v>833</v>
      </c>
      <c r="H187" s="1" t="s">
        <v>22</v>
      </c>
      <c r="I187" s="1" t="n">
        <v>20240430093108</v>
      </c>
      <c r="J187" s="3" t="s">
        <v>834</v>
      </c>
      <c r="K187" s="3" t="s">
        <v>835</v>
      </c>
      <c r="L187" s="3" t="s">
        <v>836</v>
      </c>
      <c r="M187" s="3" t="n">
        <v>121834</v>
      </c>
      <c r="N187" s="3" t="s">
        <v>128</v>
      </c>
      <c r="O187" s="1" t="n">
        <v>105448</v>
      </c>
      <c r="P187" s="1" t="n">
        <v>86.55</v>
      </c>
      <c r="Q187" s="1" t="s">
        <v>20</v>
      </c>
      <c r="R187" s="1" t="s">
        <v>27</v>
      </c>
      <c r="S187" s="1" t="s">
        <v>28</v>
      </c>
      <c r="T187" s="1" t="s">
        <v>29</v>
      </c>
    </row>
    <row r="188" customFormat="false" ht="18.7" hidden="false" customHeight="true" outlineLevel="0" collapsed="false">
      <c r="A188" s="1" t="n">
        <v>187</v>
      </c>
      <c r="B188" s="6" t="str">
        <f aca="false">HYPERLINK("https://mncourtfraud.com/file/MCRO_27-CR-18-19274_Correspondence_2019-01-30_20240430093106.pdf","MCRO_27-CR-18-19274_Correspondence_2019-01-30_20240430093106.pdf")</f>
        <v>MCRO_27-CR-18-19274_Correspondence_2019-01-30_20240430093106.pdf</v>
      </c>
      <c r="C188" s="1" t="n">
        <v>3</v>
      </c>
      <c r="D188" s="1" t="n">
        <v>1</v>
      </c>
      <c r="E188" s="1" t="n">
        <v>1</v>
      </c>
      <c r="F188" s="3" t="s">
        <v>20</v>
      </c>
      <c r="G188" s="3" t="s">
        <v>837</v>
      </c>
      <c r="H188" s="1" t="s">
        <v>22</v>
      </c>
      <c r="I188" s="1" t="n">
        <v>20240430093106</v>
      </c>
      <c r="J188" s="3" t="s">
        <v>838</v>
      </c>
      <c r="K188" s="3" t="s">
        <v>839</v>
      </c>
      <c r="L188" s="3" t="s">
        <v>840</v>
      </c>
      <c r="M188" s="3" t="n">
        <v>166046</v>
      </c>
      <c r="N188" s="3" t="s">
        <v>764</v>
      </c>
      <c r="O188" s="1" t="n">
        <v>149660</v>
      </c>
      <c r="P188" s="1" t="n">
        <v>90.13</v>
      </c>
      <c r="Q188" s="1" t="s">
        <v>20</v>
      </c>
      <c r="R188" s="1" t="s">
        <v>27</v>
      </c>
      <c r="S188" s="1" t="s">
        <v>28</v>
      </c>
      <c r="T188" s="1" t="s">
        <v>29</v>
      </c>
    </row>
    <row r="189" customFormat="false" ht="18.7" hidden="false" customHeight="true" outlineLevel="0" collapsed="false">
      <c r="A189" s="1" t="n">
        <v>188</v>
      </c>
      <c r="B189" s="6" t="str">
        <f aca="false">HYPERLINK("https://mncourtfraud.com/file/MCRO_27-CR-18-19274_Correspondence_2019-02-06_20240430093105.pdf","MCRO_27-CR-18-19274_Correspondence_2019-02-06_20240430093105.pdf")</f>
        <v>MCRO_27-CR-18-19274_Correspondence_2019-02-06_20240430093105.pdf</v>
      </c>
      <c r="C189" s="1" t="n">
        <v>4</v>
      </c>
      <c r="D189" s="1" t="n">
        <v>1</v>
      </c>
      <c r="E189" s="1" t="n">
        <v>1</v>
      </c>
      <c r="F189" s="3" t="s">
        <v>20</v>
      </c>
      <c r="G189" s="3" t="s">
        <v>841</v>
      </c>
      <c r="H189" s="1" t="s">
        <v>22</v>
      </c>
      <c r="I189" s="1" t="n">
        <v>20240430093105</v>
      </c>
      <c r="J189" s="3" t="s">
        <v>842</v>
      </c>
      <c r="K189" s="3" t="s">
        <v>843</v>
      </c>
      <c r="L189" s="3" t="s">
        <v>844</v>
      </c>
      <c r="M189" s="3" t="n">
        <v>114781</v>
      </c>
      <c r="N189" s="3" t="s">
        <v>137</v>
      </c>
      <c r="O189" s="1" t="n">
        <v>98395</v>
      </c>
      <c r="P189" s="1" t="n">
        <v>85.72</v>
      </c>
      <c r="Q189" s="1" t="s">
        <v>20</v>
      </c>
      <c r="R189" s="1" t="s">
        <v>27</v>
      </c>
      <c r="S189" s="1" t="s">
        <v>28</v>
      </c>
      <c r="T189" s="1" t="s">
        <v>29</v>
      </c>
    </row>
    <row r="190" customFormat="false" ht="18.7" hidden="false" customHeight="true" outlineLevel="0" collapsed="false">
      <c r="A190" s="1" t="n">
        <v>189</v>
      </c>
      <c r="B190" s="6" t="str">
        <f aca="false">HYPERLINK("https://mncourtfraud.com/file/MCRO_27-CR-18-19274_Correspondence for Judicial Approval_2019-09-05_20240430093102.pdf","MCRO_27-CR-18-19274_Correspondence for Judicial Approval_2019-09-05_20240430093102.pdf")</f>
        <v>MCRO_27-CR-18-19274_Correspondence for Judicial Approval_2019-09-05_20240430093102.pdf</v>
      </c>
      <c r="C190" s="1" t="n">
        <v>3</v>
      </c>
      <c r="D190" s="1" t="n">
        <v>1</v>
      </c>
      <c r="E190" s="1" t="n">
        <v>1</v>
      </c>
      <c r="F190" s="3" t="s">
        <v>20</v>
      </c>
      <c r="G190" s="3" t="s">
        <v>845</v>
      </c>
      <c r="H190" s="1" t="s">
        <v>22</v>
      </c>
      <c r="I190" s="1" t="n">
        <v>20240430093102</v>
      </c>
      <c r="J190" s="3" t="s">
        <v>846</v>
      </c>
      <c r="K190" s="3" t="s">
        <v>847</v>
      </c>
      <c r="L190" s="3" t="s">
        <v>848</v>
      </c>
      <c r="M190" s="3" t="n">
        <v>433282</v>
      </c>
      <c r="N190" s="3" t="s">
        <v>849</v>
      </c>
      <c r="O190" s="1" t="n">
        <v>416896</v>
      </c>
      <c r="P190" s="1" t="n">
        <v>96.22</v>
      </c>
      <c r="Q190" s="1" t="s">
        <v>20</v>
      </c>
      <c r="R190" s="1" t="s">
        <v>27</v>
      </c>
      <c r="S190" s="1" t="s">
        <v>28</v>
      </c>
      <c r="T190" s="1" t="s">
        <v>29</v>
      </c>
    </row>
    <row r="191" customFormat="false" ht="18.7" hidden="false" customHeight="true" outlineLevel="0" collapsed="false">
      <c r="A191" s="1" t="n">
        <v>190</v>
      </c>
      <c r="B191" s="6" t="str">
        <f aca="false">HYPERLINK("https://mncourtfraud.com/file/MCRO_27-CR-18-19274_Correspondence for Judicial Approval_2021-01-25_20240430093052.pdf","MCRO_27-CR-18-19274_Correspondence for Judicial Approval_2021-01-25_20240430093052.pdf")</f>
        <v>MCRO_27-CR-18-19274_Correspondence for Judicial Approval_2021-01-25_20240430093052.pdf</v>
      </c>
      <c r="C191" s="1" t="n">
        <v>4</v>
      </c>
      <c r="D191" s="1" t="n">
        <v>1</v>
      </c>
      <c r="E191" s="1" t="n">
        <v>1</v>
      </c>
      <c r="F191" s="3" t="s">
        <v>20</v>
      </c>
      <c r="G191" s="3" t="s">
        <v>850</v>
      </c>
      <c r="H191" s="1" t="s">
        <v>22</v>
      </c>
      <c r="I191" s="1" t="n">
        <v>20240430093052</v>
      </c>
      <c r="J191" s="3" t="s">
        <v>851</v>
      </c>
      <c r="K191" s="3" t="s">
        <v>852</v>
      </c>
      <c r="L191" s="3" t="s">
        <v>853</v>
      </c>
      <c r="M191" s="3" t="n">
        <v>206092</v>
      </c>
      <c r="N191" s="3" t="s">
        <v>854</v>
      </c>
      <c r="O191" s="1" t="n">
        <v>189706</v>
      </c>
      <c r="P191" s="1" t="n">
        <v>92.05</v>
      </c>
      <c r="Q191" s="1" t="s">
        <v>20</v>
      </c>
      <c r="R191" s="1" t="s">
        <v>27</v>
      </c>
      <c r="S191" s="1" t="s">
        <v>28</v>
      </c>
      <c r="T191" s="1" t="s">
        <v>29</v>
      </c>
    </row>
    <row r="192" customFormat="false" ht="18.7" hidden="false" customHeight="true" outlineLevel="0" collapsed="false">
      <c r="A192" s="1" t="n">
        <v>191</v>
      </c>
      <c r="B192" s="6" t="str">
        <f aca="false">HYPERLINK("https://mncourtfraud.com/file/MCRO_27-CR-18-19274_Demand or Request for Discovery_2018-08-10_20240430093111.pdf","MCRO_27-CR-18-19274_Demand or Request for Discovery_2018-08-10_20240430093111.pdf")</f>
        <v>MCRO_27-CR-18-19274_Demand or Request for Discovery_2018-08-10_20240430093111.pdf</v>
      </c>
      <c r="C192" s="1" t="n">
        <v>3</v>
      </c>
      <c r="D192" s="1" t="n">
        <v>1</v>
      </c>
      <c r="E192" s="1" t="n">
        <v>1</v>
      </c>
      <c r="F192" s="3" t="s">
        <v>20</v>
      </c>
      <c r="G192" s="3" t="s">
        <v>855</v>
      </c>
      <c r="H192" s="1" t="s">
        <v>22</v>
      </c>
      <c r="I192" s="1" t="n">
        <v>20240430093111</v>
      </c>
      <c r="J192" s="3" t="s">
        <v>856</v>
      </c>
      <c r="K192" s="3" t="s">
        <v>857</v>
      </c>
      <c r="L192" s="3" t="s">
        <v>858</v>
      </c>
      <c r="M192" s="3" t="n">
        <v>544957</v>
      </c>
      <c r="N192" s="3" t="s">
        <v>34</v>
      </c>
      <c r="O192" s="1" t="n">
        <v>528571</v>
      </c>
      <c r="P192" s="1" t="n">
        <v>96.99</v>
      </c>
      <c r="Q192" s="1" t="s">
        <v>20</v>
      </c>
      <c r="R192" s="1" t="s">
        <v>27</v>
      </c>
      <c r="S192" s="1" t="s">
        <v>28</v>
      </c>
      <c r="T192" s="1" t="s">
        <v>29</v>
      </c>
    </row>
    <row r="193" customFormat="false" ht="18.7" hidden="false" customHeight="true" outlineLevel="0" collapsed="false">
      <c r="A193" s="1" t="n">
        <v>192</v>
      </c>
      <c r="B193" s="6" t="str">
        <f aca="false">HYPERLINK("https://mncourtfraud.com/file/MCRO_27-CR-18-19274_E-filed Comp-Warrant_2018-08-02_20240430093114.pdf","MCRO_27-CR-18-19274_E-filed Comp-Warrant_2018-08-02_20240430093114.pdf")</f>
        <v>MCRO_27-CR-18-19274_E-filed Comp-Warrant_2018-08-02_20240430093114.pdf</v>
      </c>
      <c r="C193" s="1" t="n">
        <v>5</v>
      </c>
      <c r="D193" s="1" t="n">
        <v>2</v>
      </c>
      <c r="E193" s="1" t="n">
        <v>2</v>
      </c>
      <c r="F193" s="3" t="s">
        <v>20</v>
      </c>
      <c r="G193" s="3" t="s">
        <v>859</v>
      </c>
      <c r="H193" s="1" t="s">
        <v>22</v>
      </c>
      <c r="I193" s="1" t="n">
        <v>20240430093114</v>
      </c>
      <c r="J193" s="3" t="s">
        <v>860</v>
      </c>
      <c r="K193" s="3" t="s">
        <v>861</v>
      </c>
      <c r="L193" s="3" t="s">
        <v>862</v>
      </c>
      <c r="M193" s="3" t="n">
        <v>408788</v>
      </c>
      <c r="N193" s="3" t="s">
        <v>863</v>
      </c>
      <c r="O193" s="1" t="n">
        <v>392402</v>
      </c>
      <c r="P193" s="1" t="n">
        <v>95.99</v>
      </c>
      <c r="Q193" s="1" t="s">
        <v>20</v>
      </c>
      <c r="R193" s="1" t="s">
        <v>27</v>
      </c>
      <c r="S193" s="1" t="s">
        <v>28</v>
      </c>
      <c r="T193" s="1" t="s">
        <v>29</v>
      </c>
    </row>
    <row r="194" customFormat="false" ht="18.7" hidden="false" customHeight="true" outlineLevel="0" collapsed="false">
      <c r="A194" s="1" t="n">
        <v>193</v>
      </c>
      <c r="B194" s="6" t="str">
        <f aca="false">HYPERLINK("https://mncourtfraud.com/file/MCRO_27-CR-18-19274_Exhibit List_2022-12-13_20240430093038.pdf","MCRO_27-CR-18-19274_Exhibit List_2022-12-13_20240430093038.pdf")</f>
        <v>MCRO_27-CR-18-19274_Exhibit List_2022-12-13_20240430093038.pdf</v>
      </c>
      <c r="C194" s="1" t="n">
        <v>4</v>
      </c>
      <c r="D194" s="1" t="n">
        <v>1</v>
      </c>
      <c r="E194" s="1" t="n">
        <v>1</v>
      </c>
      <c r="F194" s="3" t="s">
        <v>20</v>
      </c>
      <c r="G194" s="3" t="s">
        <v>864</v>
      </c>
      <c r="H194" s="1" t="s">
        <v>22</v>
      </c>
      <c r="I194" s="1" t="n">
        <v>20240430093038</v>
      </c>
      <c r="J194" s="3" t="s">
        <v>865</v>
      </c>
      <c r="K194" s="3" t="s">
        <v>866</v>
      </c>
      <c r="L194" s="3" t="s">
        <v>867</v>
      </c>
      <c r="M194" s="3" t="n">
        <v>779871</v>
      </c>
      <c r="N194" s="3" t="s">
        <v>158</v>
      </c>
      <c r="O194" s="1" t="n">
        <v>763485</v>
      </c>
      <c r="P194" s="1" t="n">
        <v>97.9</v>
      </c>
      <c r="Q194" s="1" t="s">
        <v>20</v>
      </c>
      <c r="R194" s="1" t="s">
        <v>27</v>
      </c>
      <c r="S194" s="1" t="s">
        <v>28</v>
      </c>
      <c r="T194" s="1" t="s">
        <v>29</v>
      </c>
    </row>
    <row r="195" customFormat="false" ht="18.7" hidden="false" customHeight="true" outlineLevel="0" collapsed="false">
      <c r="A195" s="1" t="n">
        <v>194</v>
      </c>
      <c r="B195" s="6" t="str">
        <f aca="false">HYPERLINK("https://mncourtfraud.com/file/MCRO_27-CR-18-19274_Findings of Fact, Conclusions of Law and Order_2020-09-04_20240430093054.pdf","MCRO_27-CR-18-19274_Findings of Fact, Conclusions of Law and Order_2020-09-04_20240430093054.pdf")</f>
        <v>MCRO_27-CR-18-19274_Findings of Fact, Conclusions of Law and Order_2020-09-04_20240430093054.pdf</v>
      </c>
      <c r="C195" s="1" t="n">
        <v>3</v>
      </c>
      <c r="D195" s="1" t="n">
        <v>1</v>
      </c>
      <c r="E195" s="1" t="n">
        <v>1</v>
      </c>
      <c r="F195" s="3" t="s">
        <v>20</v>
      </c>
      <c r="G195" s="3" t="s">
        <v>868</v>
      </c>
      <c r="H195" s="1" t="s">
        <v>22</v>
      </c>
      <c r="I195" s="1" t="n">
        <v>20240430093054</v>
      </c>
      <c r="J195" s="3" t="s">
        <v>869</v>
      </c>
      <c r="K195" s="3" t="s">
        <v>870</v>
      </c>
      <c r="L195" s="3" t="s">
        <v>871</v>
      </c>
      <c r="M195" s="3" t="n">
        <v>377341</v>
      </c>
      <c r="N195" s="3" t="s">
        <v>872</v>
      </c>
      <c r="O195" s="1" t="n">
        <v>360955</v>
      </c>
      <c r="P195" s="1" t="n">
        <v>95.66</v>
      </c>
      <c r="Q195" s="1" t="s">
        <v>20</v>
      </c>
      <c r="R195" s="1" t="s">
        <v>27</v>
      </c>
      <c r="S195" s="1" t="s">
        <v>28</v>
      </c>
      <c r="T195" s="1" t="s">
        <v>29</v>
      </c>
    </row>
    <row r="196" customFormat="false" ht="18.7" hidden="false" customHeight="true" outlineLevel="0" collapsed="false">
      <c r="A196" s="1" t="n">
        <v>195</v>
      </c>
      <c r="B196" s="6" t="str">
        <f aca="false">HYPERLINK("https://mncourtfraud.com/file/MCRO_27-CR-18-19274_Findings of Fact, Conclusions of Law and Order_2022-02-25_20240430093042.pdf","MCRO_27-CR-18-19274_Findings of Fact, Conclusions of Law and Order_2022-02-25_20240430093042.pdf")</f>
        <v>MCRO_27-CR-18-19274_Findings of Fact, Conclusions of Law and Order_2022-02-25_20240430093042.pdf</v>
      </c>
      <c r="C196" s="1" t="n">
        <v>3</v>
      </c>
      <c r="D196" s="1" t="n">
        <v>1</v>
      </c>
      <c r="E196" s="1" t="n">
        <v>1</v>
      </c>
      <c r="F196" s="3" t="s">
        <v>20</v>
      </c>
      <c r="G196" s="3" t="s">
        <v>873</v>
      </c>
      <c r="H196" s="1" t="s">
        <v>22</v>
      </c>
      <c r="I196" s="1" t="n">
        <v>20240430093042</v>
      </c>
      <c r="J196" s="3" t="s">
        <v>874</v>
      </c>
      <c r="K196" s="3" t="s">
        <v>875</v>
      </c>
      <c r="L196" s="3" t="s">
        <v>876</v>
      </c>
      <c r="M196" s="3" t="n">
        <v>434186</v>
      </c>
      <c r="N196" s="3" t="s">
        <v>877</v>
      </c>
      <c r="O196" s="1" t="n">
        <v>417800</v>
      </c>
      <c r="P196" s="1" t="n">
        <v>96.23</v>
      </c>
      <c r="Q196" s="1" t="s">
        <v>20</v>
      </c>
      <c r="R196" s="1" t="s">
        <v>27</v>
      </c>
      <c r="S196" s="1" t="s">
        <v>28</v>
      </c>
      <c r="T196" s="1" t="s">
        <v>29</v>
      </c>
    </row>
    <row r="197" customFormat="false" ht="18.7" hidden="false" customHeight="true" outlineLevel="0" collapsed="false">
      <c r="A197" s="1" t="n">
        <v>196</v>
      </c>
      <c r="B197" s="6" t="str">
        <f aca="false">HYPERLINK("https://mncourtfraud.com/file/MCRO_27-CR-18-19274_Notice of Appearance_2019-08-27_20240430093104.pdf","MCRO_27-CR-18-19274_Notice of Appearance_2019-08-27_20240430093104.pdf")</f>
        <v>MCRO_27-CR-18-19274_Notice of Appearance_2019-08-27_20240430093104.pdf</v>
      </c>
      <c r="C197" s="1" t="n">
        <v>4</v>
      </c>
      <c r="D197" s="1" t="n">
        <v>1</v>
      </c>
      <c r="E197" s="1" t="n">
        <v>1</v>
      </c>
      <c r="F197" s="3" t="s">
        <v>20</v>
      </c>
      <c r="G197" s="3" t="s">
        <v>878</v>
      </c>
      <c r="H197" s="1" t="s">
        <v>22</v>
      </c>
      <c r="I197" s="1" t="n">
        <v>20240430093104</v>
      </c>
      <c r="J197" s="3" t="s">
        <v>842</v>
      </c>
      <c r="K197" s="3" t="s">
        <v>843</v>
      </c>
      <c r="L197" s="3" t="s">
        <v>879</v>
      </c>
      <c r="M197" s="3" t="n">
        <v>419691</v>
      </c>
      <c r="N197" s="3" t="s">
        <v>435</v>
      </c>
      <c r="O197" s="1" t="n">
        <v>403305</v>
      </c>
      <c r="P197" s="1" t="n">
        <v>96.1</v>
      </c>
      <c r="Q197" s="1" t="s">
        <v>20</v>
      </c>
      <c r="R197" s="1" t="s">
        <v>27</v>
      </c>
      <c r="S197" s="1" t="s">
        <v>28</v>
      </c>
      <c r="T197" s="1" t="s">
        <v>29</v>
      </c>
    </row>
    <row r="198" customFormat="false" ht="18.7" hidden="false" customHeight="true" outlineLevel="0" collapsed="false">
      <c r="A198" s="1" t="n">
        <v>197</v>
      </c>
      <c r="B198" s="6" t="str">
        <f aca="false">HYPERLINK("https://mncourtfraud.com/file/MCRO_27-CR-18-19274_Notice of Appearance_2019-10-29_20240430093100.pdf","MCRO_27-CR-18-19274_Notice of Appearance_2019-10-29_20240430093100.pdf")</f>
        <v>MCRO_27-CR-18-19274_Notice of Appearance_2019-10-29_20240430093100.pdf</v>
      </c>
      <c r="C198" s="1" t="n">
        <v>4</v>
      </c>
      <c r="D198" s="1" t="n">
        <v>1</v>
      </c>
      <c r="E198" s="1" t="n">
        <v>1</v>
      </c>
      <c r="F198" s="3" t="s">
        <v>20</v>
      </c>
      <c r="G198" s="3" t="s">
        <v>880</v>
      </c>
      <c r="H198" s="1" t="s">
        <v>22</v>
      </c>
      <c r="I198" s="1" t="n">
        <v>20240430093100</v>
      </c>
      <c r="J198" s="3" t="s">
        <v>881</v>
      </c>
      <c r="K198" s="3" t="s">
        <v>882</v>
      </c>
      <c r="L198" s="3" t="s">
        <v>883</v>
      </c>
      <c r="M198" s="3" t="n">
        <v>453422</v>
      </c>
      <c r="N198" s="3" t="s">
        <v>435</v>
      </c>
      <c r="O198" s="1" t="n">
        <v>437036</v>
      </c>
      <c r="P198" s="1" t="n">
        <v>96.39</v>
      </c>
      <c r="Q198" s="1" t="s">
        <v>20</v>
      </c>
      <c r="R198" s="1" t="s">
        <v>27</v>
      </c>
      <c r="S198" s="1" t="s">
        <v>28</v>
      </c>
      <c r="T198" s="1" t="s">
        <v>29</v>
      </c>
    </row>
    <row r="199" customFormat="false" ht="18.7" hidden="false" customHeight="true" outlineLevel="0" collapsed="false">
      <c r="A199" s="1" t="n">
        <v>198</v>
      </c>
      <c r="B199" s="6" t="str">
        <f aca="false">HYPERLINK("https://mncourtfraud.com/file/MCRO_27-CR-18-19274_Notice of Appearance_2020-04-22_20240430093058.pdf","MCRO_27-CR-18-19274_Notice of Appearance_2020-04-22_20240430093058.pdf")</f>
        <v>MCRO_27-CR-18-19274_Notice of Appearance_2020-04-22_20240430093058.pdf</v>
      </c>
      <c r="C199" s="1" t="n">
        <v>4</v>
      </c>
      <c r="D199" s="1" t="n">
        <v>1</v>
      </c>
      <c r="E199" s="1" t="n">
        <v>1</v>
      </c>
      <c r="F199" s="3" t="s">
        <v>20</v>
      </c>
      <c r="G199" s="3" t="s">
        <v>884</v>
      </c>
      <c r="H199" s="1" t="s">
        <v>22</v>
      </c>
      <c r="I199" s="1" t="n">
        <v>20240430093058</v>
      </c>
      <c r="J199" s="3" t="s">
        <v>885</v>
      </c>
      <c r="K199" s="3" t="s">
        <v>886</v>
      </c>
      <c r="L199" s="3" t="s">
        <v>887</v>
      </c>
      <c r="M199" s="3" t="n">
        <v>107837</v>
      </c>
      <c r="N199" s="3" t="s">
        <v>137</v>
      </c>
      <c r="O199" s="1" t="n">
        <v>91451</v>
      </c>
      <c r="P199" s="1" t="n">
        <v>84.8</v>
      </c>
      <c r="Q199" s="1" t="s">
        <v>20</v>
      </c>
      <c r="R199" s="1" t="s">
        <v>27</v>
      </c>
      <c r="S199" s="1" t="s">
        <v>28</v>
      </c>
      <c r="T199" s="1" t="s">
        <v>29</v>
      </c>
    </row>
    <row r="200" customFormat="false" ht="18.7" hidden="false" customHeight="true" outlineLevel="0" collapsed="false">
      <c r="A200" s="1" t="n">
        <v>199</v>
      </c>
      <c r="B200" s="6" t="str">
        <f aca="false">HYPERLINK("https://mncourtfraud.com/file/MCRO_27-CR-18-19274_Notice of Hearing_2020-08-06_20240430093055.pdf","MCRO_27-CR-18-19274_Notice of Hearing_2020-08-06_20240430093055.pdf")</f>
        <v>MCRO_27-CR-18-19274_Notice of Hearing_2020-08-06_20240430093055.pdf</v>
      </c>
      <c r="C200" s="1" t="n">
        <v>4</v>
      </c>
      <c r="D200" s="1" t="n">
        <v>1</v>
      </c>
      <c r="E200" s="1" t="n">
        <v>1</v>
      </c>
      <c r="F200" s="3" t="s">
        <v>20</v>
      </c>
      <c r="G200" s="3" t="s">
        <v>888</v>
      </c>
      <c r="H200" s="1" t="s">
        <v>22</v>
      </c>
      <c r="I200" s="1" t="n">
        <v>20240430093055</v>
      </c>
      <c r="J200" s="3" t="s">
        <v>889</v>
      </c>
      <c r="K200" s="3" t="s">
        <v>890</v>
      </c>
      <c r="L200" s="3" t="s">
        <v>891</v>
      </c>
      <c r="M200" s="3" t="n">
        <v>108614</v>
      </c>
      <c r="N200" s="3" t="s">
        <v>892</v>
      </c>
      <c r="O200" s="1" t="n">
        <v>92228</v>
      </c>
      <c r="P200" s="1" t="n">
        <v>84.91</v>
      </c>
      <c r="Q200" s="1" t="s">
        <v>20</v>
      </c>
      <c r="R200" s="1" t="s">
        <v>27</v>
      </c>
      <c r="S200" s="1" t="s">
        <v>28</v>
      </c>
      <c r="T200" s="1" t="s">
        <v>29</v>
      </c>
    </row>
    <row r="201" customFormat="false" ht="18.7" hidden="false" customHeight="true" outlineLevel="0" collapsed="false">
      <c r="A201" s="1" t="n">
        <v>200</v>
      </c>
      <c r="B201" s="6" t="str">
        <f aca="false">HYPERLINK("https://mncourtfraud.com/file/MCRO_27-CR-18-19274_Notice of Hearing_2020-09-09_20240430093053.pdf","MCRO_27-CR-18-19274_Notice of Hearing_2020-09-09_20240430093053.pdf")</f>
        <v>MCRO_27-CR-18-19274_Notice of Hearing_2020-09-09_20240430093053.pdf</v>
      </c>
      <c r="C201" s="1" t="n">
        <v>4</v>
      </c>
      <c r="D201" s="1" t="n">
        <v>1</v>
      </c>
      <c r="E201" s="1" t="n">
        <v>1</v>
      </c>
      <c r="F201" s="3" t="s">
        <v>20</v>
      </c>
      <c r="G201" s="3" t="s">
        <v>893</v>
      </c>
      <c r="H201" s="1" t="s">
        <v>22</v>
      </c>
      <c r="I201" s="1" t="n">
        <v>20240430093053</v>
      </c>
      <c r="J201" s="3" t="s">
        <v>894</v>
      </c>
      <c r="K201" s="3" t="s">
        <v>895</v>
      </c>
      <c r="L201" s="3" t="s">
        <v>896</v>
      </c>
      <c r="M201" s="3" t="n">
        <v>89062</v>
      </c>
      <c r="N201" s="3" t="s">
        <v>137</v>
      </c>
      <c r="O201" s="1" t="n">
        <v>72676</v>
      </c>
      <c r="P201" s="1" t="n">
        <v>81.6</v>
      </c>
      <c r="Q201" s="1" t="s">
        <v>20</v>
      </c>
      <c r="R201" s="1" t="s">
        <v>27</v>
      </c>
      <c r="S201" s="1" t="s">
        <v>28</v>
      </c>
      <c r="T201" s="1" t="s">
        <v>29</v>
      </c>
    </row>
    <row r="202" customFormat="false" ht="18.7" hidden="false" customHeight="true" outlineLevel="0" collapsed="false">
      <c r="A202" s="1" t="n">
        <v>201</v>
      </c>
      <c r="B202" s="6" t="str">
        <f aca="false">HYPERLINK("https://mncourtfraud.com/file/MCRO_27-CR-18-19274_Notice of Hearing_2021-09-16_20240430093047.pdf","MCRO_27-CR-18-19274_Notice of Hearing_2021-09-16_20240430093047.pdf")</f>
        <v>MCRO_27-CR-18-19274_Notice of Hearing_2021-09-16_20240430093047.pdf</v>
      </c>
      <c r="C202" s="1" t="n">
        <v>4</v>
      </c>
      <c r="D202" s="1" t="n">
        <v>1</v>
      </c>
      <c r="E202" s="1" t="n">
        <v>1</v>
      </c>
      <c r="F202" s="3" t="s">
        <v>20</v>
      </c>
      <c r="G202" s="3" t="s">
        <v>897</v>
      </c>
      <c r="H202" s="1" t="s">
        <v>22</v>
      </c>
      <c r="I202" s="1" t="n">
        <v>20240430093047</v>
      </c>
      <c r="J202" s="3" t="s">
        <v>898</v>
      </c>
      <c r="K202" s="3" t="s">
        <v>899</v>
      </c>
      <c r="L202" s="3" t="s">
        <v>900</v>
      </c>
      <c r="M202" s="3" t="n">
        <v>97307</v>
      </c>
      <c r="N202" s="3" t="s">
        <v>456</v>
      </c>
      <c r="O202" s="1" t="n">
        <v>80921</v>
      </c>
      <c r="P202" s="1" t="n">
        <v>83.16</v>
      </c>
      <c r="Q202" s="1" t="s">
        <v>20</v>
      </c>
      <c r="R202" s="1" t="s">
        <v>27</v>
      </c>
      <c r="S202" s="1" t="s">
        <v>28</v>
      </c>
      <c r="T202" s="1" t="s">
        <v>29</v>
      </c>
    </row>
    <row r="203" customFormat="false" ht="18.7" hidden="false" customHeight="true" outlineLevel="0" collapsed="false">
      <c r="A203" s="1" t="n">
        <v>202</v>
      </c>
      <c r="B203" s="6" t="str">
        <f aca="false">HYPERLINK("https://mncourtfraud.com/file/MCRO_27-CR-18-19274_Notice of Hearing_2021-12-01_20240430093046.pdf","MCRO_27-CR-18-19274_Notice of Hearing_2021-12-01_20240430093046.pdf")</f>
        <v>MCRO_27-CR-18-19274_Notice of Hearing_2021-12-01_20240430093046.pdf</v>
      </c>
      <c r="C203" s="1" t="n">
        <v>4</v>
      </c>
      <c r="D203" s="1" t="n">
        <v>1</v>
      </c>
      <c r="E203" s="1" t="n">
        <v>1</v>
      </c>
      <c r="F203" s="3" t="s">
        <v>20</v>
      </c>
      <c r="G203" s="3" t="s">
        <v>901</v>
      </c>
      <c r="H203" s="1" t="s">
        <v>22</v>
      </c>
      <c r="I203" s="1" t="n">
        <v>20240430093046</v>
      </c>
      <c r="J203" s="3" t="s">
        <v>902</v>
      </c>
      <c r="K203" s="3" t="s">
        <v>903</v>
      </c>
      <c r="L203" s="3" t="s">
        <v>904</v>
      </c>
      <c r="M203" s="3" t="n">
        <v>97834</v>
      </c>
      <c r="N203" s="3" t="s">
        <v>456</v>
      </c>
      <c r="O203" s="1" t="n">
        <v>81448</v>
      </c>
      <c r="P203" s="1" t="n">
        <v>83.25</v>
      </c>
      <c r="Q203" s="1" t="s">
        <v>20</v>
      </c>
      <c r="R203" s="1" t="s">
        <v>27</v>
      </c>
      <c r="S203" s="1" t="s">
        <v>28</v>
      </c>
      <c r="T203" s="1" t="s">
        <v>29</v>
      </c>
    </row>
    <row r="204" customFormat="false" ht="18.7" hidden="false" customHeight="true" outlineLevel="0" collapsed="false">
      <c r="A204" s="1" t="n">
        <v>203</v>
      </c>
      <c r="B204" s="6" t="str">
        <f aca="false">HYPERLINK("https://mncourtfraud.com/file/MCRO_27-CR-18-19274_Notice of Hearing_2022-01-05_20240430093043.pdf","MCRO_27-CR-18-19274_Notice of Hearing_2022-01-05_20240430093043.pdf")</f>
        <v>MCRO_27-CR-18-19274_Notice of Hearing_2022-01-05_20240430093043.pdf</v>
      </c>
      <c r="C204" s="1" t="n">
        <v>4</v>
      </c>
      <c r="D204" s="1" t="n">
        <v>1</v>
      </c>
      <c r="E204" s="1" t="n">
        <v>1</v>
      </c>
      <c r="F204" s="3" t="s">
        <v>20</v>
      </c>
      <c r="G204" s="3" t="s">
        <v>905</v>
      </c>
      <c r="H204" s="1" t="s">
        <v>22</v>
      </c>
      <c r="I204" s="1" t="n">
        <v>20240430093043</v>
      </c>
      <c r="J204" s="3" t="s">
        <v>906</v>
      </c>
      <c r="K204" s="3" t="s">
        <v>907</v>
      </c>
      <c r="L204" s="3" t="s">
        <v>908</v>
      </c>
      <c r="M204" s="3" t="n">
        <v>123142</v>
      </c>
      <c r="N204" s="3" t="s">
        <v>104</v>
      </c>
      <c r="O204" s="1" t="n">
        <v>106756</v>
      </c>
      <c r="P204" s="1" t="n">
        <v>86.69</v>
      </c>
      <c r="Q204" s="1" t="s">
        <v>20</v>
      </c>
      <c r="R204" s="1" t="s">
        <v>27</v>
      </c>
      <c r="S204" s="1" t="s">
        <v>28</v>
      </c>
      <c r="T204" s="1" t="s">
        <v>29</v>
      </c>
    </row>
    <row r="205" customFormat="false" ht="18.7" hidden="false" customHeight="true" outlineLevel="0" collapsed="false">
      <c r="A205" s="1" t="n">
        <v>204</v>
      </c>
      <c r="B205" s="6" t="str">
        <f aca="false">HYPERLINK("https://mncourtfraud.com/file/MCRO_27-CR-18-19274_Notice of Intent to Prosecute_2021-04-07_20240430093049.pdf","MCRO_27-CR-18-19274_Notice of Intent to Prosecute_2021-04-07_20240430093049.pdf")</f>
        <v>MCRO_27-CR-18-19274_Notice of Intent to Prosecute_2021-04-07_20240430093049.pdf</v>
      </c>
      <c r="C205" s="1" t="n">
        <v>4</v>
      </c>
      <c r="D205" s="1" t="n">
        <v>1</v>
      </c>
      <c r="E205" s="1" t="n">
        <v>1</v>
      </c>
      <c r="F205" s="3" t="s">
        <v>20</v>
      </c>
      <c r="G205" s="3" t="s">
        <v>909</v>
      </c>
      <c r="H205" s="1" t="s">
        <v>22</v>
      </c>
      <c r="I205" s="1" t="n">
        <v>20240430093049</v>
      </c>
      <c r="J205" s="3" t="s">
        <v>910</v>
      </c>
      <c r="K205" s="3" t="s">
        <v>911</v>
      </c>
      <c r="L205" s="3" t="s">
        <v>912</v>
      </c>
      <c r="M205" s="3" t="n">
        <v>314917</v>
      </c>
      <c r="N205" s="3" t="s">
        <v>913</v>
      </c>
      <c r="O205" s="1" t="n">
        <v>298531</v>
      </c>
      <c r="P205" s="1" t="n">
        <v>94.8</v>
      </c>
      <c r="Q205" s="1" t="s">
        <v>20</v>
      </c>
      <c r="R205" s="1" t="s">
        <v>27</v>
      </c>
      <c r="S205" s="1" t="s">
        <v>28</v>
      </c>
      <c r="T205" s="1" t="s">
        <v>29</v>
      </c>
    </row>
    <row r="206" customFormat="false" ht="18.7" hidden="false" customHeight="true" outlineLevel="0" collapsed="false">
      <c r="A206" s="1" t="n">
        <v>205</v>
      </c>
      <c r="B206" s="6" t="str">
        <f aca="false">HYPERLINK("https://mncourtfraud.com/file/MCRO_27-CR-18-19274_Notice of Remote Hearing with Instructions_2022-03-02_20240430093041.pdf","MCRO_27-CR-18-19274_Notice of Remote Hearing with Instructions_2022-03-02_20240430093041.pdf")</f>
        <v>MCRO_27-CR-18-19274_Notice of Remote Hearing with Instructions_2022-03-02_20240430093041.pdf</v>
      </c>
      <c r="C206" s="1" t="n">
        <v>3</v>
      </c>
      <c r="D206" s="1" t="n">
        <v>1</v>
      </c>
      <c r="E206" s="1" t="n">
        <v>1</v>
      </c>
      <c r="F206" s="3" t="s">
        <v>20</v>
      </c>
      <c r="G206" s="3" t="s">
        <v>914</v>
      </c>
      <c r="H206" s="1" t="s">
        <v>22</v>
      </c>
      <c r="I206" s="1" t="n">
        <v>20240430093041</v>
      </c>
      <c r="J206" s="3" t="s">
        <v>915</v>
      </c>
      <c r="K206" s="3" t="s">
        <v>916</v>
      </c>
      <c r="L206" s="3" t="s">
        <v>917</v>
      </c>
      <c r="M206" s="3" t="n">
        <v>256366</v>
      </c>
      <c r="N206" s="3" t="s">
        <v>660</v>
      </c>
      <c r="O206" s="1" t="n">
        <v>239980</v>
      </c>
      <c r="P206" s="1" t="n">
        <v>93.61</v>
      </c>
      <c r="Q206" s="1" t="s">
        <v>20</v>
      </c>
      <c r="R206" s="1" t="s">
        <v>27</v>
      </c>
      <c r="S206" s="1" t="s">
        <v>28</v>
      </c>
      <c r="T206" s="1" t="s">
        <v>29</v>
      </c>
    </row>
    <row r="207" customFormat="false" ht="18.7" hidden="false" customHeight="true" outlineLevel="0" collapsed="false">
      <c r="A207" s="1" t="n">
        <v>206</v>
      </c>
      <c r="B207" s="6" t="str">
        <f aca="false">HYPERLINK("https://mncourtfraud.com/file/MCRO_27-CR-18-19274_Notice of Remote Hearing with Instructions_2022-04-25_20240430093040.pdf","MCRO_27-CR-18-19274_Notice of Remote Hearing with Instructions_2022-04-25_20240430093040.pdf")</f>
        <v>MCRO_27-CR-18-19274_Notice of Remote Hearing with Instructions_2022-04-25_20240430093040.pdf</v>
      </c>
      <c r="C207" s="1" t="n">
        <v>4</v>
      </c>
      <c r="D207" s="1" t="n">
        <v>1</v>
      </c>
      <c r="E207" s="1" t="n">
        <v>1</v>
      </c>
      <c r="F207" s="3" t="s">
        <v>20</v>
      </c>
      <c r="G207" s="3" t="s">
        <v>918</v>
      </c>
      <c r="H207" s="1" t="s">
        <v>22</v>
      </c>
      <c r="I207" s="1" t="n">
        <v>20240430093040</v>
      </c>
      <c r="J207" s="3" t="s">
        <v>919</v>
      </c>
      <c r="K207" s="3" t="s">
        <v>920</v>
      </c>
      <c r="L207" s="3" t="s">
        <v>921</v>
      </c>
      <c r="M207" s="3" t="n">
        <v>758328</v>
      </c>
      <c r="N207" s="3" t="s">
        <v>922</v>
      </c>
      <c r="O207" s="1" t="n">
        <v>741942</v>
      </c>
      <c r="P207" s="1" t="n">
        <v>97.84</v>
      </c>
      <c r="Q207" s="1" t="s">
        <v>20</v>
      </c>
      <c r="R207" s="1" t="s">
        <v>27</v>
      </c>
      <c r="S207" s="1" t="s">
        <v>28</v>
      </c>
      <c r="T207" s="1" t="s">
        <v>29</v>
      </c>
    </row>
    <row r="208" customFormat="false" ht="18.7" hidden="false" customHeight="true" outlineLevel="0" collapsed="false">
      <c r="A208" s="1" t="n">
        <v>207</v>
      </c>
      <c r="B208" s="6" t="str">
        <f aca="false">HYPERLINK("https://mncourtfraud.com/file/MCRO_27-CR-18-19274_Notice of Remote Hearing with Instructions_2023-03-24_20240430093037.pdf","MCRO_27-CR-18-19274_Notice of Remote Hearing with Instructions_2023-03-24_20240430093037.pdf")</f>
        <v>MCRO_27-CR-18-19274_Notice of Remote Hearing with Instructions_2023-03-24_20240430093037.pdf</v>
      </c>
      <c r="C208" s="1" t="n">
        <v>5</v>
      </c>
      <c r="D208" s="1" t="n">
        <v>1</v>
      </c>
      <c r="E208" s="1" t="n">
        <v>1</v>
      </c>
      <c r="F208" s="3" t="s">
        <v>20</v>
      </c>
      <c r="G208" s="3" t="s">
        <v>923</v>
      </c>
      <c r="H208" s="1" t="s">
        <v>22</v>
      </c>
      <c r="I208" s="1" t="n">
        <v>20240430093037</v>
      </c>
      <c r="J208" s="3" t="s">
        <v>924</v>
      </c>
      <c r="K208" s="3" t="s">
        <v>925</v>
      </c>
      <c r="L208" s="3" t="s">
        <v>926</v>
      </c>
      <c r="M208" s="3" t="n">
        <v>854268</v>
      </c>
      <c r="N208" s="3" t="s">
        <v>505</v>
      </c>
      <c r="O208" s="1" t="n">
        <v>837882</v>
      </c>
      <c r="P208" s="1" t="n">
        <v>98.08</v>
      </c>
      <c r="Q208" s="1" t="s">
        <v>20</v>
      </c>
      <c r="R208" s="1" t="s">
        <v>27</v>
      </c>
      <c r="S208" s="1" t="s">
        <v>28</v>
      </c>
      <c r="T208" s="1" t="s">
        <v>29</v>
      </c>
    </row>
    <row r="209" customFormat="false" ht="18.7" hidden="false" customHeight="true" outlineLevel="0" collapsed="false">
      <c r="A209" s="1" t="n">
        <v>208</v>
      </c>
      <c r="B209" s="6" t="str">
        <f aca="false">HYPERLINK("https://mncourtfraud.com/file/MCRO_27-CR-18-19274_Notice of Remote Hearing with Instructions_2023-09-19_20240430093035.pdf","MCRO_27-CR-18-19274_Notice of Remote Hearing with Instructions_2023-09-19_20240430093035.pdf")</f>
        <v>MCRO_27-CR-18-19274_Notice of Remote Hearing with Instructions_2023-09-19_20240430093035.pdf</v>
      </c>
      <c r="C209" s="1" t="n">
        <v>6</v>
      </c>
      <c r="D209" s="1" t="n">
        <v>1</v>
      </c>
      <c r="E209" s="1" t="n">
        <v>1</v>
      </c>
      <c r="F209" s="3" t="s">
        <v>20</v>
      </c>
      <c r="G209" s="3" t="s">
        <v>927</v>
      </c>
      <c r="H209" s="1" t="s">
        <v>22</v>
      </c>
      <c r="I209" s="1" t="n">
        <v>20240430093035</v>
      </c>
      <c r="J209" s="3" t="s">
        <v>928</v>
      </c>
      <c r="K209" s="3" t="s">
        <v>929</v>
      </c>
      <c r="L209" s="3" t="s">
        <v>930</v>
      </c>
      <c r="M209" s="3" t="n">
        <v>915011</v>
      </c>
      <c r="N209" s="3" t="s">
        <v>931</v>
      </c>
      <c r="O209" s="1" t="n">
        <v>898625</v>
      </c>
      <c r="P209" s="1" t="n">
        <v>98.21</v>
      </c>
      <c r="Q209" s="1" t="s">
        <v>20</v>
      </c>
      <c r="R209" s="1" t="s">
        <v>27</v>
      </c>
      <c r="S209" s="1" t="s">
        <v>28</v>
      </c>
      <c r="T209" s="1" t="s">
        <v>29</v>
      </c>
    </row>
    <row r="210" customFormat="false" ht="18.7" hidden="false" customHeight="true" outlineLevel="0" collapsed="false">
      <c r="A210" s="1" t="n">
        <v>209</v>
      </c>
      <c r="B210" s="6" t="str">
        <f aca="false">HYPERLINK("https://mncourtfraud.com/file/MCRO_27-CR-18-19274_Notice of Remote Hearing with Instructions_2023-10-09_20240430093032.pdf","MCRO_27-CR-18-19274_Notice of Remote Hearing with Instructions_2023-10-09_20240430093032.pdf")</f>
        <v>MCRO_27-CR-18-19274_Notice of Remote Hearing with Instructions_2023-10-09_20240430093032.pdf</v>
      </c>
      <c r="C210" s="1" t="n">
        <v>4</v>
      </c>
      <c r="D210" s="1" t="n">
        <v>1</v>
      </c>
      <c r="E210" s="1" t="n">
        <v>1</v>
      </c>
      <c r="F210" s="3" t="s">
        <v>20</v>
      </c>
      <c r="G210" s="3" t="s">
        <v>932</v>
      </c>
      <c r="H210" s="1" t="s">
        <v>22</v>
      </c>
      <c r="I210" s="1" t="n">
        <v>20240430093032</v>
      </c>
      <c r="J210" s="3" t="s">
        <v>933</v>
      </c>
      <c r="K210" s="3" t="s">
        <v>934</v>
      </c>
      <c r="L210" s="3" t="s">
        <v>935</v>
      </c>
      <c r="M210" s="3" t="n">
        <v>260076</v>
      </c>
      <c r="N210" s="3" t="s">
        <v>936</v>
      </c>
      <c r="O210" s="1" t="n">
        <v>243690</v>
      </c>
      <c r="P210" s="1" t="n">
        <v>93.7</v>
      </c>
      <c r="Q210" s="1" t="s">
        <v>20</v>
      </c>
      <c r="R210" s="1" t="s">
        <v>27</v>
      </c>
      <c r="S210" s="1" t="s">
        <v>28</v>
      </c>
      <c r="T210" s="1" t="s">
        <v>29</v>
      </c>
    </row>
    <row r="211" customFormat="false" ht="18.7" hidden="false" customHeight="true" outlineLevel="0" collapsed="false">
      <c r="A211" s="1" t="n">
        <v>210</v>
      </c>
      <c r="B211" s="6" t="str">
        <f aca="false">HYPERLINK("https://mncourtfraud.com/file/MCRO_27-CR-18-19274_Notice of Remote Hearing with Instructions_2024-04-03_20240430093029.pdf","MCRO_27-CR-18-19274_Notice of Remote Hearing with Instructions_2024-04-03_20240430093029.pdf")</f>
        <v>MCRO_27-CR-18-19274_Notice of Remote Hearing with Instructions_2024-04-03_20240430093029.pdf</v>
      </c>
      <c r="C211" s="1" t="n">
        <v>4</v>
      </c>
      <c r="D211" s="1" t="n">
        <v>1</v>
      </c>
      <c r="E211" s="1" t="n">
        <v>1</v>
      </c>
      <c r="F211" s="3" t="s">
        <v>20</v>
      </c>
      <c r="G211" s="3" t="s">
        <v>937</v>
      </c>
      <c r="H211" s="1" t="s">
        <v>22</v>
      </c>
      <c r="I211" s="1" t="n">
        <v>20240430093029</v>
      </c>
      <c r="J211" s="3" t="s">
        <v>938</v>
      </c>
      <c r="K211" s="3" t="s">
        <v>939</v>
      </c>
      <c r="L211" s="3" t="s">
        <v>940</v>
      </c>
      <c r="M211" s="3" t="n">
        <v>258594</v>
      </c>
      <c r="N211" s="3" t="s">
        <v>727</v>
      </c>
      <c r="O211" s="1" t="n">
        <v>242208</v>
      </c>
      <c r="P211" s="1" t="n">
        <v>93.66</v>
      </c>
      <c r="Q211" s="1" t="s">
        <v>20</v>
      </c>
      <c r="R211" s="1" t="s">
        <v>27</v>
      </c>
      <c r="S211" s="1" t="s">
        <v>28</v>
      </c>
      <c r="T211" s="1" t="s">
        <v>29</v>
      </c>
    </row>
    <row r="212" customFormat="false" ht="18.7" hidden="false" customHeight="true" outlineLevel="0" collapsed="false">
      <c r="A212" s="1" t="n">
        <v>211</v>
      </c>
      <c r="B212" s="6" t="str">
        <f aca="false">HYPERLINK("https://mncourtfraud.com/file/MCRO_27-CR-18-19274_Order-Evaluation for Competency to Proceed (Rule 20.01)_2018-08-10_20240430093113.pdf","MCRO_27-CR-18-19274_Order-Evaluation for Competency to Proceed (Rule 20.01)_2018-08-10_20240430093113.pdf")</f>
        <v>MCRO_27-CR-18-19274_Order-Evaluation for Competency to Proceed (Rule 20.01)_2018-08-10_20240430093113.pdf</v>
      </c>
      <c r="C212" s="1" t="n">
        <v>4</v>
      </c>
      <c r="D212" s="1" t="n">
        <v>1</v>
      </c>
      <c r="E212" s="1" t="n">
        <v>1</v>
      </c>
      <c r="F212" s="3" t="s">
        <v>20</v>
      </c>
      <c r="G212" s="3" t="s">
        <v>941</v>
      </c>
      <c r="H212" s="1" t="s">
        <v>22</v>
      </c>
      <c r="I212" s="1" t="n">
        <v>20240430093113</v>
      </c>
      <c r="J212" s="3" t="s">
        <v>942</v>
      </c>
      <c r="K212" s="3" t="s">
        <v>943</v>
      </c>
      <c r="L212" s="3" t="s">
        <v>944</v>
      </c>
      <c r="M212" s="3" t="n">
        <v>186985</v>
      </c>
      <c r="N212" s="3" t="s">
        <v>158</v>
      </c>
      <c r="O212" s="1" t="n">
        <v>170599</v>
      </c>
      <c r="P212" s="1" t="n">
        <v>91.24</v>
      </c>
      <c r="Q212" s="1" t="s">
        <v>20</v>
      </c>
      <c r="R212" s="1" t="s">
        <v>27</v>
      </c>
      <c r="S212" s="1" t="s">
        <v>28</v>
      </c>
      <c r="T212" s="1" t="s">
        <v>29</v>
      </c>
    </row>
    <row r="213" customFormat="false" ht="18.7" hidden="false" customHeight="true" outlineLevel="0" collapsed="false">
      <c r="A213" s="1" t="n">
        <v>212</v>
      </c>
      <c r="B213" s="6" t="str">
        <f aca="false">HYPERLINK("https://mncourtfraud.com/file/MCRO_27-CR-18-19274_Order-Evaluation for Competency to Proceed (Rule 20.01)_2022-11-10_20240430093039.pdf","MCRO_27-CR-18-19274_Order-Evaluation for Competency to Proceed (Rule 20.01)_2022-11-10_20240430093039.pdf")</f>
        <v>MCRO_27-CR-18-19274_Order-Evaluation for Competency to Proceed (Rule 20.01)_2022-11-10_20240430093039.pdf</v>
      </c>
      <c r="C213" s="1" t="n">
        <v>6</v>
      </c>
      <c r="D213" s="1" t="n">
        <v>5</v>
      </c>
      <c r="E213" s="1" t="n">
        <v>5</v>
      </c>
      <c r="F213" s="3" t="s">
        <v>20</v>
      </c>
      <c r="G213" s="3" t="s">
        <v>945</v>
      </c>
      <c r="H213" s="1" t="s">
        <v>22</v>
      </c>
      <c r="I213" s="1" t="n">
        <v>20240430093039</v>
      </c>
      <c r="J213" s="3" t="s">
        <v>946</v>
      </c>
      <c r="K213" s="3" t="s">
        <v>947</v>
      </c>
      <c r="L213" s="3" t="s">
        <v>948</v>
      </c>
      <c r="M213" s="3" t="n">
        <v>1047568</v>
      </c>
      <c r="N213" s="3" t="s">
        <v>949</v>
      </c>
      <c r="O213" s="1" t="n">
        <v>1031182</v>
      </c>
      <c r="P213" s="1" t="n">
        <v>98.44</v>
      </c>
      <c r="Q213" s="1" t="s">
        <v>20</v>
      </c>
      <c r="R213" s="1" t="s">
        <v>27</v>
      </c>
      <c r="S213" s="1" t="s">
        <v>28</v>
      </c>
      <c r="T213" s="1" t="s">
        <v>29</v>
      </c>
    </row>
    <row r="214" customFormat="false" ht="18.7" hidden="false" customHeight="true" outlineLevel="0" collapsed="false">
      <c r="A214" s="1" t="n">
        <v>213</v>
      </c>
      <c r="B214" s="6" t="str">
        <f aca="false">HYPERLINK("https://mncourtfraud.com/file/MCRO_27-CR-18-19274_Order-Evaluation for Competency to Proceed (Rule 20.01)_2023-07-13_20240430093036.pdf","MCRO_27-CR-18-19274_Order-Evaluation for Competency to Proceed (Rule 20.01)_2023-07-13_20240430093036.pdf")</f>
        <v>MCRO_27-CR-18-19274_Order-Evaluation for Competency to Proceed (Rule 20.01)_2023-07-13_20240430093036.pdf</v>
      </c>
      <c r="C214" s="1" t="n">
        <v>6</v>
      </c>
      <c r="D214" s="1" t="n">
        <v>2</v>
      </c>
      <c r="E214" s="1" t="n">
        <v>2</v>
      </c>
      <c r="F214" s="3" t="s">
        <v>27</v>
      </c>
      <c r="G214" s="3" t="s">
        <v>950</v>
      </c>
      <c r="H214" s="1" t="s">
        <v>22</v>
      </c>
      <c r="I214" s="1" t="n">
        <v>20240430093036</v>
      </c>
      <c r="J214" s="3" t="s">
        <v>951</v>
      </c>
      <c r="K214" s="3" t="s">
        <v>952</v>
      </c>
      <c r="L214" s="3" t="s">
        <v>953</v>
      </c>
      <c r="M214" s="3" t="n">
        <v>889185</v>
      </c>
      <c r="N214" s="3" t="s">
        <v>810</v>
      </c>
      <c r="O214" s="1" t="n">
        <v>872799</v>
      </c>
      <c r="P214" s="1" t="n">
        <v>98.16</v>
      </c>
      <c r="Q214" s="1" t="s">
        <v>20</v>
      </c>
      <c r="R214" s="1" t="s">
        <v>27</v>
      </c>
      <c r="S214" s="1" t="s">
        <v>28</v>
      </c>
      <c r="T214" s="1" t="s">
        <v>29</v>
      </c>
    </row>
    <row r="215" customFormat="false" ht="18.7" hidden="false" customHeight="true" outlineLevel="0" collapsed="false">
      <c r="A215" s="1" t="n">
        <v>214</v>
      </c>
      <c r="B215" s="6" t="str">
        <f aca="false">HYPERLINK("https://mncourtfraud.com/file/MCRO_27-CR-18-19274_Order-Evaluation for Competency to Proceed (Rule 20.01)_2023-10-09_20240430093034.pdf","MCRO_27-CR-18-19274_Order-Evaluation for Competency to Proceed (Rule 20.01)_2023-10-09_20240430093034.pdf")</f>
        <v>MCRO_27-CR-18-19274_Order-Evaluation for Competency to Proceed (Rule 20.01)_2023-10-09_20240430093034.pdf</v>
      </c>
      <c r="C215" s="1" t="n">
        <v>5</v>
      </c>
      <c r="D215" s="1" t="n">
        <v>1</v>
      </c>
      <c r="E215" s="1" t="n">
        <v>1</v>
      </c>
      <c r="F215" s="3" t="s">
        <v>20</v>
      </c>
      <c r="G215" s="3" t="s">
        <v>954</v>
      </c>
      <c r="H215" s="1" t="s">
        <v>22</v>
      </c>
      <c r="I215" s="1" t="n">
        <v>20240430093034</v>
      </c>
      <c r="J215" s="3" t="s">
        <v>955</v>
      </c>
      <c r="K215" s="3" t="s">
        <v>956</v>
      </c>
      <c r="L215" s="3" t="s">
        <v>957</v>
      </c>
      <c r="M215" s="3" t="n">
        <v>806387</v>
      </c>
      <c r="N215" s="3" t="s">
        <v>958</v>
      </c>
      <c r="O215" s="1" t="n">
        <v>790001</v>
      </c>
      <c r="P215" s="1" t="n">
        <v>97.97</v>
      </c>
      <c r="Q215" s="1" t="s">
        <v>20</v>
      </c>
      <c r="R215" s="1" t="s">
        <v>27</v>
      </c>
      <c r="S215" s="1" t="s">
        <v>28</v>
      </c>
      <c r="T215" s="1" t="s">
        <v>29</v>
      </c>
    </row>
    <row r="216" customFormat="false" ht="18.7" hidden="false" customHeight="true" outlineLevel="0" collapsed="false">
      <c r="A216" s="1" t="n">
        <v>215</v>
      </c>
      <c r="B216" s="6" t="str">
        <f aca="false">HYPERLINK("https://mncourtfraud.com/file/MCRO_27-CR-18-19274_Order-Evaluation for Competency to Proceed (Rule 20.01)_2024-04-03_20240430093031.pdf","MCRO_27-CR-18-19274_Order-Evaluation for Competency to Proceed (Rule 20.01)_2024-04-03_20240430093031.pdf")</f>
        <v>MCRO_27-CR-18-19274_Order-Evaluation for Competency to Proceed (Rule 20.01)_2024-04-03_20240430093031.pdf</v>
      </c>
      <c r="C216" s="1" t="n">
        <v>6</v>
      </c>
      <c r="D216" s="1" t="n">
        <v>2</v>
      </c>
      <c r="E216" s="1" t="n">
        <v>2</v>
      </c>
      <c r="F216" s="3" t="s">
        <v>20</v>
      </c>
      <c r="G216" s="3" t="s">
        <v>959</v>
      </c>
      <c r="H216" s="1" t="s">
        <v>22</v>
      </c>
      <c r="I216" s="1" t="n">
        <v>20240430093031</v>
      </c>
      <c r="J216" s="3" t="s">
        <v>960</v>
      </c>
      <c r="K216" s="3" t="s">
        <v>961</v>
      </c>
      <c r="L216" s="3" t="s">
        <v>962</v>
      </c>
      <c r="M216" s="3" t="n">
        <v>846576</v>
      </c>
      <c r="N216" s="3" t="s">
        <v>963</v>
      </c>
      <c r="O216" s="1" t="n">
        <v>830190</v>
      </c>
      <c r="P216" s="1" t="n">
        <v>98.06</v>
      </c>
      <c r="Q216" s="1" t="s">
        <v>20</v>
      </c>
      <c r="R216" s="1" t="s">
        <v>27</v>
      </c>
      <c r="S216" s="1" t="s">
        <v>28</v>
      </c>
      <c r="T216" s="1" t="s">
        <v>29</v>
      </c>
    </row>
    <row r="217" customFormat="false" ht="18.7" hidden="false" customHeight="true" outlineLevel="0" collapsed="false">
      <c r="A217" s="1" t="n">
        <v>216</v>
      </c>
      <c r="B217" s="6" t="str">
        <f aca="false">HYPERLINK("https://mncourtfraud.com/file/MCRO_27-CR-18-19274_Order for Conditional Release_2019-01-09_20240430093107.pdf","MCRO_27-CR-18-19274_Order for Conditional Release_2019-01-09_20240430093107.pdf")</f>
        <v>MCRO_27-CR-18-19274_Order for Conditional Release_2019-01-09_20240430093107.pdf</v>
      </c>
      <c r="C217" s="1" t="n">
        <v>5</v>
      </c>
      <c r="D217" s="1" t="n">
        <v>3</v>
      </c>
      <c r="E217" s="1" t="n">
        <v>3</v>
      </c>
      <c r="F217" s="3" t="s">
        <v>20</v>
      </c>
      <c r="G217" s="3" t="s">
        <v>964</v>
      </c>
      <c r="H217" s="1" t="s">
        <v>22</v>
      </c>
      <c r="I217" s="1" t="n">
        <v>20240430093107</v>
      </c>
      <c r="J217" s="3" t="s">
        <v>965</v>
      </c>
      <c r="K217" s="3" t="s">
        <v>966</v>
      </c>
      <c r="L217" s="3" t="s">
        <v>967</v>
      </c>
      <c r="M217" s="3" t="n">
        <v>283996</v>
      </c>
      <c r="N217" s="3" t="s">
        <v>968</v>
      </c>
      <c r="O217" s="1" t="n">
        <v>267610</v>
      </c>
      <c r="P217" s="1" t="n">
        <v>94.23</v>
      </c>
      <c r="Q217" s="1" t="s">
        <v>20</v>
      </c>
      <c r="R217" s="1" t="s">
        <v>27</v>
      </c>
      <c r="S217" s="1" t="s">
        <v>28</v>
      </c>
      <c r="T217" s="1" t="s">
        <v>29</v>
      </c>
    </row>
    <row r="218" customFormat="false" ht="18.7" hidden="false" customHeight="true" outlineLevel="0" collapsed="false">
      <c r="A218" s="1" t="n">
        <v>217</v>
      </c>
      <c r="B218" s="6" t="str">
        <f aca="false">HYPERLINK("https://mncourtfraud.com/file/MCRO_27-CR-18-19274_Order-Other_2018-08-28_20240430093110.pdf","MCRO_27-CR-18-19274_Order-Other_2018-08-28_20240430093110.pdf")</f>
        <v>MCRO_27-CR-18-19274_Order-Other_2018-08-28_20240430093110.pdf</v>
      </c>
      <c r="C218" s="1" t="n">
        <v>5</v>
      </c>
      <c r="D218" s="1" t="n">
        <v>5</v>
      </c>
      <c r="E218" s="1" t="n">
        <v>5</v>
      </c>
      <c r="F218" s="3" t="s">
        <v>20</v>
      </c>
      <c r="G218" s="3" t="s">
        <v>969</v>
      </c>
      <c r="H218" s="1" t="s">
        <v>22</v>
      </c>
      <c r="I218" s="1" t="n">
        <v>20240430093110</v>
      </c>
      <c r="J218" s="3" t="s">
        <v>970</v>
      </c>
      <c r="K218" s="3" t="s">
        <v>971</v>
      </c>
      <c r="L218" s="3" t="s">
        <v>972</v>
      </c>
      <c r="M218" s="3" t="n">
        <v>236582</v>
      </c>
      <c r="N218" s="3" t="s">
        <v>973</v>
      </c>
      <c r="O218" s="1" t="n">
        <v>220196</v>
      </c>
      <c r="P218" s="1" t="n">
        <v>93.07</v>
      </c>
      <c r="Q218" s="1" t="s">
        <v>20</v>
      </c>
      <c r="R218" s="1" t="s">
        <v>27</v>
      </c>
      <c r="S218" s="1" t="s">
        <v>28</v>
      </c>
      <c r="T218" s="1" t="s">
        <v>29</v>
      </c>
    </row>
    <row r="219" customFormat="false" ht="18.7" hidden="false" customHeight="true" outlineLevel="0" collapsed="false">
      <c r="A219" s="1" t="n">
        <v>218</v>
      </c>
      <c r="B219" s="6" t="str">
        <f aca="false">HYPERLINK("https://mncourtfraud.com/file/MCRO_27-CR-18-19274_Order-Other_2019-09-05_20240430093103.pdf","MCRO_27-CR-18-19274_Order-Other_2019-09-05_20240430093103.pdf")</f>
        <v>MCRO_27-CR-18-19274_Order-Other_2019-09-05_20240430093103.pdf</v>
      </c>
      <c r="C219" s="1" t="n">
        <v>4</v>
      </c>
      <c r="D219" s="1" t="n">
        <v>1</v>
      </c>
      <c r="E219" s="1" t="n">
        <v>1</v>
      </c>
      <c r="F219" s="3" t="s">
        <v>20</v>
      </c>
      <c r="G219" s="3" t="s">
        <v>974</v>
      </c>
      <c r="H219" s="1" t="s">
        <v>22</v>
      </c>
      <c r="I219" s="1" t="n">
        <v>20240430093103</v>
      </c>
      <c r="J219" s="3" t="s">
        <v>975</v>
      </c>
      <c r="K219" s="3" t="s">
        <v>976</v>
      </c>
      <c r="L219" s="3" t="s">
        <v>977</v>
      </c>
      <c r="M219" s="3" t="n">
        <v>152770</v>
      </c>
      <c r="N219" s="3" t="s">
        <v>486</v>
      </c>
      <c r="O219" s="1" t="n">
        <v>136384</v>
      </c>
      <c r="P219" s="1" t="n">
        <v>89.27</v>
      </c>
      <c r="Q219" s="1" t="s">
        <v>20</v>
      </c>
      <c r="R219" s="1" t="s">
        <v>27</v>
      </c>
      <c r="S219" s="1" t="s">
        <v>28</v>
      </c>
      <c r="T219" s="1" t="s">
        <v>29</v>
      </c>
    </row>
    <row r="220" customFormat="false" ht="18.7" hidden="false" customHeight="true" outlineLevel="0" collapsed="false">
      <c r="A220" s="1" t="n">
        <v>219</v>
      </c>
      <c r="B220" s="6" t="str">
        <f aca="false">HYPERLINK("https://mncourtfraud.com/file/MCRO_27-CR-18-19274_Order-Other_2020-04-28_20240430093057.pdf","MCRO_27-CR-18-19274_Order-Other_2020-04-28_20240430093057.pdf")</f>
        <v>MCRO_27-CR-18-19274_Order-Other_2020-04-28_20240430093057.pdf</v>
      </c>
      <c r="C220" s="1" t="n">
        <v>3</v>
      </c>
      <c r="D220" s="1" t="n">
        <v>1</v>
      </c>
      <c r="E220" s="1" t="n">
        <v>1</v>
      </c>
      <c r="F220" s="3" t="s">
        <v>20</v>
      </c>
      <c r="G220" s="3" t="s">
        <v>978</v>
      </c>
      <c r="H220" s="1" t="s">
        <v>22</v>
      </c>
      <c r="I220" s="1" t="n">
        <v>20240430093057</v>
      </c>
      <c r="J220" s="3" t="s">
        <v>979</v>
      </c>
      <c r="K220" s="3" t="s">
        <v>980</v>
      </c>
      <c r="L220" s="3" t="s">
        <v>981</v>
      </c>
      <c r="M220" s="3" t="n">
        <v>138684</v>
      </c>
      <c r="N220" s="3" t="s">
        <v>854</v>
      </c>
      <c r="O220" s="1" t="n">
        <v>122298</v>
      </c>
      <c r="P220" s="1" t="n">
        <v>88.18</v>
      </c>
      <c r="Q220" s="1" t="s">
        <v>20</v>
      </c>
      <c r="R220" s="1" t="s">
        <v>27</v>
      </c>
      <c r="S220" s="1" t="s">
        <v>28</v>
      </c>
      <c r="T220" s="1" t="s">
        <v>29</v>
      </c>
    </row>
    <row r="221" customFormat="false" ht="18.7" hidden="false" customHeight="true" outlineLevel="0" collapsed="false">
      <c r="A221" s="1" t="n">
        <v>220</v>
      </c>
      <c r="B221" s="6" t="str">
        <f aca="false">HYPERLINK("https://mncourtfraud.com/file/MCRO_27-CR-18-19274_Order-Other_2021-01-25_20240430093050.pdf","MCRO_27-CR-18-19274_Order-Other_2021-01-25_20240430093050.pdf")</f>
        <v>MCRO_27-CR-18-19274_Order-Other_2021-01-25_20240430093050.pdf</v>
      </c>
      <c r="C221" s="1" t="n">
        <v>3</v>
      </c>
      <c r="D221" s="1" t="n">
        <v>1</v>
      </c>
      <c r="E221" s="1" t="n">
        <v>1</v>
      </c>
      <c r="F221" s="3" t="s">
        <v>20</v>
      </c>
      <c r="G221" s="3" t="s">
        <v>982</v>
      </c>
      <c r="H221" s="1" t="s">
        <v>22</v>
      </c>
      <c r="I221" s="1" t="n">
        <v>20240430093050</v>
      </c>
      <c r="J221" s="3" t="s">
        <v>910</v>
      </c>
      <c r="K221" s="3" t="s">
        <v>911</v>
      </c>
      <c r="L221" s="3" t="s">
        <v>983</v>
      </c>
      <c r="M221" s="3" t="n">
        <v>156621</v>
      </c>
      <c r="N221" s="3" t="s">
        <v>984</v>
      </c>
      <c r="O221" s="1" t="n">
        <v>140235</v>
      </c>
      <c r="P221" s="1" t="n">
        <v>89.54</v>
      </c>
      <c r="Q221" s="1" t="s">
        <v>20</v>
      </c>
      <c r="R221" s="1" t="s">
        <v>27</v>
      </c>
      <c r="S221" s="1" t="s">
        <v>28</v>
      </c>
      <c r="T221" s="1" t="s">
        <v>29</v>
      </c>
    </row>
    <row r="222" customFormat="false" ht="18.7" hidden="false" customHeight="true" outlineLevel="0" collapsed="false">
      <c r="A222" s="1" t="n">
        <v>221</v>
      </c>
      <c r="B222" s="6" t="str">
        <f aca="false">HYPERLINK("https://mncourtfraud.com/file/MCRO_27-CR-18-19274_Order-Other_2021-12-16_20240430093044.pdf","MCRO_27-CR-18-19274_Order-Other_2021-12-16_20240430093044.pdf")</f>
        <v>MCRO_27-CR-18-19274_Order-Other_2021-12-16_20240430093044.pdf</v>
      </c>
      <c r="C222" s="1" t="n">
        <v>4</v>
      </c>
      <c r="D222" s="1" t="n">
        <v>1</v>
      </c>
      <c r="E222" s="1" t="n">
        <v>1</v>
      </c>
      <c r="F222" s="3" t="s">
        <v>20</v>
      </c>
      <c r="G222" s="3" t="s">
        <v>985</v>
      </c>
      <c r="H222" s="1" t="s">
        <v>22</v>
      </c>
      <c r="I222" s="1" t="n">
        <v>20240430093044</v>
      </c>
      <c r="J222" s="3" t="s">
        <v>986</v>
      </c>
      <c r="K222" s="3" t="s">
        <v>987</v>
      </c>
      <c r="L222" s="3" t="s">
        <v>988</v>
      </c>
      <c r="M222" s="3" t="n">
        <v>100417</v>
      </c>
      <c r="N222" s="3" t="s">
        <v>614</v>
      </c>
      <c r="O222" s="1" t="n">
        <v>84031</v>
      </c>
      <c r="P222" s="1" t="n">
        <v>83.68</v>
      </c>
      <c r="Q222" s="1" t="s">
        <v>20</v>
      </c>
      <c r="R222" s="1" t="s">
        <v>27</v>
      </c>
      <c r="S222" s="1" t="s">
        <v>28</v>
      </c>
      <c r="T222" s="1" t="s">
        <v>29</v>
      </c>
    </row>
    <row r="223" customFormat="false" ht="18.7" hidden="false" customHeight="true" outlineLevel="0" collapsed="false">
      <c r="A223" s="1" t="n">
        <v>222</v>
      </c>
      <c r="B223" s="6" t="str">
        <f aca="false">HYPERLINK("https://mncourtfraud.com/file/MCRO_27-CR-18-19274_Other Document_2018-08-10_20240430093112.pdf","MCRO_27-CR-18-19274_Other Document_2018-08-10_20240430093112.pdf")</f>
        <v>MCRO_27-CR-18-19274_Other Document_2018-08-10_20240430093112.pdf</v>
      </c>
      <c r="C223" s="1" t="n">
        <v>4</v>
      </c>
      <c r="D223" s="1" t="n">
        <v>1</v>
      </c>
      <c r="E223" s="1" t="n">
        <v>1</v>
      </c>
      <c r="F223" s="3" t="s">
        <v>20</v>
      </c>
      <c r="G223" s="3" t="s">
        <v>989</v>
      </c>
      <c r="H223" s="1" t="s">
        <v>22</v>
      </c>
      <c r="I223" s="1" t="n">
        <v>20240430093112</v>
      </c>
      <c r="J223" s="3" t="s">
        <v>990</v>
      </c>
      <c r="K223" s="3" t="s">
        <v>991</v>
      </c>
      <c r="L223" s="3" t="s">
        <v>992</v>
      </c>
      <c r="M223" s="3" t="n">
        <v>119788</v>
      </c>
      <c r="N223" s="3" t="s">
        <v>119</v>
      </c>
      <c r="O223" s="1" t="n">
        <v>103402</v>
      </c>
      <c r="P223" s="1" t="n">
        <v>86.32</v>
      </c>
      <c r="Q223" s="1" t="s">
        <v>20</v>
      </c>
      <c r="R223" s="1" t="s">
        <v>27</v>
      </c>
      <c r="S223" s="1" t="s">
        <v>28</v>
      </c>
      <c r="T223" s="1" t="s">
        <v>29</v>
      </c>
    </row>
    <row r="224" customFormat="false" ht="18.7" hidden="false" customHeight="true" outlineLevel="0" collapsed="false">
      <c r="A224" s="1" t="n">
        <v>223</v>
      </c>
      <c r="B224" s="6" t="str">
        <f aca="false">HYPERLINK("https://mncourtfraud.com/file/MCRO_27-CR-18-19274_Proposed Order or Document_2019-09-05_20240430093101.pdf","MCRO_27-CR-18-19274_Proposed Order or Document_2019-09-05_20240430093101.pdf")</f>
        <v>MCRO_27-CR-18-19274_Proposed Order or Document_2019-09-05_20240430093101.pdf</v>
      </c>
      <c r="C224" s="1" t="n">
        <v>3</v>
      </c>
      <c r="D224" s="1" t="n">
        <v>1</v>
      </c>
      <c r="E224" s="1" t="n">
        <v>1</v>
      </c>
      <c r="F224" s="3" t="s">
        <v>20</v>
      </c>
      <c r="G224" s="3" t="s">
        <v>993</v>
      </c>
      <c r="H224" s="1" t="s">
        <v>22</v>
      </c>
      <c r="I224" s="1" t="n">
        <v>20240430093101</v>
      </c>
      <c r="J224" s="3" t="s">
        <v>994</v>
      </c>
      <c r="K224" s="3" t="s">
        <v>995</v>
      </c>
      <c r="L224" s="3" t="s">
        <v>996</v>
      </c>
      <c r="M224" s="3" t="n">
        <v>235489</v>
      </c>
      <c r="N224" s="3" t="s">
        <v>931</v>
      </c>
      <c r="O224" s="1" t="n">
        <v>219103</v>
      </c>
      <c r="P224" s="1" t="n">
        <v>93.04</v>
      </c>
      <c r="Q224" s="1" t="s">
        <v>20</v>
      </c>
      <c r="R224" s="1" t="s">
        <v>27</v>
      </c>
      <c r="S224" s="1" t="s">
        <v>28</v>
      </c>
      <c r="T224" s="1" t="s">
        <v>29</v>
      </c>
    </row>
    <row r="225" customFormat="false" ht="18.7" hidden="false" customHeight="true" outlineLevel="0" collapsed="false">
      <c r="A225" s="1" t="n">
        <v>224</v>
      </c>
      <c r="B225" s="6" t="str">
        <f aca="false">HYPERLINK("https://mncourtfraud.com/file/MCRO_27-CR-18-19274_Proposed Order or Document_2021-01-25_20240430093051.pdf","MCRO_27-CR-18-19274_Proposed Order or Document_2021-01-25_20240430093051.pdf")</f>
        <v>MCRO_27-CR-18-19274_Proposed Order or Document_2021-01-25_20240430093051.pdf</v>
      </c>
      <c r="C225" s="1" t="n">
        <v>3</v>
      </c>
      <c r="D225" s="1" t="n">
        <v>1</v>
      </c>
      <c r="E225" s="1" t="n">
        <v>1</v>
      </c>
      <c r="F225" s="3" t="s">
        <v>20</v>
      </c>
      <c r="G225" s="3" t="s">
        <v>997</v>
      </c>
      <c r="H225" s="1" t="s">
        <v>22</v>
      </c>
      <c r="I225" s="1" t="n">
        <v>20240430093051</v>
      </c>
      <c r="J225" s="3" t="s">
        <v>998</v>
      </c>
      <c r="K225" s="3" t="s">
        <v>999</v>
      </c>
      <c r="L225" s="3" t="s">
        <v>1000</v>
      </c>
      <c r="M225" s="3" t="n">
        <v>144075</v>
      </c>
      <c r="N225" s="3" t="s">
        <v>64</v>
      </c>
      <c r="O225" s="1" t="n">
        <v>127689</v>
      </c>
      <c r="P225" s="1" t="n">
        <v>88.63</v>
      </c>
      <c r="Q225" s="1" t="s">
        <v>20</v>
      </c>
      <c r="R225" s="1" t="s">
        <v>27</v>
      </c>
      <c r="S225" s="1" t="s">
        <v>28</v>
      </c>
      <c r="T225" s="1" t="s">
        <v>29</v>
      </c>
    </row>
    <row r="226" customFormat="false" ht="18.7" hidden="false" customHeight="true" outlineLevel="0" collapsed="false">
      <c r="A226" s="1" t="n">
        <v>225</v>
      </c>
      <c r="B226" s="6" t="str">
        <f aca="false">HYPERLINK("https://mncourtfraud.com/file/MCRO_27-CR-18-19274_Witness List_2020-08-03_20240430093056.pdf","MCRO_27-CR-18-19274_Witness List_2020-08-03_20240430093056.pdf")</f>
        <v>MCRO_27-CR-18-19274_Witness List_2020-08-03_20240430093056.pdf</v>
      </c>
      <c r="C226" s="1" t="n">
        <v>3</v>
      </c>
      <c r="D226" s="1" t="n">
        <v>1</v>
      </c>
      <c r="E226" s="1" t="n">
        <v>1</v>
      </c>
      <c r="F226" s="3" t="s">
        <v>20</v>
      </c>
      <c r="G226" s="3" t="s">
        <v>1001</v>
      </c>
      <c r="H226" s="1" t="s">
        <v>22</v>
      </c>
      <c r="I226" s="1" t="n">
        <v>20240430093056</v>
      </c>
      <c r="J226" s="3" t="s">
        <v>1002</v>
      </c>
      <c r="K226" s="3" t="s">
        <v>1003</v>
      </c>
      <c r="L226" s="3" t="s">
        <v>1004</v>
      </c>
      <c r="M226" s="3" t="n">
        <v>133196</v>
      </c>
      <c r="N226" s="3" t="s">
        <v>593</v>
      </c>
      <c r="O226" s="1" t="n">
        <v>116810</v>
      </c>
      <c r="P226" s="1" t="n">
        <v>87.7</v>
      </c>
      <c r="Q226" s="1" t="s">
        <v>20</v>
      </c>
      <c r="R226" s="1" t="s">
        <v>27</v>
      </c>
      <c r="S226" s="1" t="s">
        <v>28</v>
      </c>
      <c r="T226" s="1" t="s">
        <v>29</v>
      </c>
    </row>
    <row r="227" customFormat="false" ht="18.7" hidden="false" customHeight="true" outlineLevel="0" collapsed="false">
      <c r="A227" s="1" t="n">
        <v>226</v>
      </c>
      <c r="B227" s="6" t="str">
        <f aca="false">HYPERLINK("https://mncourtfraud.com/file/MCRO_27-CR-18-19274_Witness List_2021-12-14_20240430093045.pdf","MCRO_27-CR-18-19274_Witness List_2021-12-14_20240430093045.pdf")</f>
        <v>MCRO_27-CR-18-19274_Witness List_2021-12-14_20240430093045.pdf</v>
      </c>
      <c r="C227" s="1" t="n">
        <v>3</v>
      </c>
      <c r="D227" s="1" t="n">
        <v>1</v>
      </c>
      <c r="E227" s="1" t="n">
        <v>1</v>
      </c>
      <c r="F227" s="3" t="s">
        <v>20</v>
      </c>
      <c r="G227" s="3" t="s">
        <v>1005</v>
      </c>
      <c r="H227" s="1" t="s">
        <v>22</v>
      </c>
      <c r="I227" s="1" t="n">
        <v>20240430093045</v>
      </c>
      <c r="J227" s="3" t="s">
        <v>1006</v>
      </c>
      <c r="K227" s="3" t="s">
        <v>1007</v>
      </c>
      <c r="L227" s="3" t="s">
        <v>1008</v>
      </c>
      <c r="M227" s="3" t="n">
        <v>131337</v>
      </c>
      <c r="N227" s="3" t="s">
        <v>1009</v>
      </c>
      <c r="O227" s="1" t="n">
        <v>114951</v>
      </c>
      <c r="P227" s="1" t="n">
        <v>87.52</v>
      </c>
      <c r="Q227" s="1" t="s">
        <v>20</v>
      </c>
      <c r="R227" s="1" t="s">
        <v>27</v>
      </c>
      <c r="S227" s="1" t="s">
        <v>28</v>
      </c>
      <c r="T227" s="1" t="s">
        <v>29</v>
      </c>
    </row>
    <row r="228" customFormat="false" ht="18.7" hidden="false" customHeight="true" outlineLevel="0" collapsed="false">
      <c r="A228" s="1" t="n">
        <v>227</v>
      </c>
      <c r="B228" s="6" t="str">
        <f aca="false">HYPERLINK("https://mncourtfraud.com/file/MCRO_27-CR-18-26530_Amended Order_2020-05-24_20240430093400.pdf","MCRO_27-CR-18-26530_Amended Order_2020-05-24_20240430093400.pdf")</f>
        <v>MCRO_27-CR-18-26530_Amended Order_2020-05-24_20240430093400.pdf</v>
      </c>
      <c r="C228" s="1" t="n">
        <v>5</v>
      </c>
      <c r="D228" s="1" t="n">
        <v>1</v>
      </c>
      <c r="E228" s="1" t="n">
        <v>1</v>
      </c>
      <c r="F228" s="3" t="s">
        <v>20</v>
      </c>
      <c r="G228" s="3" t="s">
        <v>1010</v>
      </c>
      <c r="H228" s="1" t="s">
        <v>22</v>
      </c>
      <c r="I228" s="1" t="n">
        <v>20240430093400</v>
      </c>
      <c r="J228" s="3" t="s">
        <v>1011</v>
      </c>
      <c r="K228" s="3" t="s">
        <v>1012</v>
      </c>
      <c r="L228" s="3" t="s">
        <v>1013</v>
      </c>
      <c r="M228" s="3" t="n">
        <v>730696</v>
      </c>
      <c r="N228" s="3" t="s">
        <v>1014</v>
      </c>
      <c r="O228" s="1" t="n">
        <v>714310</v>
      </c>
      <c r="P228" s="1" t="n">
        <v>97.76</v>
      </c>
      <c r="Q228" s="1" t="s">
        <v>20</v>
      </c>
      <c r="R228" s="1" t="s">
        <v>27</v>
      </c>
      <c r="S228" s="1" t="s">
        <v>28</v>
      </c>
      <c r="T228" s="1" t="s">
        <v>29</v>
      </c>
    </row>
    <row r="229" customFormat="false" ht="18.7" hidden="false" customHeight="true" outlineLevel="0" collapsed="false">
      <c r="A229" s="1" t="n">
        <v>228</v>
      </c>
      <c r="B229" s="6" t="str">
        <f aca="false">HYPERLINK("https://mncourtfraud.com/file/MCRO_27-CR-18-26530_Finding of Incompetency and Order_2023-05-24_20240430093352.pdf","MCRO_27-CR-18-26530_Finding of Incompetency and Order_2023-05-24_20240430093352.pdf")</f>
        <v>MCRO_27-CR-18-26530_Finding of Incompetency and Order_2023-05-24_20240430093352.pdf</v>
      </c>
      <c r="C229" s="1" t="n">
        <v>9</v>
      </c>
      <c r="D229" s="1" t="n">
        <v>3</v>
      </c>
      <c r="E229" s="1" t="n">
        <v>3</v>
      </c>
      <c r="F229" s="3" t="s">
        <v>27</v>
      </c>
      <c r="G229" s="3" t="s">
        <v>1015</v>
      </c>
      <c r="H229" s="1" t="s">
        <v>22</v>
      </c>
      <c r="I229" s="1" t="n">
        <v>20240430093352</v>
      </c>
      <c r="J229" s="3" t="s">
        <v>1016</v>
      </c>
      <c r="K229" s="3" t="s">
        <v>1017</v>
      </c>
      <c r="L229" s="3" t="s">
        <v>1018</v>
      </c>
      <c r="M229" s="3" t="n">
        <v>963407</v>
      </c>
      <c r="N229" s="3" t="s">
        <v>1019</v>
      </c>
      <c r="O229" s="1" t="n">
        <v>947021</v>
      </c>
      <c r="P229" s="1" t="n">
        <v>98.3</v>
      </c>
      <c r="Q229" s="1" t="s">
        <v>20</v>
      </c>
      <c r="R229" s="1" t="s">
        <v>27</v>
      </c>
      <c r="S229" s="1" t="s">
        <v>28</v>
      </c>
      <c r="T229" s="1" t="s">
        <v>29</v>
      </c>
    </row>
    <row r="230" customFormat="false" ht="18.7" hidden="false" customHeight="true" outlineLevel="0" collapsed="false">
      <c r="A230" s="1" t="n">
        <v>229</v>
      </c>
      <c r="B230" s="6" t="str">
        <f aca="false">HYPERLINK("https://mncourtfraud.com/file/MCRO_27-CR-18-26530_Formal Complaint Filed_2018-11-01_20240430093419.pdf","MCRO_27-CR-18-26530_Formal Complaint Filed_2018-11-01_20240430093419.pdf")</f>
        <v>MCRO_27-CR-18-26530_Formal Complaint Filed_2018-11-01_20240430093419.pdf</v>
      </c>
      <c r="C230" s="1" t="n">
        <v>3</v>
      </c>
      <c r="D230" s="1" t="n">
        <v>1</v>
      </c>
      <c r="E230" s="1" t="n">
        <v>1</v>
      </c>
      <c r="F230" s="3" t="s">
        <v>20</v>
      </c>
      <c r="G230" s="3" t="s">
        <v>1020</v>
      </c>
      <c r="H230" s="1" t="s">
        <v>22</v>
      </c>
      <c r="I230" s="1" t="n">
        <v>20240430093419</v>
      </c>
      <c r="J230" s="3" t="s">
        <v>1021</v>
      </c>
      <c r="K230" s="3" t="s">
        <v>1022</v>
      </c>
      <c r="L230" s="3" t="s">
        <v>1023</v>
      </c>
      <c r="M230" s="3" t="n">
        <v>385811</v>
      </c>
      <c r="N230" s="3" t="s">
        <v>1024</v>
      </c>
      <c r="O230" s="1" t="n">
        <v>369425</v>
      </c>
      <c r="P230" s="1" t="n">
        <v>95.75</v>
      </c>
      <c r="Q230" s="1" t="s">
        <v>20</v>
      </c>
      <c r="R230" s="1" t="s">
        <v>27</v>
      </c>
      <c r="S230" s="1" t="s">
        <v>28</v>
      </c>
      <c r="T230" s="1" t="s">
        <v>29</v>
      </c>
    </row>
    <row r="231" customFormat="false" ht="18.7" hidden="false" customHeight="true" outlineLevel="0" collapsed="false">
      <c r="A231" s="1" t="n">
        <v>230</v>
      </c>
      <c r="B231" s="6" t="str">
        <f aca="false">HYPERLINK("https://mncourtfraud.com/file/MCRO_27-CR-18-26530_Law Enforcement Notice of Release and Appearance_2018-12-14_20240430093415.pdf","MCRO_27-CR-18-26530_Law Enforcement Notice of Release and Appearance_2018-12-14_20240430093415.pdf")</f>
        <v>MCRO_27-CR-18-26530_Law Enforcement Notice of Release and Appearance_2018-12-14_20240430093415.pdf</v>
      </c>
      <c r="C231" s="1" t="n">
        <v>4</v>
      </c>
      <c r="D231" s="1" t="n">
        <v>1</v>
      </c>
      <c r="E231" s="1" t="n">
        <v>1</v>
      </c>
      <c r="F231" s="3" t="s">
        <v>20</v>
      </c>
      <c r="G231" s="3" t="s">
        <v>1025</v>
      </c>
      <c r="H231" s="1" t="s">
        <v>22</v>
      </c>
      <c r="I231" s="1" t="n">
        <v>20240430093415</v>
      </c>
      <c r="J231" s="3" t="s">
        <v>1026</v>
      </c>
      <c r="K231" s="3" t="s">
        <v>1027</v>
      </c>
      <c r="L231" s="3" t="s">
        <v>1028</v>
      </c>
      <c r="M231" s="3" t="n">
        <v>119351</v>
      </c>
      <c r="N231" s="3" t="s">
        <v>119</v>
      </c>
      <c r="O231" s="1" t="n">
        <v>102965</v>
      </c>
      <c r="P231" s="1" t="n">
        <v>86.27</v>
      </c>
      <c r="Q231" s="1" t="s">
        <v>20</v>
      </c>
      <c r="R231" s="1" t="s">
        <v>27</v>
      </c>
      <c r="S231" s="1" t="s">
        <v>28</v>
      </c>
      <c r="T231" s="1" t="s">
        <v>29</v>
      </c>
    </row>
    <row r="232" customFormat="false" ht="18.7" hidden="false" customHeight="true" outlineLevel="0" collapsed="false">
      <c r="A232" s="1" t="n">
        <v>231</v>
      </c>
      <c r="B232" s="6" t="str">
        <f aca="false">HYPERLINK("https://mncourtfraud.com/file/MCRO_27-CR-18-26530_Law Enforcement Notice of Release and Appearance_2020-05-26_20240430093359.pdf","MCRO_27-CR-18-26530_Law Enforcement Notice of Release and Appearance_2020-05-26_20240430093359.pdf")</f>
        <v>MCRO_27-CR-18-26530_Law Enforcement Notice of Release and Appearance_2020-05-26_20240430093359.pdf</v>
      </c>
      <c r="C232" s="1" t="n">
        <v>4</v>
      </c>
      <c r="D232" s="1" t="n">
        <v>1</v>
      </c>
      <c r="E232" s="1" t="n">
        <v>1</v>
      </c>
      <c r="F232" s="3" t="s">
        <v>20</v>
      </c>
      <c r="G232" s="3" t="s">
        <v>1029</v>
      </c>
      <c r="H232" s="1" t="s">
        <v>22</v>
      </c>
      <c r="I232" s="1" t="n">
        <v>20240430093359</v>
      </c>
      <c r="J232" s="3" t="s">
        <v>1030</v>
      </c>
      <c r="K232" s="3" t="s">
        <v>1031</v>
      </c>
      <c r="L232" s="3" t="s">
        <v>1032</v>
      </c>
      <c r="M232" s="3" t="n">
        <v>104158</v>
      </c>
      <c r="N232" s="3" t="s">
        <v>892</v>
      </c>
      <c r="O232" s="1" t="n">
        <v>87772</v>
      </c>
      <c r="P232" s="1" t="n">
        <v>84.27</v>
      </c>
      <c r="Q232" s="1" t="s">
        <v>20</v>
      </c>
      <c r="R232" s="1" t="s">
        <v>27</v>
      </c>
      <c r="S232" s="1" t="s">
        <v>28</v>
      </c>
      <c r="T232" s="1" t="s">
        <v>29</v>
      </c>
    </row>
    <row r="233" customFormat="false" ht="18.7" hidden="false" customHeight="true" outlineLevel="0" collapsed="false">
      <c r="A233" s="1" t="n">
        <v>232</v>
      </c>
      <c r="B233" s="6" t="str">
        <f aca="false">HYPERLINK("https://mncourtfraud.com/file/MCRO_27-CR-18-26530_Notice of Hearing_2018-12-27_20240430093414.pdf","MCRO_27-CR-18-26530_Notice of Hearing_2018-12-27_20240430093414.pdf")</f>
        <v>MCRO_27-CR-18-26530_Notice of Hearing_2018-12-27_20240430093414.pdf</v>
      </c>
      <c r="C233" s="1" t="n">
        <v>4</v>
      </c>
      <c r="D233" s="1" t="n">
        <v>1</v>
      </c>
      <c r="E233" s="1" t="n">
        <v>1</v>
      </c>
      <c r="F233" s="3" t="s">
        <v>20</v>
      </c>
      <c r="G233" s="3" t="s">
        <v>1033</v>
      </c>
      <c r="H233" s="1" t="s">
        <v>22</v>
      </c>
      <c r="I233" s="1" t="n">
        <v>20240430093414</v>
      </c>
      <c r="J233" s="3" t="s">
        <v>1034</v>
      </c>
      <c r="K233" s="3" t="s">
        <v>1035</v>
      </c>
      <c r="L233" s="3" t="s">
        <v>1036</v>
      </c>
      <c r="M233" s="3" t="n">
        <v>123629</v>
      </c>
      <c r="N233" s="3" t="s">
        <v>119</v>
      </c>
      <c r="O233" s="1" t="n">
        <v>107243</v>
      </c>
      <c r="P233" s="1" t="n">
        <v>86.75</v>
      </c>
      <c r="Q233" s="1" t="s">
        <v>20</v>
      </c>
      <c r="R233" s="1" t="s">
        <v>27</v>
      </c>
      <c r="S233" s="1" t="s">
        <v>28</v>
      </c>
      <c r="T233" s="1" t="s">
        <v>29</v>
      </c>
    </row>
    <row r="234" customFormat="false" ht="18.7" hidden="false" customHeight="true" outlineLevel="0" collapsed="false">
      <c r="A234" s="1" t="n">
        <v>233</v>
      </c>
      <c r="B234" s="6" t="str">
        <f aca="false">HYPERLINK("https://mncourtfraud.com/file/MCRO_27-CR-18-26530_Notice of Hearing_2019-01-11_20240430093413.pdf","MCRO_27-CR-18-26530_Notice of Hearing_2019-01-11_20240430093413.pdf")</f>
        <v>MCRO_27-CR-18-26530_Notice of Hearing_2019-01-11_20240430093413.pdf</v>
      </c>
      <c r="C234" s="1" t="n">
        <v>4</v>
      </c>
      <c r="D234" s="1" t="n">
        <v>1</v>
      </c>
      <c r="E234" s="1" t="n">
        <v>1</v>
      </c>
      <c r="F234" s="3" t="s">
        <v>20</v>
      </c>
      <c r="G234" s="3" t="s">
        <v>1037</v>
      </c>
      <c r="H234" s="1" t="s">
        <v>22</v>
      </c>
      <c r="I234" s="1" t="n">
        <v>20240430093413</v>
      </c>
      <c r="J234" s="3" t="s">
        <v>1038</v>
      </c>
      <c r="K234" s="3" t="s">
        <v>1039</v>
      </c>
      <c r="L234" s="3" t="s">
        <v>1040</v>
      </c>
      <c r="M234" s="3" t="n">
        <v>128031</v>
      </c>
      <c r="N234" s="3" t="s">
        <v>119</v>
      </c>
      <c r="O234" s="1" t="n">
        <v>111645</v>
      </c>
      <c r="P234" s="1" t="n">
        <v>87.2</v>
      </c>
      <c r="Q234" s="1" t="s">
        <v>20</v>
      </c>
      <c r="R234" s="1" t="s">
        <v>27</v>
      </c>
      <c r="S234" s="1" t="s">
        <v>28</v>
      </c>
      <c r="T234" s="1" t="s">
        <v>29</v>
      </c>
    </row>
    <row r="235" customFormat="false" ht="18.7" hidden="false" customHeight="true" outlineLevel="0" collapsed="false">
      <c r="A235" s="1" t="n">
        <v>234</v>
      </c>
      <c r="B235" s="6" t="str">
        <f aca="false">HYPERLINK("https://mncourtfraud.com/file/MCRO_27-CR-18-26530_Notice of Hearing_2019-02-20_20240430093412.pdf","MCRO_27-CR-18-26530_Notice of Hearing_2019-02-20_20240430093412.pdf")</f>
        <v>MCRO_27-CR-18-26530_Notice of Hearing_2019-02-20_20240430093412.pdf</v>
      </c>
      <c r="C235" s="1" t="n">
        <v>4</v>
      </c>
      <c r="D235" s="1" t="n">
        <v>1</v>
      </c>
      <c r="E235" s="1" t="n">
        <v>1</v>
      </c>
      <c r="F235" s="3" t="s">
        <v>20</v>
      </c>
      <c r="G235" s="3" t="s">
        <v>1041</v>
      </c>
      <c r="H235" s="1" t="s">
        <v>22</v>
      </c>
      <c r="I235" s="1" t="n">
        <v>20240430093412</v>
      </c>
      <c r="J235" s="3" t="s">
        <v>1042</v>
      </c>
      <c r="K235" s="3" t="s">
        <v>1043</v>
      </c>
      <c r="L235" s="3" t="s">
        <v>1044</v>
      </c>
      <c r="M235" s="3" t="n">
        <v>114262</v>
      </c>
      <c r="N235" s="3" t="s">
        <v>435</v>
      </c>
      <c r="O235" s="1" t="n">
        <v>97876</v>
      </c>
      <c r="P235" s="1" t="n">
        <v>85.66</v>
      </c>
      <c r="Q235" s="1" t="s">
        <v>20</v>
      </c>
      <c r="R235" s="1" t="s">
        <v>27</v>
      </c>
      <c r="S235" s="1" t="s">
        <v>28</v>
      </c>
      <c r="T235" s="1" t="s">
        <v>29</v>
      </c>
    </row>
    <row r="236" customFormat="false" ht="18.7" hidden="false" customHeight="true" outlineLevel="0" collapsed="false">
      <c r="A236" s="1" t="n">
        <v>235</v>
      </c>
      <c r="B236" s="6" t="str">
        <f aca="false">HYPERLINK("https://mncourtfraud.com/file/MCRO_27-CR-18-26530_Notice of Hearing_2019-02-27_20240430093411.pdf","MCRO_27-CR-18-26530_Notice of Hearing_2019-02-27_20240430093411.pdf")</f>
        <v>MCRO_27-CR-18-26530_Notice of Hearing_2019-02-27_20240430093411.pdf</v>
      </c>
      <c r="C236" s="1" t="n">
        <v>4</v>
      </c>
      <c r="D236" s="1" t="n">
        <v>1</v>
      </c>
      <c r="E236" s="1" t="n">
        <v>1</v>
      </c>
      <c r="F236" s="3" t="s">
        <v>20</v>
      </c>
      <c r="G236" s="3" t="s">
        <v>1045</v>
      </c>
      <c r="H236" s="1" t="s">
        <v>22</v>
      </c>
      <c r="I236" s="1" t="n">
        <v>20240430093411</v>
      </c>
      <c r="J236" s="3" t="s">
        <v>1046</v>
      </c>
      <c r="K236" s="3" t="s">
        <v>1047</v>
      </c>
      <c r="L236" s="3" t="s">
        <v>1048</v>
      </c>
      <c r="M236" s="3" t="n">
        <v>112895</v>
      </c>
      <c r="N236" s="3" t="s">
        <v>435</v>
      </c>
      <c r="O236" s="1" t="n">
        <v>96509</v>
      </c>
      <c r="P236" s="1" t="n">
        <v>85.49</v>
      </c>
      <c r="Q236" s="1" t="s">
        <v>20</v>
      </c>
      <c r="R236" s="1" t="s">
        <v>27</v>
      </c>
      <c r="S236" s="1" t="s">
        <v>28</v>
      </c>
      <c r="T236" s="1" t="s">
        <v>29</v>
      </c>
    </row>
    <row r="237" customFormat="false" ht="18.7" hidden="false" customHeight="true" outlineLevel="0" collapsed="false">
      <c r="A237" s="1" t="n">
        <v>236</v>
      </c>
      <c r="B237" s="6" t="str">
        <f aca="false">HYPERLINK("https://mncourtfraud.com/file/MCRO_27-CR-18-26530_Notice of Hearing_2019-03-13_20240430093410.pdf","MCRO_27-CR-18-26530_Notice of Hearing_2019-03-13_20240430093410.pdf")</f>
        <v>MCRO_27-CR-18-26530_Notice of Hearing_2019-03-13_20240430093410.pdf</v>
      </c>
      <c r="C237" s="1" t="n">
        <v>4</v>
      </c>
      <c r="D237" s="1" t="n">
        <v>1</v>
      </c>
      <c r="E237" s="1" t="n">
        <v>1</v>
      </c>
      <c r="F237" s="3" t="s">
        <v>20</v>
      </c>
      <c r="G237" s="3" t="s">
        <v>1049</v>
      </c>
      <c r="H237" s="1" t="s">
        <v>22</v>
      </c>
      <c r="I237" s="1" t="n">
        <v>20240430093410</v>
      </c>
      <c r="J237" s="3" t="s">
        <v>1050</v>
      </c>
      <c r="K237" s="3" t="s">
        <v>1051</v>
      </c>
      <c r="L237" s="3" t="s">
        <v>1052</v>
      </c>
      <c r="M237" s="3" t="n">
        <v>114742</v>
      </c>
      <c r="N237" s="3" t="s">
        <v>435</v>
      </c>
      <c r="O237" s="1" t="n">
        <v>98356</v>
      </c>
      <c r="P237" s="1" t="n">
        <v>85.72</v>
      </c>
      <c r="Q237" s="1" t="s">
        <v>20</v>
      </c>
      <c r="R237" s="1" t="s">
        <v>27</v>
      </c>
      <c r="S237" s="1" t="s">
        <v>28</v>
      </c>
      <c r="T237" s="1" t="s">
        <v>29</v>
      </c>
    </row>
    <row r="238" customFormat="false" ht="18.7" hidden="false" customHeight="true" outlineLevel="0" collapsed="false">
      <c r="A238" s="1" t="n">
        <v>237</v>
      </c>
      <c r="B238" s="6" t="str">
        <f aca="false">HYPERLINK("https://mncourtfraud.com/file/MCRO_27-CR-18-26530_Notice of Hearing_2019-03-20_20240430093409.pdf","MCRO_27-CR-18-26530_Notice of Hearing_2019-03-20_20240430093409.pdf")</f>
        <v>MCRO_27-CR-18-26530_Notice of Hearing_2019-03-20_20240430093409.pdf</v>
      </c>
      <c r="C238" s="1" t="n">
        <v>4</v>
      </c>
      <c r="D238" s="1" t="n">
        <v>1</v>
      </c>
      <c r="E238" s="1" t="n">
        <v>1</v>
      </c>
      <c r="F238" s="3" t="s">
        <v>20</v>
      </c>
      <c r="G238" s="3" t="s">
        <v>1053</v>
      </c>
      <c r="H238" s="1" t="s">
        <v>22</v>
      </c>
      <c r="I238" s="1" t="n">
        <v>20240430093409</v>
      </c>
      <c r="J238" s="3" t="s">
        <v>1054</v>
      </c>
      <c r="K238" s="3" t="s">
        <v>1055</v>
      </c>
      <c r="L238" s="3" t="s">
        <v>1056</v>
      </c>
      <c r="M238" s="3" t="n">
        <v>119700</v>
      </c>
      <c r="N238" s="3" t="s">
        <v>435</v>
      </c>
      <c r="O238" s="1" t="n">
        <v>103314</v>
      </c>
      <c r="P238" s="1" t="n">
        <v>86.31</v>
      </c>
      <c r="Q238" s="1" t="s">
        <v>20</v>
      </c>
      <c r="R238" s="1" t="s">
        <v>27</v>
      </c>
      <c r="S238" s="1" t="s">
        <v>28</v>
      </c>
      <c r="T238" s="1" t="s">
        <v>29</v>
      </c>
    </row>
    <row r="239" customFormat="false" ht="18.7" hidden="false" customHeight="true" outlineLevel="0" collapsed="false">
      <c r="A239" s="1" t="n">
        <v>238</v>
      </c>
      <c r="B239" s="6" t="str">
        <f aca="false">HYPERLINK("https://mncourtfraud.com/file/MCRO_27-CR-18-26530_Notice of Hearing_2019-03-27_20240430093408.pdf","MCRO_27-CR-18-26530_Notice of Hearing_2019-03-27_20240430093408.pdf")</f>
        <v>MCRO_27-CR-18-26530_Notice of Hearing_2019-03-27_20240430093408.pdf</v>
      </c>
      <c r="C239" s="1" t="n">
        <v>4</v>
      </c>
      <c r="D239" s="1" t="n">
        <v>1</v>
      </c>
      <c r="E239" s="1" t="n">
        <v>1</v>
      </c>
      <c r="F239" s="3" t="s">
        <v>20</v>
      </c>
      <c r="G239" s="3" t="s">
        <v>1057</v>
      </c>
      <c r="H239" s="1" t="s">
        <v>22</v>
      </c>
      <c r="I239" s="1" t="n">
        <v>20240430093408</v>
      </c>
      <c r="J239" s="3" t="s">
        <v>1058</v>
      </c>
      <c r="K239" s="3" t="s">
        <v>1059</v>
      </c>
      <c r="L239" s="3" t="s">
        <v>1060</v>
      </c>
      <c r="M239" s="3" t="n">
        <v>623219</v>
      </c>
      <c r="N239" s="3" t="s">
        <v>435</v>
      </c>
      <c r="O239" s="1" t="n">
        <v>606833</v>
      </c>
      <c r="P239" s="1" t="n">
        <v>97.37</v>
      </c>
      <c r="Q239" s="1" t="s">
        <v>20</v>
      </c>
      <c r="R239" s="1" t="s">
        <v>27</v>
      </c>
      <c r="S239" s="1" t="s">
        <v>28</v>
      </c>
      <c r="T239" s="1" t="s">
        <v>29</v>
      </c>
    </row>
    <row r="240" customFormat="false" ht="18.7" hidden="false" customHeight="true" outlineLevel="0" collapsed="false">
      <c r="A240" s="1" t="n">
        <v>239</v>
      </c>
      <c r="B240" s="6" t="str">
        <f aca="false">HYPERLINK("https://mncourtfraud.com/file/MCRO_27-CR-18-26530_Notice of Remote Hearing with Instructions_2021-11-09_20240430093357.pdf","MCRO_27-CR-18-26530_Notice of Remote Hearing with Instructions_2021-11-09_20240430093357.pdf")</f>
        <v>MCRO_27-CR-18-26530_Notice of Remote Hearing with Instructions_2021-11-09_20240430093357.pdf</v>
      </c>
      <c r="C240" s="1" t="n">
        <v>4</v>
      </c>
      <c r="D240" s="1" t="n">
        <v>1</v>
      </c>
      <c r="E240" s="1" t="n">
        <v>1</v>
      </c>
      <c r="F240" s="3" t="s">
        <v>20</v>
      </c>
      <c r="G240" s="3" t="s">
        <v>1061</v>
      </c>
      <c r="H240" s="1" t="s">
        <v>22</v>
      </c>
      <c r="I240" s="1" t="n">
        <v>20240430093357</v>
      </c>
      <c r="J240" s="3" t="s">
        <v>1062</v>
      </c>
      <c r="K240" s="3" t="s">
        <v>1063</v>
      </c>
      <c r="L240" s="3" t="s">
        <v>1064</v>
      </c>
      <c r="M240" s="3" t="n">
        <v>154070</v>
      </c>
      <c r="N240" s="3" t="s">
        <v>1065</v>
      </c>
      <c r="O240" s="1" t="n">
        <v>137684</v>
      </c>
      <c r="P240" s="1" t="n">
        <v>89.36</v>
      </c>
      <c r="Q240" s="1" t="s">
        <v>20</v>
      </c>
      <c r="R240" s="1" t="s">
        <v>27</v>
      </c>
      <c r="S240" s="1" t="s">
        <v>28</v>
      </c>
      <c r="T240" s="1" t="s">
        <v>29</v>
      </c>
    </row>
    <row r="241" customFormat="false" ht="18.7" hidden="false" customHeight="true" outlineLevel="0" collapsed="false">
      <c r="A241" s="1" t="n">
        <v>240</v>
      </c>
      <c r="B241" s="6" t="str">
        <f aca="false">HYPERLINK("https://mncourtfraud.com/file/MCRO_27-CR-18-26530_Notice of Remote Hearing with Instructions_2022-02-23_20240430093354.pdf","MCRO_27-CR-18-26530_Notice of Remote Hearing with Instructions_2022-02-23_20240430093354.pdf")</f>
        <v>MCRO_27-CR-18-26530_Notice of Remote Hearing with Instructions_2022-02-23_20240430093354.pdf</v>
      </c>
      <c r="C241" s="1" t="n">
        <v>4</v>
      </c>
      <c r="D241" s="1" t="n">
        <v>1</v>
      </c>
      <c r="E241" s="1" t="n">
        <v>1</v>
      </c>
      <c r="F241" s="3" t="s">
        <v>20</v>
      </c>
      <c r="G241" s="3" t="s">
        <v>1066</v>
      </c>
      <c r="H241" s="1" t="s">
        <v>22</v>
      </c>
      <c r="I241" s="1" t="n">
        <v>20240430093354</v>
      </c>
      <c r="J241" s="3" t="s">
        <v>1067</v>
      </c>
      <c r="K241" s="3" t="s">
        <v>1068</v>
      </c>
      <c r="L241" s="3" t="s">
        <v>1069</v>
      </c>
      <c r="M241" s="3" t="n">
        <v>156146</v>
      </c>
      <c r="N241" s="3" t="s">
        <v>1065</v>
      </c>
      <c r="O241" s="1" t="n">
        <v>139760</v>
      </c>
      <c r="P241" s="1" t="n">
        <v>89.51</v>
      </c>
      <c r="Q241" s="1" t="s">
        <v>20</v>
      </c>
      <c r="R241" s="1" t="s">
        <v>27</v>
      </c>
      <c r="S241" s="1" t="s">
        <v>28</v>
      </c>
      <c r="T241" s="1" t="s">
        <v>29</v>
      </c>
    </row>
    <row r="242" customFormat="false" ht="18.7" hidden="false" customHeight="true" outlineLevel="0" collapsed="false">
      <c r="A242" s="1" t="n">
        <v>241</v>
      </c>
      <c r="B242" s="6" t="str">
        <f aca="false">HYPERLINK("https://mncourtfraud.com/file/MCRO_27-CR-18-26530_Notice of Remote Hearing with Instructions_2022-02-23_20240430093355.pdf","MCRO_27-CR-18-26530_Notice of Remote Hearing with Instructions_2022-02-23_20240430093355.pdf")</f>
        <v>MCRO_27-CR-18-26530_Notice of Remote Hearing with Instructions_2022-02-23_20240430093355.pdf</v>
      </c>
      <c r="C242" s="1" t="n">
        <v>4</v>
      </c>
      <c r="D242" s="1" t="n">
        <v>1</v>
      </c>
      <c r="E242" s="1" t="n">
        <v>1</v>
      </c>
      <c r="F242" s="3" t="s">
        <v>20</v>
      </c>
      <c r="G242" s="3" t="s">
        <v>1070</v>
      </c>
      <c r="H242" s="1" t="s">
        <v>22</v>
      </c>
      <c r="I242" s="1" t="n">
        <v>20240430093355</v>
      </c>
      <c r="J242" s="3" t="s">
        <v>1071</v>
      </c>
      <c r="K242" s="3" t="s">
        <v>1072</v>
      </c>
      <c r="L242" s="3" t="s">
        <v>1073</v>
      </c>
      <c r="M242" s="3" t="n">
        <v>157961</v>
      </c>
      <c r="N242" s="3" t="s">
        <v>1065</v>
      </c>
      <c r="O242" s="1" t="n">
        <v>141575</v>
      </c>
      <c r="P242" s="1" t="n">
        <v>89.63</v>
      </c>
      <c r="Q242" s="1" t="s">
        <v>20</v>
      </c>
      <c r="R242" s="1" t="s">
        <v>27</v>
      </c>
      <c r="S242" s="1" t="s">
        <v>28</v>
      </c>
      <c r="T242" s="1" t="s">
        <v>29</v>
      </c>
    </row>
    <row r="243" customFormat="false" ht="18.7" hidden="false" customHeight="true" outlineLevel="0" collapsed="false">
      <c r="A243" s="1" t="n">
        <v>242</v>
      </c>
      <c r="B243" s="6" t="str">
        <f aca="false">HYPERLINK("https://mncourtfraud.com/file/MCRO_27-CR-18-26530_Notice of Remote Hearing with Instructions_2023-11-21_20240430093349.pdf","MCRO_27-CR-18-26530_Notice of Remote Hearing with Instructions_2023-11-21_20240430093349.pdf")</f>
        <v>MCRO_27-CR-18-26530_Notice of Remote Hearing with Instructions_2023-11-21_20240430093349.pdf</v>
      </c>
      <c r="C243" s="1" t="n">
        <v>5</v>
      </c>
      <c r="D243" s="1" t="n">
        <v>1</v>
      </c>
      <c r="E243" s="1" t="n">
        <v>1</v>
      </c>
      <c r="F243" s="3" t="s">
        <v>20</v>
      </c>
      <c r="G243" s="3" t="s">
        <v>1074</v>
      </c>
      <c r="H243" s="1" t="s">
        <v>22</v>
      </c>
      <c r="I243" s="1" t="n">
        <v>20240430093349</v>
      </c>
      <c r="J243" s="3" t="s">
        <v>1075</v>
      </c>
      <c r="K243" s="3" t="s">
        <v>1076</v>
      </c>
      <c r="L243" s="3" t="s">
        <v>1077</v>
      </c>
      <c r="M243" s="3" t="n">
        <v>859491</v>
      </c>
      <c r="N243" s="3" t="s">
        <v>1009</v>
      </c>
      <c r="O243" s="1" t="n">
        <v>843105</v>
      </c>
      <c r="P243" s="1" t="n">
        <v>98.09</v>
      </c>
      <c r="Q243" s="1" t="s">
        <v>20</v>
      </c>
      <c r="R243" s="1" t="s">
        <v>27</v>
      </c>
      <c r="S243" s="1" t="s">
        <v>28</v>
      </c>
      <c r="T243" s="1" t="s">
        <v>29</v>
      </c>
    </row>
    <row r="244" customFormat="false" ht="18.7" hidden="false" customHeight="true" outlineLevel="0" collapsed="false">
      <c r="A244" s="1" t="n">
        <v>243</v>
      </c>
      <c r="B244" s="6" t="str">
        <f aca="false">HYPERLINK("https://mncourtfraud.com/file/MCRO_27-CR-18-26530_Notice of Remote Hearing with Instructions_2024-01-25_20240430093348.pdf","MCRO_27-CR-18-26530_Notice of Remote Hearing with Instructions_2024-01-25_20240430093348.pdf")</f>
        <v>MCRO_27-CR-18-26530_Notice of Remote Hearing with Instructions_2024-01-25_20240430093348.pdf</v>
      </c>
      <c r="C244" s="1" t="n">
        <v>5</v>
      </c>
      <c r="D244" s="1" t="n">
        <v>1</v>
      </c>
      <c r="E244" s="1" t="n">
        <v>1</v>
      </c>
      <c r="F244" s="3" t="s">
        <v>20</v>
      </c>
      <c r="G244" s="3" t="s">
        <v>1078</v>
      </c>
      <c r="H244" s="1" t="s">
        <v>22</v>
      </c>
      <c r="I244" s="1" t="n">
        <v>20240430093348</v>
      </c>
      <c r="J244" s="3" t="s">
        <v>1079</v>
      </c>
      <c r="K244" s="3" t="s">
        <v>1080</v>
      </c>
      <c r="L244" s="3" t="s">
        <v>1081</v>
      </c>
      <c r="M244" s="3" t="n">
        <v>844510</v>
      </c>
      <c r="N244" s="3" t="s">
        <v>510</v>
      </c>
      <c r="O244" s="1" t="n">
        <v>828124</v>
      </c>
      <c r="P244" s="1" t="n">
        <v>98.06</v>
      </c>
      <c r="Q244" s="1" t="s">
        <v>20</v>
      </c>
      <c r="R244" s="1" t="s">
        <v>27</v>
      </c>
      <c r="S244" s="1" t="s">
        <v>28</v>
      </c>
      <c r="T244" s="1" t="s">
        <v>29</v>
      </c>
    </row>
    <row r="245" customFormat="false" ht="18.7" hidden="false" customHeight="true" outlineLevel="0" collapsed="false">
      <c r="A245" s="1" t="n">
        <v>244</v>
      </c>
      <c r="B245" s="6" t="str">
        <f aca="false">HYPERLINK("https://mncourtfraud.com/file/MCRO_27-CR-18-26530_Order-Evaluation for Competency to Proceed (Rule 20.01)_2023-04-20_20240430093353.pdf","MCRO_27-CR-18-26530_Order-Evaluation for Competency to Proceed (Rule 20.01)_2023-04-20_20240430093353.pdf")</f>
        <v>MCRO_27-CR-18-26530_Order-Evaluation for Competency to Proceed (Rule 20.01)_2023-04-20_20240430093353.pdf</v>
      </c>
      <c r="C245" s="1" t="n">
        <v>4</v>
      </c>
      <c r="D245" s="1" t="n">
        <v>1</v>
      </c>
      <c r="E245" s="1" t="n">
        <v>1</v>
      </c>
      <c r="F245" s="3" t="s">
        <v>20</v>
      </c>
      <c r="G245" s="3" t="s">
        <v>1082</v>
      </c>
      <c r="H245" s="1" t="s">
        <v>22</v>
      </c>
      <c r="I245" s="1" t="n">
        <v>20240430093353</v>
      </c>
      <c r="J245" s="3" t="s">
        <v>1083</v>
      </c>
      <c r="K245" s="3" t="s">
        <v>1084</v>
      </c>
      <c r="L245" s="3" t="s">
        <v>1085</v>
      </c>
      <c r="M245" s="3" t="n">
        <v>133186</v>
      </c>
      <c r="N245" s="3" t="s">
        <v>1086</v>
      </c>
      <c r="O245" s="1" t="n">
        <v>116800</v>
      </c>
      <c r="P245" s="1" t="n">
        <v>87.7</v>
      </c>
      <c r="Q245" s="1" t="s">
        <v>20</v>
      </c>
      <c r="R245" s="1" t="s">
        <v>27</v>
      </c>
      <c r="S245" s="1" t="s">
        <v>28</v>
      </c>
      <c r="T245" s="1" t="s">
        <v>29</v>
      </c>
    </row>
    <row r="246" customFormat="false" ht="18.7" hidden="false" customHeight="true" outlineLevel="0" collapsed="false">
      <c r="A246" s="1" t="n">
        <v>245</v>
      </c>
      <c r="B246" s="6" t="str">
        <f aca="false">HYPERLINK("https://mncourtfraud.com/file/MCRO_27-CR-18-26530_Order-Evaluation for Competency to Proceed (Rule 20.01)_2023-09-11_20240430093350.pdf","MCRO_27-CR-18-26530_Order-Evaluation for Competency to Proceed (Rule 20.01)_2023-09-11_20240430093350.pdf")</f>
        <v>MCRO_27-CR-18-26530_Order-Evaluation for Competency to Proceed (Rule 20.01)_2023-09-11_20240430093350.pdf</v>
      </c>
      <c r="C246" s="1" t="n">
        <v>5</v>
      </c>
      <c r="D246" s="1" t="n">
        <v>1</v>
      </c>
      <c r="E246" s="1" t="n">
        <v>1</v>
      </c>
      <c r="F246" s="3" t="s">
        <v>20</v>
      </c>
      <c r="G246" s="3" t="s">
        <v>1087</v>
      </c>
      <c r="H246" s="1" t="s">
        <v>22</v>
      </c>
      <c r="I246" s="1" t="n">
        <v>20240430093350</v>
      </c>
      <c r="J246" s="3" t="s">
        <v>1088</v>
      </c>
      <c r="K246" s="3" t="s">
        <v>1089</v>
      </c>
      <c r="L246" s="3" t="s">
        <v>1090</v>
      </c>
      <c r="M246" s="3" t="n">
        <v>760852</v>
      </c>
      <c r="N246" s="3" t="s">
        <v>1091</v>
      </c>
      <c r="O246" s="1" t="n">
        <v>744466</v>
      </c>
      <c r="P246" s="1" t="n">
        <v>97.85</v>
      </c>
      <c r="Q246" s="1" t="s">
        <v>20</v>
      </c>
      <c r="R246" s="1" t="s">
        <v>27</v>
      </c>
      <c r="S246" s="1" t="s">
        <v>28</v>
      </c>
      <c r="T246" s="1" t="s">
        <v>29</v>
      </c>
    </row>
    <row r="247" customFormat="false" ht="18.7" hidden="false" customHeight="true" outlineLevel="0" collapsed="false">
      <c r="A247" s="1" t="n">
        <v>246</v>
      </c>
      <c r="B247" s="6" t="str">
        <f aca="false">HYPERLINK("https://mncourtfraud.com/file/MCRO_27-CR-18-26530_Order to Appear_2020-02-04_20240430093401.pdf","MCRO_27-CR-18-26530_Order to Appear_2020-02-04_20240430093401.pdf")</f>
        <v>MCRO_27-CR-18-26530_Order to Appear_2020-02-04_20240430093401.pdf</v>
      </c>
      <c r="C247" s="1" t="n">
        <v>6</v>
      </c>
      <c r="D247" s="1" t="n">
        <v>4</v>
      </c>
      <c r="E247" s="1" t="n">
        <v>4</v>
      </c>
      <c r="F247" s="3" t="s">
        <v>27</v>
      </c>
      <c r="G247" s="3" t="s">
        <v>1092</v>
      </c>
      <c r="H247" s="1" t="s">
        <v>22</v>
      </c>
      <c r="I247" s="1" t="n">
        <v>20240430093401</v>
      </c>
      <c r="J247" s="3" t="s">
        <v>1093</v>
      </c>
      <c r="K247" s="3" t="s">
        <v>1094</v>
      </c>
      <c r="L247" s="3" t="s">
        <v>1095</v>
      </c>
      <c r="M247" s="3" t="n">
        <v>297233</v>
      </c>
      <c r="N247" s="3" t="s">
        <v>1096</v>
      </c>
      <c r="O247" s="1" t="n">
        <v>280847</v>
      </c>
      <c r="P247" s="1" t="n">
        <v>94.49</v>
      </c>
      <c r="Q247" s="1" t="s">
        <v>20</v>
      </c>
      <c r="R247" s="1" t="s">
        <v>27</v>
      </c>
      <c r="S247" s="1" t="s">
        <v>28</v>
      </c>
      <c r="T247" s="1" t="s">
        <v>29</v>
      </c>
    </row>
    <row r="248" customFormat="false" ht="18.7" hidden="false" customHeight="true" outlineLevel="0" collapsed="false">
      <c r="A248" s="1" t="n">
        <v>247</v>
      </c>
      <c r="B248" s="6" t="str">
        <f aca="false">HYPERLINK("https://mncourtfraud.com/file/MCRO_27-CR-18-26530_Pandemic Notice of Cancelled or Rescheduled Hearing_2020-07-06_20240430093358.pdf","MCRO_27-CR-18-26530_Pandemic Notice of Cancelled or Rescheduled Hearing_2020-07-06_20240430093358.pdf")</f>
        <v>MCRO_27-CR-18-26530_Pandemic Notice of Cancelled or Rescheduled Hearing_2020-07-06_20240430093358.pdf</v>
      </c>
      <c r="C248" s="1" t="n">
        <v>4</v>
      </c>
      <c r="D248" s="1" t="n">
        <v>1</v>
      </c>
      <c r="E248" s="1" t="n">
        <v>1</v>
      </c>
      <c r="F248" s="3" t="s">
        <v>20</v>
      </c>
      <c r="G248" s="3" t="s">
        <v>1097</v>
      </c>
      <c r="H248" s="1" t="s">
        <v>22</v>
      </c>
      <c r="I248" s="1" t="n">
        <v>20240430093358</v>
      </c>
      <c r="J248" s="3" t="s">
        <v>1098</v>
      </c>
      <c r="K248" s="3" t="s">
        <v>1099</v>
      </c>
      <c r="L248" s="3" t="s">
        <v>1100</v>
      </c>
      <c r="M248" s="3" t="n">
        <v>831484</v>
      </c>
      <c r="N248" s="3" t="s">
        <v>1101</v>
      </c>
      <c r="O248" s="1" t="n">
        <v>815098</v>
      </c>
      <c r="P248" s="1" t="n">
        <v>98.03</v>
      </c>
      <c r="Q248" s="1" t="s">
        <v>20</v>
      </c>
      <c r="R248" s="1" t="s">
        <v>27</v>
      </c>
      <c r="S248" s="1" t="s">
        <v>28</v>
      </c>
      <c r="T248" s="1" t="s">
        <v>29</v>
      </c>
    </row>
    <row r="249" customFormat="false" ht="18.7" hidden="false" customHeight="true" outlineLevel="0" collapsed="false">
      <c r="A249" s="1" t="n">
        <v>248</v>
      </c>
      <c r="B249" s="6" t="str">
        <f aca="false">HYPERLINK("https://mncourtfraud.com/file/MCRO_27-CR-18-26530_Petition to Enter Guilty Plea_2019-04-03_20240430093404.pdf","MCRO_27-CR-18-26530_Petition to Enter Guilty Plea_2019-04-03_20240430093404.pdf")</f>
        <v>MCRO_27-CR-18-26530_Petition to Enter Guilty Plea_2019-04-03_20240430093404.pdf</v>
      </c>
      <c r="C249" s="1" t="n">
        <v>4</v>
      </c>
      <c r="D249" s="1" t="n">
        <v>1</v>
      </c>
      <c r="E249" s="1" t="n">
        <v>1</v>
      </c>
      <c r="F249" s="3" t="s">
        <v>20</v>
      </c>
      <c r="G249" s="3" t="s">
        <v>1102</v>
      </c>
      <c r="H249" s="1" t="s">
        <v>22</v>
      </c>
      <c r="I249" s="1" t="n">
        <v>20240430093404</v>
      </c>
      <c r="J249" s="3" t="s">
        <v>1103</v>
      </c>
      <c r="K249" s="3" t="s">
        <v>1104</v>
      </c>
      <c r="L249" s="3" t="s">
        <v>1105</v>
      </c>
      <c r="M249" s="3" t="n">
        <v>220850</v>
      </c>
      <c r="N249" s="3" t="s">
        <v>1106</v>
      </c>
      <c r="O249" s="1" t="n">
        <v>204464</v>
      </c>
      <c r="P249" s="1" t="n">
        <v>92.58</v>
      </c>
      <c r="Q249" s="1" t="s">
        <v>20</v>
      </c>
      <c r="R249" s="1" t="s">
        <v>27</v>
      </c>
      <c r="S249" s="1" t="s">
        <v>28</v>
      </c>
      <c r="T249" s="1" t="s">
        <v>29</v>
      </c>
    </row>
    <row r="250" customFormat="false" ht="18.7" hidden="false" customHeight="true" outlineLevel="0" collapsed="false">
      <c r="A250" s="1" t="n">
        <v>249</v>
      </c>
      <c r="B250" s="6" t="str">
        <f aca="false">HYPERLINK("https://mncourtfraud.com/file/MCRO_27-CR-18-26530_Probation Referral Notification_2019-04-03_20240430093402.pdf","MCRO_27-CR-18-26530_Probation Referral Notification_2019-04-03_20240430093402.pdf")</f>
        <v>MCRO_27-CR-18-26530_Probation Referral Notification_2019-04-03_20240430093402.pdf</v>
      </c>
      <c r="C250" s="1" t="n">
        <v>4</v>
      </c>
      <c r="D250" s="1" t="n">
        <v>1</v>
      </c>
      <c r="E250" s="1" t="n">
        <v>1</v>
      </c>
      <c r="F250" s="3" t="s">
        <v>20</v>
      </c>
      <c r="G250" s="3" t="s">
        <v>1107</v>
      </c>
      <c r="H250" s="1" t="s">
        <v>22</v>
      </c>
      <c r="I250" s="1" t="n">
        <v>20240430093402</v>
      </c>
      <c r="J250" s="3" t="s">
        <v>1108</v>
      </c>
      <c r="K250" s="3" t="s">
        <v>1109</v>
      </c>
      <c r="L250" s="3" t="s">
        <v>1110</v>
      </c>
      <c r="M250" s="3" t="n">
        <v>147115</v>
      </c>
      <c r="N250" s="3" t="s">
        <v>435</v>
      </c>
      <c r="O250" s="1" t="n">
        <v>130729</v>
      </c>
      <c r="P250" s="1" t="n">
        <v>88.86</v>
      </c>
      <c r="Q250" s="1" t="s">
        <v>20</v>
      </c>
      <c r="R250" s="1" t="s">
        <v>27</v>
      </c>
      <c r="S250" s="1" t="s">
        <v>28</v>
      </c>
      <c r="T250" s="1" t="s">
        <v>29</v>
      </c>
    </row>
    <row r="251" customFormat="false" ht="18.7" hidden="false" customHeight="true" outlineLevel="0" collapsed="false">
      <c r="A251" s="1" t="n">
        <v>250</v>
      </c>
      <c r="B251" s="6" t="str">
        <f aca="false">HYPERLINK("https://mncourtfraud.com/file/MCRO_27-CR-18-26530_Proposed Order or Document_2023-08-03_20240430093351.pdf","MCRO_27-CR-18-26530_Proposed Order or Document_2023-08-03_20240430093351.pdf")</f>
        <v>MCRO_27-CR-18-26530_Proposed Order or Document_2023-08-03_20240430093351.pdf</v>
      </c>
      <c r="C251" s="1" t="n">
        <v>3</v>
      </c>
      <c r="D251" s="1" t="n">
        <v>1</v>
      </c>
      <c r="E251" s="1" t="n">
        <v>1</v>
      </c>
      <c r="F251" s="3" t="s">
        <v>20</v>
      </c>
      <c r="G251" s="3" t="s">
        <v>1111</v>
      </c>
      <c r="H251" s="1" t="s">
        <v>22</v>
      </c>
      <c r="I251" s="1" t="n">
        <v>20240430093351</v>
      </c>
      <c r="J251" s="3" t="s">
        <v>1112</v>
      </c>
      <c r="K251" s="3" t="s">
        <v>1113</v>
      </c>
      <c r="L251" s="3" t="s">
        <v>1114</v>
      </c>
      <c r="M251" s="3" t="n">
        <v>179784</v>
      </c>
      <c r="N251" s="3" t="s">
        <v>1115</v>
      </c>
      <c r="O251" s="1" t="n">
        <v>163398</v>
      </c>
      <c r="P251" s="1" t="n">
        <v>90.89</v>
      </c>
      <c r="Q251" s="1" t="s">
        <v>20</v>
      </c>
      <c r="R251" s="1" t="s">
        <v>27</v>
      </c>
      <c r="S251" s="1" t="s">
        <v>28</v>
      </c>
      <c r="T251" s="1" t="s">
        <v>29</v>
      </c>
    </row>
    <row r="252" customFormat="false" ht="18.7" hidden="false" customHeight="true" outlineLevel="0" collapsed="false">
      <c r="A252" s="1" t="n">
        <v>251</v>
      </c>
      <c r="B252" s="6" t="str">
        <f aca="false">HYPERLINK("https://mncourtfraud.com/file/MCRO_27-CR-18-26530_Returned Mail_2018-11-08_20240430093417.pdf","MCRO_27-CR-18-26530_Returned Mail_2018-11-08_20240430093417.pdf")</f>
        <v>MCRO_27-CR-18-26530_Returned Mail_2018-11-08_20240430093417.pdf</v>
      </c>
      <c r="C252" s="1" t="n">
        <v>4</v>
      </c>
      <c r="D252" s="1" t="n">
        <v>1</v>
      </c>
      <c r="E252" s="1" t="n">
        <v>1</v>
      </c>
      <c r="F252" s="3" t="s">
        <v>20</v>
      </c>
      <c r="G252" s="3" t="s">
        <v>1116</v>
      </c>
      <c r="H252" s="1" t="s">
        <v>22</v>
      </c>
      <c r="I252" s="1" t="n">
        <v>20240430093417</v>
      </c>
      <c r="J252" s="3" t="s">
        <v>1117</v>
      </c>
      <c r="K252" s="3" t="s">
        <v>1118</v>
      </c>
      <c r="L252" s="3" t="s">
        <v>1119</v>
      </c>
      <c r="M252" s="3" t="n">
        <v>113666</v>
      </c>
      <c r="N252" s="3" t="s">
        <v>119</v>
      </c>
      <c r="O252" s="1" t="n">
        <v>97280</v>
      </c>
      <c r="P252" s="1" t="n">
        <v>85.58</v>
      </c>
      <c r="Q252" s="1" t="s">
        <v>20</v>
      </c>
      <c r="R252" s="1" t="s">
        <v>27</v>
      </c>
      <c r="S252" s="1" t="s">
        <v>28</v>
      </c>
      <c r="T252" s="1" t="s">
        <v>29</v>
      </c>
    </row>
    <row r="253" customFormat="false" ht="18.7" hidden="false" customHeight="true" outlineLevel="0" collapsed="false">
      <c r="A253" s="1" t="n">
        <v>252</v>
      </c>
      <c r="B253" s="6" t="str">
        <f aca="false">HYPERLINK("https://mncourtfraud.com/file/MCRO_27-CR-18-26530_Returned Mail_2021-11-19_20240430093356.pdf","MCRO_27-CR-18-26530_Returned Mail_2021-11-19_20240430093356.pdf")</f>
        <v>MCRO_27-CR-18-26530_Returned Mail_2021-11-19_20240430093356.pdf</v>
      </c>
      <c r="C253" s="1" t="n">
        <v>4</v>
      </c>
      <c r="D253" s="1" t="n">
        <v>1</v>
      </c>
      <c r="E253" s="1" t="n">
        <v>1</v>
      </c>
      <c r="F253" s="3" t="s">
        <v>20</v>
      </c>
      <c r="G253" s="3" t="s">
        <v>1120</v>
      </c>
      <c r="H253" s="1" t="s">
        <v>22</v>
      </c>
      <c r="I253" s="1" t="n">
        <v>20240430093356</v>
      </c>
      <c r="J253" s="3" t="s">
        <v>1121</v>
      </c>
      <c r="K253" s="3" t="s">
        <v>1122</v>
      </c>
      <c r="L253" s="3" t="s">
        <v>1123</v>
      </c>
      <c r="M253" s="3" t="n">
        <v>224610</v>
      </c>
      <c r="N253" s="3" t="s">
        <v>456</v>
      </c>
      <c r="O253" s="1" t="n">
        <v>208224</v>
      </c>
      <c r="P253" s="1" t="n">
        <v>92.7</v>
      </c>
      <c r="Q253" s="1" t="s">
        <v>20</v>
      </c>
      <c r="R253" s="1" t="s">
        <v>27</v>
      </c>
      <c r="S253" s="1" t="s">
        <v>28</v>
      </c>
      <c r="T253" s="1" t="s">
        <v>29</v>
      </c>
    </row>
    <row r="254" customFormat="false" ht="18.7" hidden="false" customHeight="true" outlineLevel="0" collapsed="false">
      <c r="A254" s="1" t="n">
        <v>253</v>
      </c>
      <c r="B254" s="6" t="str">
        <f aca="false">HYPERLINK("https://mncourtfraud.com/file/MCRO_27-CR-18-26530_Returned Mail_2024-02-09_20240430093346.pdf","MCRO_27-CR-18-26530_Returned Mail_2024-02-09_20240430093346.pdf")</f>
        <v>MCRO_27-CR-18-26530_Returned Mail_2024-02-09_20240430093346.pdf</v>
      </c>
      <c r="C254" s="1" t="n">
        <v>4</v>
      </c>
      <c r="D254" s="1" t="n">
        <v>1</v>
      </c>
      <c r="E254" s="1" t="n">
        <v>1</v>
      </c>
      <c r="F254" s="3" t="s">
        <v>20</v>
      </c>
      <c r="G254" s="3" t="s">
        <v>1124</v>
      </c>
      <c r="H254" s="1" t="s">
        <v>22</v>
      </c>
      <c r="I254" s="1" t="n">
        <v>20240430093346</v>
      </c>
      <c r="J254" s="3" t="s">
        <v>1125</v>
      </c>
      <c r="K254" s="3" t="s">
        <v>1126</v>
      </c>
      <c r="L254" s="3" t="s">
        <v>1127</v>
      </c>
      <c r="M254" s="3" t="n">
        <v>852586</v>
      </c>
      <c r="N254" s="3" t="s">
        <v>1128</v>
      </c>
      <c r="O254" s="1" t="n">
        <v>836200</v>
      </c>
      <c r="P254" s="1" t="n">
        <v>98.08</v>
      </c>
      <c r="Q254" s="1" t="s">
        <v>20</v>
      </c>
      <c r="R254" s="1" t="s">
        <v>27</v>
      </c>
      <c r="S254" s="1" t="s">
        <v>28</v>
      </c>
      <c r="T254" s="1" t="s">
        <v>29</v>
      </c>
    </row>
    <row r="255" customFormat="false" ht="18.7" hidden="false" customHeight="true" outlineLevel="0" collapsed="false">
      <c r="A255" s="1" t="n">
        <v>254</v>
      </c>
      <c r="B255" s="6" t="str">
        <f aca="false">HYPERLINK("https://mncourtfraud.com/file/MCRO_27-CR-18-26530_Sentencing Order_2019-04-03_20240430093406 (1).pdf","MCRO_27-CR-18-26530_Sentencing Order_2019-04-03_20240430093406 (1).pdf")</f>
        <v>MCRO_27-CR-18-26530_Sentencing Order_2019-04-03_20240430093406 (1).pdf</v>
      </c>
      <c r="C255" s="1" t="n">
        <v>4</v>
      </c>
      <c r="D255" s="1" t="n">
        <v>1</v>
      </c>
      <c r="E255" s="1" t="n">
        <v>1</v>
      </c>
      <c r="F255" s="3" t="s">
        <v>20</v>
      </c>
      <c r="G255" s="3" t="s">
        <v>1129</v>
      </c>
      <c r="H255" s="1" t="s">
        <v>22</v>
      </c>
      <c r="I255" s="1" t="n">
        <v>20240430093406</v>
      </c>
      <c r="J255" s="3" t="s">
        <v>1130</v>
      </c>
      <c r="K255" s="3" t="s">
        <v>1131</v>
      </c>
      <c r="L255" s="3" t="s">
        <v>1132</v>
      </c>
      <c r="M255" s="3" t="n">
        <v>195523</v>
      </c>
      <c r="N255" s="3" t="s">
        <v>777</v>
      </c>
      <c r="O255" s="1" t="n">
        <v>179137</v>
      </c>
      <c r="P255" s="1" t="n">
        <v>91.62</v>
      </c>
      <c r="Q255" s="1" t="s">
        <v>20</v>
      </c>
      <c r="R255" s="1" t="s">
        <v>27</v>
      </c>
      <c r="S255" s="1" t="s">
        <v>28</v>
      </c>
      <c r="T255" s="1" t="s">
        <v>29</v>
      </c>
    </row>
    <row r="256" customFormat="false" ht="18.7" hidden="false" customHeight="true" outlineLevel="0" collapsed="false">
      <c r="A256" s="1" t="n">
        <v>255</v>
      </c>
      <c r="B256" s="6" t="str">
        <f aca="false">HYPERLINK("https://mncourtfraud.com/file/MCRO_27-CR-18-26530_Sentencing Order_2019-04-03_20240430093406.pdf","MCRO_27-CR-18-26530_Sentencing Order_2019-04-03_20240430093406.pdf")</f>
        <v>MCRO_27-CR-18-26530_Sentencing Order_2019-04-03_20240430093406.pdf</v>
      </c>
      <c r="C256" s="1" t="n">
        <v>4</v>
      </c>
      <c r="D256" s="1" t="n">
        <v>1</v>
      </c>
      <c r="E256" s="1" t="n">
        <v>1</v>
      </c>
      <c r="F256" s="3" t="s">
        <v>20</v>
      </c>
      <c r="G256" s="3" t="s">
        <v>1133</v>
      </c>
      <c r="H256" s="1" t="s">
        <v>22</v>
      </c>
      <c r="I256" s="1" t="n">
        <v>20240430093406</v>
      </c>
      <c r="J256" s="3" t="s">
        <v>1134</v>
      </c>
      <c r="K256" s="3" t="s">
        <v>1135</v>
      </c>
      <c r="L256" s="3" t="s">
        <v>1136</v>
      </c>
      <c r="M256" s="3" t="n">
        <v>487134</v>
      </c>
      <c r="N256" s="3" t="s">
        <v>456</v>
      </c>
      <c r="O256" s="1" t="n">
        <v>470748</v>
      </c>
      <c r="P256" s="1" t="n">
        <v>96.64</v>
      </c>
      <c r="Q256" s="1" t="s">
        <v>20</v>
      </c>
      <c r="R256" s="1" t="s">
        <v>27</v>
      </c>
      <c r="S256" s="1" t="s">
        <v>28</v>
      </c>
      <c r="T256" s="1" t="s">
        <v>29</v>
      </c>
    </row>
    <row r="257" customFormat="false" ht="18.7" hidden="false" customHeight="true" outlineLevel="0" collapsed="false">
      <c r="A257" s="1" t="n">
        <v>256</v>
      </c>
      <c r="B257" s="6" t="str">
        <f aca="false">HYPERLINK("https://mncourtfraud.com/file/MCRO_27-CR-18-26530_Summons_2018-11-01_20240430093418.pdf","MCRO_27-CR-18-26530_Summons_2018-11-01_20240430093418.pdf")</f>
        <v>MCRO_27-CR-18-26530_Summons_2018-11-01_20240430093418.pdf</v>
      </c>
      <c r="C257" s="1" t="n">
        <v>4</v>
      </c>
      <c r="D257" s="1" t="n">
        <v>1</v>
      </c>
      <c r="E257" s="1" t="n">
        <v>1</v>
      </c>
      <c r="F257" s="3" t="s">
        <v>20</v>
      </c>
      <c r="G257" s="3" t="s">
        <v>1137</v>
      </c>
      <c r="H257" s="1" t="s">
        <v>22</v>
      </c>
      <c r="I257" s="1" t="n">
        <v>20240430093418</v>
      </c>
      <c r="J257" s="3" t="s">
        <v>1138</v>
      </c>
      <c r="K257" s="3" t="s">
        <v>1139</v>
      </c>
      <c r="L257" s="3" t="s">
        <v>1140</v>
      </c>
      <c r="M257" s="3" t="n">
        <v>112585</v>
      </c>
      <c r="N257" s="3" t="s">
        <v>119</v>
      </c>
      <c r="O257" s="1" t="n">
        <v>96199</v>
      </c>
      <c r="P257" s="1" t="n">
        <v>85.45</v>
      </c>
      <c r="Q257" s="1" t="s">
        <v>20</v>
      </c>
      <c r="R257" s="1" t="s">
        <v>27</v>
      </c>
      <c r="S257" s="1" t="s">
        <v>28</v>
      </c>
      <c r="T257" s="1" t="s">
        <v>29</v>
      </c>
    </row>
    <row r="258" customFormat="false" ht="18.7" hidden="false" customHeight="true" outlineLevel="0" collapsed="false">
      <c r="A258" s="1" t="n">
        <v>257</v>
      </c>
      <c r="B258" s="6" t="str">
        <f aca="false">HYPERLINK("https://mncourtfraud.com/file/MCRO_27-CR-18-26530_Warrant Issued_2018-11-29_20240430093416.pdf","MCRO_27-CR-18-26530_Warrant Issued_2018-11-29_20240430093416.pdf")</f>
        <v>MCRO_27-CR-18-26530_Warrant Issued_2018-11-29_20240430093416.pdf</v>
      </c>
      <c r="C258" s="1" t="n">
        <v>4</v>
      </c>
      <c r="D258" s="1" t="n">
        <v>1</v>
      </c>
      <c r="E258" s="1" t="n">
        <v>1</v>
      </c>
      <c r="F258" s="3" t="s">
        <v>20</v>
      </c>
      <c r="G258" s="3" t="s">
        <v>1141</v>
      </c>
      <c r="H258" s="1" t="s">
        <v>22</v>
      </c>
      <c r="I258" s="1" t="n">
        <v>20240430093416</v>
      </c>
      <c r="J258" s="3" t="s">
        <v>1142</v>
      </c>
      <c r="K258" s="3" t="s">
        <v>1143</v>
      </c>
      <c r="L258" s="3" t="s">
        <v>1144</v>
      </c>
      <c r="M258" s="3" t="n">
        <v>225001</v>
      </c>
      <c r="N258" s="3" t="s">
        <v>1145</v>
      </c>
      <c r="O258" s="1" t="n">
        <v>208615</v>
      </c>
      <c r="P258" s="1" t="n">
        <v>92.72</v>
      </c>
      <c r="Q258" s="1" t="s">
        <v>20</v>
      </c>
      <c r="R258" s="1" t="s">
        <v>27</v>
      </c>
      <c r="S258" s="1" t="s">
        <v>28</v>
      </c>
      <c r="T258" s="1" t="s">
        <v>29</v>
      </c>
    </row>
    <row r="259" customFormat="false" ht="18.7" hidden="false" customHeight="true" outlineLevel="0" collapsed="false">
      <c r="A259" s="1" t="n">
        <v>258</v>
      </c>
      <c r="B259" s="6" t="str">
        <f aca="false">HYPERLINK("https://mncourtfraud.com/file/MCRO_27-CR-19-11566_Amended Order_2019-09-26_20240430091635.pdf","MCRO_27-CR-19-11566_Amended Order_2019-09-26_20240430091635.pdf")</f>
        <v>MCRO_27-CR-19-11566_Amended Order_2019-09-26_20240430091635.pdf</v>
      </c>
      <c r="C259" s="1" t="n">
        <v>4</v>
      </c>
      <c r="D259" s="1" t="n">
        <v>1</v>
      </c>
      <c r="E259" s="1" t="n">
        <v>1</v>
      </c>
      <c r="F259" s="3" t="s">
        <v>20</v>
      </c>
      <c r="G259" s="3" t="s">
        <v>1146</v>
      </c>
      <c r="H259" s="1" t="s">
        <v>22</v>
      </c>
      <c r="I259" s="1" t="n">
        <v>20240430091635</v>
      </c>
      <c r="J259" s="3" t="s">
        <v>1147</v>
      </c>
      <c r="K259" s="3" t="s">
        <v>1148</v>
      </c>
      <c r="L259" s="3" t="s">
        <v>1149</v>
      </c>
      <c r="M259" s="3" t="n">
        <v>105332</v>
      </c>
      <c r="N259" s="3" t="s">
        <v>435</v>
      </c>
      <c r="O259" s="1" t="n">
        <v>88946</v>
      </c>
      <c r="P259" s="1" t="n">
        <v>84.44</v>
      </c>
      <c r="Q259" s="1" t="s">
        <v>20</v>
      </c>
      <c r="R259" s="1" t="s">
        <v>27</v>
      </c>
      <c r="S259" s="1" t="s">
        <v>28</v>
      </c>
      <c r="T259" s="1" t="s">
        <v>29</v>
      </c>
    </row>
    <row r="260" customFormat="false" ht="18.7" hidden="false" customHeight="true" outlineLevel="0" collapsed="false">
      <c r="A260" s="1" t="n">
        <v>259</v>
      </c>
      <c r="B260" s="6" t="str">
        <f aca="false">HYPERLINK("https://mncourtfraud.com/file/MCRO_27-CR-19-11566_E-filed Comp-Summons_2019-05-20_20240430091639.pdf","MCRO_27-CR-19-11566_E-filed Comp-Summons_2019-05-20_20240430091639.pdf")</f>
        <v>MCRO_27-CR-19-11566_E-filed Comp-Summons_2019-05-20_20240430091639.pdf</v>
      </c>
      <c r="C260" s="1" t="n">
        <v>4</v>
      </c>
      <c r="D260" s="1" t="n">
        <v>2</v>
      </c>
      <c r="E260" s="1" t="n">
        <v>2</v>
      </c>
      <c r="F260" s="3" t="s">
        <v>20</v>
      </c>
      <c r="G260" s="3" t="s">
        <v>1150</v>
      </c>
      <c r="H260" s="1" t="s">
        <v>22</v>
      </c>
      <c r="I260" s="1" t="n">
        <v>20240430091639</v>
      </c>
      <c r="J260" s="3" t="s">
        <v>1151</v>
      </c>
      <c r="K260" s="3" t="s">
        <v>1152</v>
      </c>
      <c r="L260" s="3" t="s">
        <v>1153</v>
      </c>
      <c r="M260" s="3" t="n">
        <v>541602</v>
      </c>
      <c r="N260" s="3" t="s">
        <v>1154</v>
      </c>
      <c r="O260" s="1" t="n">
        <v>525216</v>
      </c>
      <c r="P260" s="1" t="n">
        <v>96.97</v>
      </c>
      <c r="Q260" s="1" t="s">
        <v>20</v>
      </c>
      <c r="R260" s="1" t="s">
        <v>27</v>
      </c>
      <c r="S260" s="1" t="s">
        <v>28</v>
      </c>
      <c r="T260" s="1" t="s">
        <v>29</v>
      </c>
    </row>
    <row r="261" customFormat="false" ht="18.7" hidden="false" customHeight="true" outlineLevel="0" collapsed="false">
      <c r="A261" s="1" t="n">
        <v>260</v>
      </c>
      <c r="B261" s="6" t="str">
        <f aca="false">HYPERLINK("https://mncourtfraud.com/file/MCRO_27-CR-19-11566_Law Enforcement Bail Bond Receipt_2024-04-03_20240430091556.pdf","MCRO_27-CR-19-11566_Law Enforcement Bail Bond Receipt_2024-04-03_20240430091556.pdf")</f>
        <v>MCRO_27-CR-19-11566_Law Enforcement Bail Bond Receipt_2024-04-03_20240430091556.pdf</v>
      </c>
      <c r="C261" s="1" t="n">
        <v>4</v>
      </c>
      <c r="D261" s="1" t="n">
        <v>1</v>
      </c>
      <c r="E261" s="1" t="n">
        <v>1</v>
      </c>
      <c r="F261" s="3" t="s">
        <v>20</v>
      </c>
      <c r="G261" s="3" t="s">
        <v>1155</v>
      </c>
      <c r="H261" s="1" t="s">
        <v>22</v>
      </c>
      <c r="I261" s="1" t="n">
        <v>20240430091556</v>
      </c>
      <c r="J261" s="3" t="s">
        <v>1156</v>
      </c>
      <c r="K261" s="3" t="s">
        <v>1157</v>
      </c>
      <c r="L261" s="3" t="s">
        <v>1158</v>
      </c>
      <c r="M261" s="3" t="n">
        <v>242927</v>
      </c>
      <c r="N261" s="3" t="s">
        <v>1159</v>
      </c>
      <c r="O261" s="1" t="n">
        <v>226541</v>
      </c>
      <c r="P261" s="1" t="n">
        <v>93.25</v>
      </c>
      <c r="Q261" s="1" t="s">
        <v>20</v>
      </c>
      <c r="R261" s="1" t="s">
        <v>27</v>
      </c>
      <c r="S261" s="1" t="s">
        <v>28</v>
      </c>
      <c r="T261" s="1" t="s">
        <v>29</v>
      </c>
    </row>
    <row r="262" customFormat="false" ht="18.7" hidden="false" customHeight="true" outlineLevel="0" collapsed="false">
      <c r="A262" s="1" t="n">
        <v>261</v>
      </c>
      <c r="B262" s="6" t="str">
        <f aca="false">HYPERLINK("https://mncourtfraud.com/file/MCRO_27-CR-19-11566_Notice of Case Reassignment_2021-08-25_20240430091619.pdf","MCRO_27-CR-19-11566_Notice of Case Reassignment_2021-08-25_20240430091619.pdf")</f>
        <v>MCRO_27-CR-19-11566_Notice of Case Reassignment_2021-08-25_20240430091619.pdf</v>
      </c>
      <c r="C262" s="1" t="n">
        <v>4</v>
      </c>
      <c r="D262" s="1" t="n">
        <v>1</v>
      </c>
      <c r="E262" s="1" t="n">
        <v>1</v>
      </c>
      <c r="F262" s="3" t="s">
        <v>20</v>
      </c>
      <c r="G262" s="3" t="s">
        <v>1160</v>
      </c>
      <c r="H262" s="1" t="s">
        <v>22</v>
      </c>
      <c r="I262" s="1" t="n">
        <v>20240430091619</v>
      </c>
      <c r="J262" s="3" t="s">
        <v>1161</v>
      </c>
      <c r="K262" s="3" t="s">
        <v>1162</v>
      </c>
      <c r="L262" s="3" t="s">
        <v>1163</v>
      </c>
      <c r="M262" s="3" t="n">
        <v>334738</v>
      </c>
      <c r="N262" s="3" t="s">
        <v>456</v>
      </c>
      <c r="O262" s="1" t="n">
        <v>318352</v>
      </c>
      <c r="P262" s="1" t="n">
        <v>95.1</v>
      </c>
      <c r="Q262" s="1" t="s">
        <v>20</v>
      </c>
      <c r="R262" s="1" t="s">
        <v>27</v>
      </c>
      <c r="S262" s="1" t="s">
        <v>28</v>
      </c>
      <c r="T262" s="1" t="s">
        <v>29</v>
      </c>
    </row>
    <row r="263" customFormat="false" ht="18.7" hidden="false" customHeight="true" outlineLevel="0" collapsed="false">
      <c r="A263" s="1" t="n">
        <v>262</v>
      </c>
      <c r="B263" s="6" t="str">
        <f aca="false">HYPERLINK("https://mncourtfraud.com/file/MCRO_27-CR-19-11566_Notice of Case Reassignment_2022-04-29_20240430091615.pdf","MCRO_27-CR-19-11566_Notice of Case Reassignment_2022-04-29_20240430091615.pdf")</f>
        <v>MCRO_27-CR-19-11566_Notice of Case Reassignment_2022-04-29_20240430091615.pdf</v>
      </c>
      <c r="C263" s="1" t="n">
        <v>4</v>
      </c>
      <c r="D263" s="1" t="n">
        <v>1</v>
      </c>
      <c r="E263" s="1" t="n">
        <v>1</v>
      </c>
      <c r="F263" s="3" t="s">
        <v>20</v>
      </c>
      <c r="G263" s="3" t="s">
        <v>1164</v>
      </c>
      <c r="H263" s="1" t="s">
        <v>22</v>
      </c>
      <c r="I263" s="1" t="n">
        <v>20240430091615</v>
      </c>
      <c r="J263" s="3" t="s">
        <v>1165</v>
      </c>
      <c r="K263" s="3" t="s">
        <v>1166</v>
      </c>
      <c r="L263" s="3" t="s">
        <v>1167</v>
      </c>
      <c r="M263" s="3" t="n">
        <v>92511</v>
      </c>
      <c r="N263" s="3" t="s">
        <v>456</v>
      </c>
      <c r="O263" s="1" t="n">
        <v>76125</v>
      </c>
      <c r="P263" s="1" t="n">
        <v>82.29</v>
      </c>
      <c r="Q263" s="1" t="s">
        <v>20</v>
      </c>
      <c r="R263" s="1" t="s">
        <v>27</v>
      </c>
      <c r="S263" s="1" t="s">
        <v>28</v>
      </c>
      <c r="T263" s="1" t="s">
        <v>29</v>
      </c>
    </row>
    <row r="264" customFormat="false" ht="18.7" hidden="false" customHeight="true" outlineLevel="0" collapsed="false">
      <c r="A264" s="1" t="n">
        <v>263</v>
      </c>
      <c r="B264" s="6" t="str">
        <f aca="false">HYPERLINK("https://mncourtfraud.com/file/MCRO_27-CR-19-11566_Notice of Case Reassignment_2022-12-16_20240430091614.pdf","MCRO_27-CR-19-11566_Notice of Case Reassignment_2022-12-16_20240430091614.pdf")</f>
        <v>MCRO_27-CR-19-11566_Notice of Case Reassignment_2022-12-16_20240430091614.pdf</v>
      </c>
      <c r="C264" s="1" t="n">
        <v>4</v>
      </c>
      <c r="D264" s="1" t="n">
        <v>1</v>
      </c>
      <c r="E264" s="1" t="n">
        <v>1</v>
      </c>
      <c r="F264" s="3" t="s">
        <v>20</v>
      </c>
      <c r="G264" s="3" t="s">
        <v>1168</v>
      </c>
      <c r="H264" s="1" t="s">
        <v>22</v>
      </c>
      <c r="I264" s="1" t="n">
        <v>20240430091614</v>
      </c>
      <c r="J264" s="3" t="s">
        <v>1169</v>
      </c>
      <c r="K264" s="3" t="s">
        <v>1170</v>
      </c>
      <c r="L264" s="3" t="s">
        <v>1171</v>
      </c>
      <c r="M264" s="3" t="n">
        <v>291445</v>
      </c>
      <c r="N264" s="3" t="s">
        <v>158</v>
      </c>
      <c r="O264" s="1" t="n">
        <v>275059</v>
      </c>
      <c r="P264" s="1" t="n">
        <v>94.38</v>
      </c>
      <c r="Q264" s="1" t="s">
        <v>20</v>
      </c>
      <c r="R264" s="1" t="s">
        <v>27</v>
      </c>
      <c r="S264" s="1" t="s">
        <v>28</v>
      </c>
      <c r="T264" s="1" t="s">
        <v>29</v>
      </c>
    </row>
    <row r="265" customFormat="false" ht="18.7" hidden="false" customHeight="true" outlineLevel="0" collapsed="false">
      <c r="A265" s="1" t="n">
        <v>264</v>
      </c>
      <c r="B265" s="6" t="str">
        <f aca="false">HYPERLINK("https://mncourtfraud.com/file/MCRO_27-CR-19-11566_Notice of Case Reassignment_2023-12-27_20240430091557.pdf","MCRO_27-CR-19-11566_Notice of Case Reassignment_2023-12-27_20240430091557.pdf")</f>
        <v>MCRO_27-CR-19-11566_Notice of Case Reassignment_2023-12-27_20240430091557.pdf</v>
      </c>
      <c r="C265" s="1" t="n">
        <v>3</v>
      </c>
      <c r="D265" s="1" t="n">
        <v>1</v>
      </c>
      <c r="E265" s="1" t="n">
        <v>1</v>
      </c>
      <c r="F265" s="3" t="s">
        <v>20</v>
      </c>
      <c r="G265" s="3" t="s">
        <v>1172</v>
      </c>
      <c r="H265" s="1" t="s">
        <v>22</v>
      </c>
      <c r="I265" s="1" t="n">
        <v>20240430091557</v>
      </c>
      <c r="J265" s="3" t="s">
        <v>1173</v>
      </c>
      <c r="K265" s="3" t="s">
        <v>1174</v>
      </c>
      <c r="L265" s="3" t="s">
        <v>1175</v>
      </c>
      <c r="M265" s="3" t="n">
        <v>173173</v>
      </c>
      <c r="N265" s="3" t="s">
        <v>1176</v>
      </c>
      <c r="O265" s="1" t="n">
        <v>156787</v>
      </c>
      <c r="P265" s="1" t="n">
        <v>90.54</v>
      </c>
      <c r="Q265" s="1" t="s">
        <v>20</v>
      </c>
      <c r="R265" s="1" t="s">
        <v>27</v>
      </c>
      <c r="S265" s="1" t="s">
        <v>28</v>
      </c>
      <c r="T265" s="1" t="s">
        <v>29</v>
      </c>
    </row>
    <row r="266" customFormat="false" ht="18.7" hidden="false" customHeight="true" outlineLevel="0" collapsed="false">
      <c r="A266" s="1" t="n">
        <v>265</v>
      </c>
      <c r="B266" s="6" t="str">
        <f aca="false">HYPERLINK("https://mncourtfraud.com/file/MCRO_27-CR-19-11566_Notice of Hearing_2020-01-29_20240430091634.pdf","MCRO_27-CR-19-11566_Notice of Hearing_2020-01-29_20240430091634.pdf")</f>
        <v>MCRO_27-CR-19-11566_Notice of Hearing_2020-01-29_20240430091634.pdf</v>
      </c>
      <c r="C266" s="1" t="n">
        <v>4</v>
      </c>
      <c r="D266" s="1" t="n">
        <v>1</v>
      </c>
      <c r="E266" s="1" t="n">
        <v>1</v>
      </c>
      <c r="F266" s="3" t="s">
        <v>20</v>
      </c>
      <c r="G266" s="3" t="s">
        <v>1177</v>
      </c>
      <c r="H266" s="1" t="s">
        <v>22</v>
      </c>
      <c r="I266" s="1" t="n">
        <v>20240430091634</v>
      </c>
      <c r="J266" s="3" t="s">
        <v>1178</v>
      </c>
      <c r="K266" s="3" t="s">
        <v>1179</v>
      </c>
      <c r="L266" s="3" t="s">
        <v>1180</v>
      </c>
      <c r="M266" s="3" t="n">
        <v>116845</v>
      </c>
      <c r="N266" s="3" t="s">
        <v>137</v>
      </c>
      <c r="O266" s="1" t="n">
        <v>100459</v>
      </c>
      <c r="P266" s="1" t="n">
        <v>85.98</v>
      </c>
      <c r="Q266" s="1" t="s">
        <v>20</v>
      </c>
      <c r="R266" s="1" t="s">
        <v>27</v>
      </c>
      <c r="S266" s="1" t="s">
        <v>28</v>
      </c>
      <c r="T266" s="1" t="s">
        <v>29</v>
      </c>
    </row>
    <row r="267" customFormat="false" ht="18.7" hidden="false" customHeight="true" outlineLevel="0" collapsed="false">
      <c r="A267" s="1" t="n">
        <v>266</v>
      </c>
      <c r="B267" s="6" t="str">
        <f aca="false">HYPERLINK("https://mncourtfraud.com/file/MCRO_27-CR-19-11566_Notice of Hearing_2020-12-31_20240430091624.pdf","MCRO_27-CR-19-11566_Notice of Hearing_2020-12-31_20240430091624.pdf")</f>
        <v>MCRO_27-CR-19-11566_Notice of Hearing_2020-12-31_20240430091624.pdf</v>
      </c>
      <c r="C267" s="1" t="n">
        <v>4</v>
      </c>
      <c r="D267" s="1" t="n">
        <v>1</v>
      </c>
      <c r="E267" s="1" t="n">
        <v>1</v>
      </c>
      <c r="F267" s="3" t="s">
        <v>20</v>
      </c>
      <c r="G267" s="3" t="s">
        <v>1181</v>
      </c>
      <c r="H267" s="1" t="s">
        <v>22</v>
      </c>
      <c r="I267" s="1" t="n">
        <v>20240430091624</v>
      </c>
      <c r="J267" s="3" t="s">
        <v>1182</v>
      </c>
      <c r="K267" s="3" t="s">
        <v>1183</v>
      </c>
      <c r="L267" s="3" t="s">
        <v>1184</v>
      </c>
      <c r="M267" s="3" t="n">
        <v>150652</v>
      </c>
      <c r="N267" s="3" t="s">
        <v>1065</v>
      </c>
      <c r="O267" s="1" t="n">
        <v>134266</v>
      </c>
      <c r="P267" s="1" t="n">
        <v>89.12</v>
      </c>
      <c r="Q267" s="1" t="s">
        <v>20</v>
      </c>
      <c r="R267" s="1" t="s">
        <v>27</v>
      </c>
      <c r="S267" s="1" t="s">
        <v>28</v>
      </c>
      <c r="T267" s="1" t="s">
        <v>29</v>
      </c>
    </row>
    <row r="268" customFormat="false" ht="18.7" hidden="false" customHeight="true" outlineLevel="0" collapsed="false">
      <c r="A268" s="1" t="n">
        <v>267</v>
      </c>
      <c r="B268" s="6" t="str">
        <f aca="false">HYPERLINK("https://mncourtfraud.com/file/MCRO_27-CR-19-11566_Notice of Hearing_2023-04-06_20240430091613.pdf","MCRO_27-CR-19-11566_Notice of Hearing_2023-04-06_20240430091613.pdf")</f>
        <v>MCRO_27-CR-19-11566_Notice of Hearing_2023-04-06_20240430091613.pdf</v>
      </c>
      <c r="C268" s="1" t="n">
        <v>4</v>
      </c>
      <c r="D268" s="1" t="n">
        <v>1</v>
      </c>
      <c r="E268" s="1" t="n">
        <v>1</v>
      </c>
      <c r="F268" s="3" t="s">
        <v>20</v>
      </c>
      <c r="G268" s="3" t="s">
        <v>1185</v>
      </c>
      <c r="H268" s="1" t="s">
        <v>22</v>
      </c>
      <c r="I268" s="1" t="n">
        <v>20240430091613</v>
      </c>
      <c r="J268" s="3" t="s">
        <v>1186</v>
      </c>
      <c r="K268" s="3" t="s">
        <v>1187</v>
      </c>
      <c r="L268" s="3" t="s">
        <v>1188</v>
      </c>
      <c r="M268" s="3" t="n">
        <v>561939</v>
      </c>
      <c r="N268" s="3" t="s">
        <v>1128</v>
      </c>
      <c r="O268" s="1" t="n">
        <v>545553</v>
      </c>
      <c r="P268" s="1" t="n">
        <v>97.08</v>
      </c>
      <c r="Q268" s="1" t="s">
        <v>20</v>
      </c>
      <c r="R268" s="1" t="s">
        <v>27</v>
      </c>
      <c r="S268" s="1" t="s">
        <v>28</v>
      </c>
      <c r="T268" s="1" t="s">
        <v>29</v>
      </c>
    </row>
    <row r="269" customFormat="false" ht="18.7" hidden="false" customHeight="true" outlineLevel="0" collapsed="false">
      <c r="A269" s="1" t="n">
        <v>268</v>
      </c>
      <c r="B269" s="6" t="str">
        <f aca="false">HYPERLINK("https://mncourtfraud.com/file/MCRO_27-CR-19-11566_Notice of Hearing_2023-04-10_20240430091612.pdf","MCRO_27-CR-19-11566_Notice of Hearing_2023-04-10_20240430091612.pdf")</f>
        <v>MCRO_27-CR-19-11566_Notice of Hearing_2023-04-10_20240430091612.pdf</v>
      </c>
      <c r="C269" s="1" t="n">
        <v>4</v>
      </c>
      <c r="D269" s="1" t="n">
        <v>1</v>
      </c>
      <c r="E269" s="1" t="n">
        <v>1</v>
      </c>
      <c r="F269" s="3" t="s">
        <v>20</v>
      </c>
      <c r="G269" s="3" t="s">
        <v>1189</v>
      </c>
      <c r="H269" s="1" t="s">
        <v>22</v>
      </c>
      <c r="I269" s="1" t="n">
        <v>20240430091612</v>
      </c>
      <c r="J269" s="3" t="s">
        <v>1190</v>
      </c>
      <c r="K269" s="3" t="s">
        <v>1191</v>
      </c>
      <c r="L269" s="3" t="s">
        <v>1192</v>
      </c>
      <c r="M269" s="3" t="n">
        <v>99577</v>
      </c>
      <c r="N269" s="3" t="s">
        <v>435</v>
      </c>
      <c r="O269" s="1" t="n">
        <v>83191</v>
      </c>
      <c r="P269" s="1" t="n">
        <v>83.54</v>
      </c>
      <c r="Q269" s="1" t="s">
        <v>20</v>
      </c>
      <c r="R269" s="1" t="s">
        <v>27</v>
      </c>
      <c r="S269" s="1" t="s">
        <v>28</v>
      </c>
      <c r="T269" s="1" t="s">
        <v>29</v>
      </c>
    </row>
    <row r="270" customFormat="false" ht="18.7" hidden="false" customHeight="true" outlineLevel="0" collapsed="false">
      <c r="A270" s="1" t="n">
        <v>269</v>
      </c>
      <c r="B270" s="6" t="str">
        <f aca="false">HYPERLINK("https://mncourtfraud.com/file/MCRO_27-CR-19-11566_Notice of Hearing_2023-04-20_20240430091610.pdf","MCRO_27-CR-19-11566_Notice of Hearing_2023-04-20_20240430091610.pdf")</f>
        <v>MCRO_27-CR-19-11566_Notice of Hearing_2023-04-20_20240430091610.pdf</v>
      </c>
      <c r="C270" s="1" t="n">
        <v>4</v>
      </c>
      <c r="D270" s="1" t="n">
        <v>1</v>
      </c>
      <c r="E270" s="1" t="n">
        <v>1</v>
      </c>
      <c r="F270" s="3" t="s">
        <v>20</v>
      </c>
      <c r="G270" s="3" t="s">
        <v>1193</v>
      </c>
      <c r="H270" s="1" t="s">
        <v>22</v>
      </c>
      <c r="I270" s="1" t="n">
        <v>20240430091610</v>
      </c>
      <c r="J270" s="3" t="s">
        <v>1194</v>
      </c>
      <c r="K270" s="3" t="s">
        <v>1195</v>
      </c>
      <c r="L270" s="3" t="s">
        <v>1196</v>
      </c>
      <c r="M270" s="3" t="n">
        <v>591055</v>
      </c>
      <c r="N270" s="3" t="s">
        <v>1128</v>
      </c>
      <c r="O270" s="1" t="n">
        <v>574669</v>
      </c>
      <c r="P270" s="1" t="n">
        <v>97.23</v>
      </c>
      <c r="Q270" s="1" t="s">
        <v>20</v>
      </c>
      <c r="R270" s="1" t="s">
        <v>27</v>
      </c>
      <c r="S270" s="1" t="s">
        <v>28</v>
      </c>
      <c r="T270" s="1" t="s">
        <v>29</v>
      </c>
    </row>
    <row r="271" customFormat="false" ht="18.7" hidden="false" customHeight="true" outlineLevel="0" collapsed="false">
      <c r="A271" s="1" t="n">
        <v>270</v>
      </c>
      <c r="B271" s="6" t="str">
        <f aca="false">HYPERLINK("https://mncourtfraud.com/file/MCRO_27-CR-19-11566_Notice of Hearing_2023-05-15_20240430091609.pdf","MCRO_27-CR-19-11566_Notice of Hearing_2023-05-15_20240430091609.pdf")</f>
        <v>MCRO_27-CR-19-11566_Notice of Hearing_2023-05-15_20240430091609.pdf</v>
      </c>
      <c r="C271" s="1" t="n">
        <v>4</v>
      </c>
      <c r="D271" s="1" t="n">
        <v>1</v>
      </c>
      <c r="E271" s="1" t="n">
        <v>1</v>
      </c>
      <c r="F271" s="3" t="s">
        <v>20</v>
      </c>
      <c r="G271" s="3" t="s">
        <v>1197</v>
      </c>
      <c r="H271" s="1" t="s">
        <v>22</v>
      </c>
      <c r="I271" s="1" t="n">
        <v>20240430091609</v>
      </c>
      <c r="J271" s="3" t="s">
        <v>1198</v>
      </c>
      <c r="K271" s="3" t="s">
        <v>1199</v>
      </c>
      <c r="L271" s="3" t="s">
        <v>1200</v>
      </c>
      <c r="M271" s="3" t="n">
        <v>688609</v>
      </c>
      <c r="N271" s="3" t="s">
        <v>1065</v>
      </c>
      <c r="O271" s="1" t="n">
        <v>672223</v>
      </c>
      <c r="P271" s="1" t="n">
        <v>97.62</v>
      </c>
      <c r="Q271" s="1" t="s">
        <v>20</v>
      </c>
      <c r="R271" s="1" t="s">
        <v>27</v>
      </c>
      <c r="S271" s="1" t="s">
        <v>28</v>
      </c>
      <c r="T271" s="1" t="s">
        <v>29</v>
      </c>
    </row>
    <row r="272" customFormat="false" ht="18.7" hidden="false" customHeight="true" outlineLevel="0" collapsed="false">
      <c r="A272" s="1" t="n">
        <v>271</v>
      </c>
      <c r="B272" s="6" t="str">
        <f aca="false">HYPERLINK("https://mncourtfraud.com/file/MCRO_27-CR-19-11566_Notice of Hearing_2023-06-13_20240430091608.pdf","MCRO_27-CR-19-11566_Notice of Hearing_2023-06-13_20240430091608.pdf")</f>
        <v>MCRO_27-CR-19-11566_Notice of Hearing_2023-06-13_20240430091608.pdf</v>
      </c>
      <c r="C272" s="1" t="n">
        <v>4</v>
      </c>
      <c r="D272" s="1" t="n">
        <v>1</v>
      </c>
      <c r="E272" s="1" t="n">
        <v>1</v>
      </c>
      <c r="F272" s="3" t="s">
        <v>20</v>
      </c>
      <c r="G272" s="3" t="s">
        <v>1201</v>
      </c>
      <c r="H272" s="1" t="s">
        <v>22</v>
      </c>
      <c r="I272" s="1" t="n">
        <v>20240430091608</v>
      </c>
      <c r="J272" s="3" t="s">
        <v>1202</v>
      </c>
      <c r="K272" s="3" t="s">
        <v>1203</v>
      </c>
      <c r="L272" s="3" t="s">
        <v>1204</v>
      </c>
      <c r="M272" s="3" t="n">
        <v>755009</v>
      </c>
      <c r="N272" s="3" t="s">
        <v>1205</v>
      </c>
      <c r="O272" s="1" t="n">
        <v>738623</v>
      </c>
      <c r="P272" s="1" t="n">
        <v>97.83</v>
      </c>
      <c r="Q272" s="1" t="s">
        <v>20</v>
      </c>
      <c r="R272" s="1" t="s">
        <v>27</v>
      </c>
      <c r="S272" s="1" t="s">
        <v>28</v>
      </c>
      <c r="T272" s="1" t="s">
        <v>29</v>
      </c>
    </row>
    <row r="273" customFormat="false" ht="18.7" hidden="false" customHeight="true" outlineLevel="0" collapsed="false">
      <c r="A273" s="1" t="n">
        <v>272</v>
      </c>
      <c r="B273" s="6" t="str">
        <f aca="false">HYPERLINK("https://mncourtfraud.com/file/MCRO_27-CR-19-11566_Notice of Hearing_2023-08-01_20240430091604.pdf","MCRO_27-CR-19-11566_Notice of Hearing_2023-08-01_20240430091604.pdf")</f>
        <v>MCRO_27-CR-19-11566_Notice of Hearing_2023-08-01_20240430091604.pdf</v>
      </c>
      <c r="C273" s="1" t="n">
        <v>4</v>
      </c>
      <c r="D273" s="1" t="n">
        <v>1</v>
      </c>
      <c r="E273" s="1" t="n">
        <v>1</v>
      </c>
      <c r="F273" s="3" t="s">
        <v>20</v>
      </c>
      <c r="G273" s="3" t="s">
        <v>1206</v>
      </c>
      <c r="H273" s="1" t="s">
        <v>22</v>
      </c>
      <c r="I273" s="1" t="n">
        <v>20240430091604</v>
      </c>
      <c r="J273" s="3" t="s">
        <v>1207</v>
      </c>
      <c r="K273" s="3" t="s">
        <v>1208</v>
      </c>
      <c r="L273" s="3" t="s">
        <v>1209</v>
      </c>
      <c r="M273" s="3" t="n">
        <v>715097</v>
      </c>
      <c r="N273" s="3" t="s">
        <v>500</v>
      </c>
      <c r="O273" s="1" t="n">
        <v>698711</v>
      </c>
      <c r="P273" s="1" t="n">
        <v>97.71</v>
      </c>
      <c r="Q273" s="1" t="s">
        <v>20</v>
      </c>
      <c r="R273" s="1" t="s">
        <v>27</v>
      </c>
      <c r="S273" s="1" t="s">
        <v>28</v>
      </c>
      <c r="T273" s="1" t="s">
        <v>29</v>
      </c>
    </row>
    <row r="274" customFormat="false" ht="18.7" hidden="false" customHeight="true" outlineLevel="0" collapsed="false">
      <c r="A274" s="1" t="n">
        <v>273</v>
      </c>
      <c r="B274" s="6" t="str">
        <f aca="false">HYPERLINK("https://mncourtfraud.com/file/MCRO_27-CR-19-11566_Notice of Hearing_2023-09-22_20240430091602.pdf","MCRO_27-CR-19-11566_Notice of Hearing_2023-09-22_20240430091602.pdf")</f>
        <v>MCRO_27-CR-19-11566_Notice of Hearing_2023-09-22_20240430091602.pdf</v>
      </c>
      <c r="C274" s="1" t="n">
        <v>4</v>
      </c>
      <c r="D274" s="1" t="n">
        <v>1</v>
      </c>
      <c r="E274" s="1" t="n">
        <v>1</v>
      </c>
      <c r="F274" s="3" t="s">
        <v>20</v>
      </c>
      <c r="G274" s="3" t="s">
        <v>1210</v>
      </c>
      <c r="H274" s="1" t="s">
        <v>22</v>
      </c>
      <c r="I274" s="1" t="n">
        <v>20240430091602</v>
      </c>
      <c r="J274" s="3" t="s">
        <v>1211</v>
      </c>
      <c r="K274" s="3" t="s">
        <v>1212</v>
      </c>
      <c r="L274" s="3" t="s">
        <v>1213</v>
      </c>
      <c r="M274" s="3" t="n">
        <v>715091</v>
      </c>
      <c r="N274" s="3" t="s">
        <v>500</v>
      </c>
      <c r="O274" s="1" t="n">
        <v>698705</v>
      </c>
      <c r="P274" s="1" t="n">
        <v>97.71</v>
      </c>
      <c r="Q274" s="1" t="s">
        <v>20</v>
      </c>
      <c r="R274" s="1" t="s">
        <v>27</v>
      </c>
      <c r="S274" s="1" t="s">
        <v>28</v>
      </c>
      <c r="T274" s="1" t="s">
        <v>29</v>
      </c>
    </row>
    <row r="275" customFormat="false" ht="18.7" hidden="false" customHeight="true" outlineLevel="0" collapsed="false">
      <c r="A275" s="1" t="n">
        <v>274</v>
      </c>
      <c r="B275" s="6" t="str">
        <f aca="false">HYPERLINK("https://mncourtfraud.com/file/MCRO_27-CR-19-11566_Notice of Hearing_2023-12-14_20240430091558.pdf","MCRO_27-CR-19-11566_Notice of Hearing_2023-12-14_20240430091558.pdf")</f>
        <v>MCRO_27-CR-19-11566_Notice of Hearing_2023-12-14_20240430091558.pdf</v>
      </c>
      <c r="C275" s="1" t="n">
        <v>4</v>
      </c>
      <c r="D275" s="1" t="n">
        <v>1</v>
      </c>
      <c r="E275" s="1" t="n">
        <v>1</v>
      </c>
      <c r="F275" s="3" t="s">
        <v>20</v>
      </c>
      <c r="G275" s="3" t="s">
        <v>1214</v>
      </c>
      <c r="H275" s="1" t="s">
        <v>22</v>
      </c>
      <c r="I275" s="1" t="n">
        <v>20240430091558</v>
      </c>
      <c r="J275" s="3" t="s">
        <v>1215</v>
      </c>
      <c r="K275" s="3" t="s">
        <v>1216</v>
      </c>
      <c r="L275" s="3" t="s">
        <v>1217</v>
      </c>
      <c r="M275" s="3" t="n">
        <v>715177</v>
      </c>
      <c r="N275" s="3" t="s">
        <v>500</v>
      </c>
      <c r="O275" s="1" t="n">
        <v>698791</v>
      </c>
      <c r="P275" s="1" t="n">
        <v>97.71</v>
      </c>
      <c r="Q275" s="1" t="s">
        <v>20</v>
      </c>
      <c r="R275" s="1" t="s">
        <v>27</v>
      </c>
      <c r="S275" s="1" t="s">
        <v>28</v>
      </c>
      <c r="T275" s="1" t="s">
        <v>29</v>
      </c>
    </row>
    <row r="276" customFormat="false" ht="18.7" hidden="false" customHeight="true" outlineLevel="0" collapsed="false">
      <c r="A276" s="1" t="n">
        <v>275</v>
      </c>
      <c r="B276" s="6" t="str">
        <f aca="false">HYPERLINK("https://mncourtfraud.com/file/MCRO_27-CR-19-11566_Notice of Remote Hearing with Instructions_2020-11-25_20240430091626.pdf","MCRO_27-CR-19-11566_Notice of Remote Hearing with Instructions_2020-11-25_20240430091626.pdf")</f>
        <v>MCRO_27-CR-19-11566_Notice of Remote Hearing with Instructions_2020-11-25_20240430091626.pdf</v>
      </c>
      <c r="C276" s="1" t="n">
        <v>5</v>
      </c>
      <c r="D276" s="1" t="n">
        <v>1</v>
      </c>
      <c r="E276" s="1" t="n">
        <v>1</v>
      </c>
      <c r="F276" s="3" t="s">
        <v>20</v>
      </c>
      <c r="G276" s="3" t="s">
        <v>1218</v>
      </c>
      <c r="H276" s="1" t="s">
        <v>22</v>
      </c>
      <c r="I276" s="1" t="n">
        <v>20240430091626</v>
      </c>
      <c r="J276" s="3" t="s">
        <v>1219</v>
      </c>
      <c r="K276" s="3" t="s">
        <v>1220</v>
      </c>
      <c r="L276" s="3" t="s">
        <v>1221</v>
      </c>
      <c r="M276" s="3" t="n">
        <v>1241851</v>
      </c>
      <c r="N276" s="3" t="s">
        <v>1222</v>
      </c>
      <c r="O276" s="1" t="n">
        <v>1225465</v>
      </c>
      <c r="P276" s="1" t="n">
        <v>98.68</v>
      </c>
      <c r="Q276" s="1" t="s">
        <v>20</v>
      </c>
      <c r="R276" s="1" t="s">
        <v>27</v>
      </c>
      <c r="S276" s="1" t="s">
        <v>28</v>
      </c>
      <c r="T276" s="1" t="s">
        <v>29</v>
      </c>
    </row>
    <row r="277" customFormat="false" ht="18.7" hidden="false" customHeight="true" outlineLevel="0" collapsed="false">
      <c r="A277" s="1" t="n">
        <v>276</v>
      </c>
      <c r="B277" s="6" t="str">
        <f aca="false">HYPERLINK("https://mncourtfraud.com/file/MCRO_27-CR-19-11566_Notice of Remote Hearing with Instructions_2021-02-16_20240430091622.pdf","MCRO_27-CR-19-11566_Notice of Remote Hearing with Instructions_2021-02-16_20240430091622.pdf")</f>
        <v>MCRO_27-CR-19-11566_Notice of Remote Hearing with Instructions_2021-02-16_20240430091622.pdf</v>
      </c>
      <c r="C277" s="1" t="n">
        <v>4</v>
      </c>
      <c r="D277" s="1" t="n">
        <v>1</v>
      </c>
      <c r="E277" s="1" t="n">
        <v>1</v>
      </c>
      <c r="F277" s="3" t="s">
        <v>20</v>
      </c>
      <c r="G277" s="3" t="s">
        <v>1223</v>
      </c>
      <c r="H277" s="1" t="s">
        <v>22</v>
      </c>
      <c r="I277" s="1" t="n">
        <v>20240430091622</v>
      </c>
      <c r="J277" s="3" t="s">
        <v>1224</v>
      </c>
      <c r="K277" s="3" t="s">
        <v>1225</v>
      </c>
      <c r="L277" s="3" t="s">
        <v>1226</v>
      </c>
      <c r="M277" s="3" t="n">
        <v>157752</v>
      </c>
      <c r="N277" s="3" t="s">
        <v>1065</v>
      </c>
      <c r="O277" s="1" t="n">
        <v>141366</v>
      </c>
      <c r="P277" s="1" t="n">
        <v>89.61</v>
      </c>
      <c r="Q277" s="1" t="s">
        <v>20</v>
      </c>
      <c r="R277" s="1" t="s">
        <v>27</v>
      </c>
      <c r="S277" s="1" t="s">
        <v>28</v>
      </c>
      <c r="T277" s="1" t="s">
        <v>29</v>
      </c>
    </row>
    <row r="278" customFormat="false" ht="18.7" hidden="false" customHeight="true" outlineLevel="0" collapsed="false">
      <c r="A278" s="1" t="n">
        <v>277</v>
      </c>
      <c r="B278" s="6" t="str">
        <f aca="false">HYPERLINK("https://mncourtfraud.com/file/MCRO_27-CR-19-11566_Notice of Remote Hearing with Instructions_2021-10-11_20240430091616.pdf","MCRO_27-CR-19-11566_Notice of Remote Hearing with Instructions_2021-10-11_20240430091616.pdf")</f>
        <v>MCRO_27-CR-19-11566_Notice of Remote Hearing with Instructions_2021-10-11_20240430091616.pdf</v>
      </c>
      <c r="C278" s="1" t="n">
        <v>4</v>
      </c>
      <c r="D278" s="1" t="n">
        <v>1</v>
      </c>
      <c r="E278" s="1" t="n">
        <v>1</v>
      </c>
      <c r="F278" s="3" t="s">
        <v>20</v>
      </c>
      <c r="G278" s="3" t="s">
        <v>1227</v>
      </c>
      <c r="H278" s="1" t="s">
        <v>22</v>
      </c>
      <c r="I278" s="1" t="n">
        <v>20240430091616</v>
      </c>
      <c r="J278" s="3" t="s">
        <v>1228</v>
      </c>
      <c r="K278" s="3" t="s">
        <v>1229</v>
      </c>
      <c r="L278" s="3" t="s">
        <v>1230</v>
      </c>
      <c r="M278" s="3" t="n">
        <v>161524</v>
      </c>
      <c r="N278" s="3" t="s">
        <v>1065</v>
      </c>
      <c r="O278" s="1" t="n">
        <v>145138</v>
      </c>
      <c r="P278" s="1" t="n">
        <v>89.86</v>
      </c>
      <c r="Q278" s="1" t="s">
        <v>20</v>
      </c>
      <c r="R278" s="1" t="s">
        <v>27</v>
      </c>
      <c r="S278" s="1" t="s">
        <v>28</v>
      </c>
      <c r="T278" s="1" t="s">
        <v>29</v>
      </c>
    </row>
    <row r="279" customFormat="false" ht="18.7" hidden="false" customHeight="true" outlineLevel="0" collapsed="false">
      <c r="A279" s="1" t="n">
        <v>278</v>
      </c>
      <c r="B279" s="6" t="str">
        <f aca="false">HYPERLINK("https://mncourtfraud.com/file/MCRO_27-CR-19-11566_Notice of Remote Hearing with Instructions_2023-06-13_20240430091607.pdf","MCRO_27-CR-19-11566_Notice of Remote Hearing with Instructions_2023-06-13_20240430091607.pdf")</f>
        <v>MCRO_27-CR-19-11566_Notice of Remote Hearing with Instructions_2023-06-13_20240430091607.pdf</v>
      </c>
      <c r="C279" s="1" t="n">
        <v>4</v>
      </c>
      <c r="D279" s="1" t="n">
        <v>1</v>
      </c>
      <c r="E279" s="1" t="n">
        <v>1</v>
      </c>
      <c r="F279" s="3" t="s">
        <v>20</v>
      </c>
      <c r="G279" s="3" t="s">
        <v>1231</v>
      </c>
      <c r="H279" s="1" t="s">
        <v>22</v>
      </c>
      <c r="I279" s="1" t="n">
        <v>20240430091607</v>
      </c>
      <c r="J279" s="3" t="s">
        <v>1232</v>
      </c>
      <c r="K279" s="3" t="s">
        <v>1233</v>
      </c>
      <c r="L279" s="3" t="s">
        <v>1234</v>
      </c>
      <c r="M279" s="3" t="n">
        <v>256077</v>
      </c>
      <c r="N279" s="3" t="s">
        <v>74</v>
      </c>
      <c r="O279" s="1" t="n">
        <v>239691</v>
      </c>
      <c r="P279" s="1" t="n">
        <v>93.6</v>
      </c>
      <c r="Q279" s="1" t="s">
        <v>20</v>
      </c>
      <c r="R279" s="1" t="s">
        <v>27</v>
      </c>
      <c r="S279" s="1" t="s">
        <v>28</v>
      </c>
      <c r="T279" s="1" t="s">
        <v>29</v>
      </c>
    </row>
    <row r="280" customFormat="false" ht="18.7" hidden="false" customHeight="true" outlineLevel="0" collapsed="false">
      <c r="A280" s="1" t="n">
        <v>279</v>
      </c>
      <c r="B280" s="6" t="str">
        <f aca="false">HYPERLINK("https://mncourtfraud.com/file/MCRO_27-CR-19-11566_Notice of Remote Hearing with Instructions_2023-07-19_20240430091605.pdf","MCRO_27-CR-19-11566_Notice of Remote Hearing with Instructions_2023-07-19_20240430091605.pdf")</f>
        <v>MCRO_27-CR-19-11566_Notice of Remote Hearing with Instructions_2023-07-19_20240430091605.pdf</v>
      </c>
      <c r="C280" s="1" t="n">
        <v>5</v>
      </c>
      <c r="D280" s="1" t="n">
        <v>1</v>
      </c>
      <c r="E280" s="1" t="n">
        <v>1</v>
      </c>
      <c r="F280" s="3" t="s">
        <v>20</v>
      </c>
      <c r="G280" s="3" t="s">
        <v>1235</v>
      </c>
      <c r="H280" s="1" t="s">
        <v>22</v>
      </c>
      <c r="I280" s="1" t="n">
        <v>20240430091605</v>
      </c>
      <c r="J280" s="3" t="s">
        <v>1236</v>
      </c>
      <c r="K280" s="3" t="s">
        <v>1237</v>
      </c>
      <c r="L280" s="3" t="s">
        <v>1238</v>
      </c>
      <c r="M280" s="3" t="n">
        <v>846137</v>
      </c>
      <c r="N280" s="3" t="s">
        <v>1239</v>
      </c>
      <c r="O280" s="1" t="n">
        <v>829751</v>
      </c>
      <c r="P280" s="1" t="n">
        <v>98.06</v>
      </c>
      <c r="Q280" s="1" t="s">
        <v>20</v>
      </c>
      <c r="R280" s="1" t="s">
        <v>27</v>
      </c>
      <c r="S280" s="1" t="s">
        <v>28</v>
      </c>
      <c r="T280" s="1" t="s">
        <v>29</v>
      </c>
    </row>
    <row r="281" customFormat="false" ht="18.7" hidden="false" customHeight="true" outlineLevel="0" collapsed="false">
      <c r="A281" s="1" t="n">
        <v>280</v>
      </c>
      <c r="B281" s="6" t="str">
        <f aca="false">HYPERLINK("https://mncourtfraud.com/file/MCRO_27-CR-19-11566_Notice of Remote Hearing with Instructions_2023-09-19_20240430091603.pdf","MCRO_27-CR-19-11566_Notice of Remote Hearing with Instructions_2023-09-19_20240430091603.pdf")</f>
        <v>MCRO_27-CR-19-11566_Notice of Remote Hearing with Instructions_2023-09-19_20240430091603.pdf</v>
      </c>
      <c r="C281" s="1" t="n">
        <v>5</v>
      </c>
      <c r="D281" s="1" t="n">
        <v>1</v>
      </c>
      <c r="E281" s="1" t="n">
        <v>1</v>
      </c>
      <c r="F281" s="3" t="s">
        <v>20</v>
      </c>
      <c r="G281" s="3" t="s">
        <v>1240</v>
      </c>
      <c r="H281" s="1" t="s">
        <v>22</v>
      </c>
      <c r="I281" s="1" t="n">
        <v>20240430091603</v>
      </c>
      <c r="J281" s="3" t="s">
        <v>1241</v>
      </c>
      <c r="K281" s="3" t="s">
        <v>1242</v>
      </c>
      <c r="L281" s="3" t="s">
        <v>1243</v>
      </c>
      <c r="M281" s="3" t="n">
        <v>859425</v>
      </c>
      <c r="N281" s="3" t="s">
        <v>1009</v>
      </c>
      <c r="O281" s="1" t="n">
        <v>843039</v>
      </c>
      <c r="P281" s="1" t="n">
        <v>98.09</v>
      </c>
      <c r="Q281" s="1" t="s">
        <v>20</v>
      </c>
      <c r="R281" s="1" t="s">
        <v>27</v>
      </c>
      <c r="S281" s="1" t="s">
        <v>28</v>
      </c>
      <c r="T281" s="1" t="s">
        <v>29</v>
      </c>
    </row>
    <row r="282" customFormat="false" ht="18.7" hidden="false" customHeight="true" outlineLevel="0" collapsed="false">
      <c r="A282" s="1" t="n">
        <v>281</v>
      </c>
      <c r="B282" s="6" t="str">
        <f aca="false">HYPERLINK("https://mncourtfraud.com/file/MCRO_27-CR-19-11566_Notice of Remote Hearing with Instructions_2023-12-12_20240430091600.pdf","MCRO_27-CR-19-11566_Notice of Remote Hearing with Instructions_2023-12-12_20240430091600.pdf")</f>
        <v>MCRO_27-CR-19-11566_Notice of Remote Hearing with Instructions_2023-12-12_20240430091600.pdf</v>
      </c>
      <c r="C282" s="1" t="n">
        <v>5</v>
      </c>
      <c r="D282" s="1" t="n">
        <v>1</v>
      </c>
      <c r="E282" s="1" t="n">
        <v>1</v>
      </c>
      <c r="F282" s="3" t="s">
        <v>20</v>
      </c>
      <c r="G282" s="3" t="s">
        <v>1244</v>
      </c>
      <c r="H282" s="1" t="s">
        <v>22</v>
      </c>
      <c r="I282" s="1" t="n">
        <v>20240430091600</v>
      </c>
      <c r="J282" s="3" t="s">
        <v>1245</v>
      </c>
      <c r="K282" s="3" t="s">
        <v>1246</v>
      </c>
      <c r="L282" s="3" t="s">
        <v>1247</v>
      </c>
      <c r="M282" s="3" t="n">
        <v>855823</v>
      </c>
      <c r="N282" s="3" t="s">
        <v>1248</v>
      </c>
      <c r="O282" s="1" t="n">
        <v>839437</v>
      </c>
      <c r="P282" s="1" t="n">
        <v>98.09</v>
      </c>
      <c r="Q282" s="1" t="s">
        <v>20</v>
      </c>
      <c r="R282" s="1" t="s">
        <v>27</v>
      </c>
      <c r="S282" s="1" t="s">
        <v>28</v>
      </c>
      <c r="T282" s="1" t="s">
        <v>29</v>
      </c>
    </row>
    <row r="283" customFormat="false" ht="18.7" hidden="false" customHeight="true" outlineLevel="0" collapsed="false">
      <c r="A283" s="1" t="n">
        <v>282</v>
      </c>
      <c r="B283" s="6" t="str">
        <f aca="false">HYPERLINK("https://mncourtfraud.com/file/MCRO_27-CR-19-11566_Order-Evaluation for Competency to Proceed (Rule 20.01)_2023-07-18_20240430091606.pdf","MCRO_27-CR-19-11566_Order-Evaluation for Competency to Proceed (Rule 20.01)_2023-07-18_20240430091606.pdf")</f>
        <v>MCRO_27-CR-19-11566_Order-Evaluation for Competency to Proceed (Rule 20.01)_2023-07-18_20240430091606.pdf</v>
      </c>
      <c r="C283" s="1" t="n">
        <v>5</v>
      </c>
      <c r="D283" s="1" t="n">
        <v>1</v>
      </c>
      <c r="E283" s="1" t="n">
        <v>1</v>
      </c>
      <c r="F283" s="3" t="s">
        <v>20</v>
      </c>
      <c r="G283" s="3" t="s">
        <v>1249</v>
      </c>
      <c r="H283" s="1" t="s">
        <v>22</v>
      </c>
      <c r="I283" s="1" t="n">
        <v>20240430091606</v>
      </c>
      <c r="J283" s="3" t="s">
        <v>1250</v>
      </c>
      <c r="K283" s="3" t="s">
        <v>1251</v>
      </c>
      <c r="L283" s="3" t="s">
        <v>1252</v>
      </c>
      <c r="M283" s="3" t="n">
        <v>760685</v>
      </c>
      <c r="N283" s="3" t="s">
        <v>1091</v>
      </c>
      <c r="O283" s="1" t="n">
        <v>744299</v>
      </c>
      <c r="P283" s="1" t="n">
        <v>97.85</v>
      </c>
      <c r="Q283" s="1" t="s">
        <v>20</v>
      </c>
      <c r="R283" s="1" t="s">
        <v>27</v>
      </c>
      <c r="S283" s="1" t="s">
        <v>28</v>
      </c>
      <c r="T283" s="1" t="s">
        <v>29</v>
      </c>
    </row>
    <row r="284" customFormat="false" ht="18.7" hidden="false" customHeight="true" outlineLevel="0" collapsed="false">
      <c r="A284" s="1" t="n">
        <v>283</v>
      </c>
      <c r="B284" s="6" t="str">
        <f aca="false">HYPERLINK("https://mncourtfraud.com/file/MCRO_27-CR-19-11566_Order-Evaluation for Competency to Proceed (Rule 20.01)_2023-10-10_20240430091601.pdf","MCRO_27-CR-19-11566_Order-Evaluation for Competency to Proceed (Rule 20.01)_2023-10-10_20240430091601.pdf")</f>
        <v>MCRO_27-CR-19-11566_Order-Evaluation for Competency to Proceed (Rule 20.01)_2023-10-10_20240430091601.pdf</v>
      </c>
      <c r="C284" s="1" t="n">
        <v>5</v>
      </c>
      <c r="D284" s="1" t="n">
        <v>1</v>
      </c>
      <c r="E284" s="1" t="n">
        <v>1</v>
      </c>
      <c r="F284" s="3" t="s">
        <v>20</v>
      </c>
      <c r="G284" s="3" t="s">
        <v>1253</v>
      </c>
      <c r="H284" s="1" t="s">
        <v>22</v>
      </c>
      <c r="I284" s="1" t="n">
        <v>20240430091601</v>
      </c>
      <c r="J284" s="3" t="s">
        <v>1254</v>
      </c>
      <c r="K284" s="3" t="s">
        <v>1255</v>
      </c>
      <c r="L284" s="3" t="s">
        <v>1256</v>
      </c>
      <c r="M284" s="3" t="n">
        <v>763575</v>
      </c>
      <c r="N284" s="3" t="s">
        <v>1257</v>
      </c>
      <c r="O284" s="1" t="n">
        <v>747189</v>
      </c>
      <c r="P284" s="1" t="n">
        <v>97.85</v>
      </c>
      <c r="Q284" s="1" t="s">
        <v>20</v>
      </c>
      <c r="R284" s="1" t="s">
        <v>27</v>
      </c>
      <c r="S284" s="1" t="s">
        <v>28</v>
      </c>
      <c r="T284" s="1" t="s">
        <v>29</v>
      </c>
    </row>
    <row r="285" customFormat="false" ht="18.7" hidden="false" customHeight="true" outlineLevel="0" collapsed="false">
      <c r="A285" s="1" t="n">
        <v>284</v>
      </c>
      <c r="B285" s="6" t="str">
        <f aca="false">HYPERLINK("https://mncourtfraud.com/file/MCRO_27-CR-19-11566_Order for Conditional Release_2020-12-31_20240430091623.pdf","MCRO_27-CR-19-11566_Order for Conditional Release_2020-12-31_20240430091623.pdf")</f>
        <v>MCRO_27-CR-19-11566_Order for Conditional Release_2020-12-31_20240430091623.pdf</v>
      </c>
      <c r="C285" s="1" t="n">
        <v>4</v>
      </c>
      <c r="D285" s="1" t="n">
        <v>1</v>
      </c>
      <c r="E285" s="1" t="n">
        <v>1</v>
      </c>
      <c r="F285" s="3" t="s">
        <v>20</v>
      </c>
      <c r="G285" s="3" t="s">
        <v>1258</v>
      </c>
      <c r="H285" s="1" t="s">
        <v>22</v>
      </c>
      <c r="I285" s="1" t="n">
        <v>20240430091623</v>
      </c>
      <c r="J285" s="3" t="s">
        <v>1259</v>
      </c>
      <c r="K285" s="3" t="s">
        <v>1260</v>
      </c>
      <c r="L285" s="3" t="s">
        <v>1261</v>
      </c>
      <c r="M285" s="3" t="n">
        <v>134913</v>
      </c>
      <c r="N285" s="3" t="s">
        <v>456</v>
      </c>
      <c r="O285" s="1" t="n">
        <v>118527</v>
      </c>
      <c r="P285" s="1" t="n">
        <v>87.85</v>
      </c>
      <c r="Q285" s="1" t="s">
        <v>20</v>
      </c>
      <c r="R285" s="1" t="s">
        <v>27</v>
      </c>
      <c r="S285" s="1" t="s">
        <v>28</v>
      </c>
      <c r="T285" s="1" t="s">
        <v>29</v>
      </c>
    </row>
    <row r="286" customFormat="false" ht="18.7" hidden="false" customHeight="true" outlineLevel="0" collapsed="false">
      <c r="A286" s="1" t="n">
        <v>285</v>
      </c>
      <c r="B286" s="6" t="str">
        <f aca="false">HYPERLINK("https://mncourtfraud.com/file/MCRO_27-CR-19-11566_Other Document_2021-04-07_20240430091620.pdf","MCRO_27-CR-19-11566_Other Document_2021-04-07_20240430091620.pdf")</f>
        <v>MCRO_27-CR-19-11566_Other Document_2021-04-07_20240430091620.pdf</v>
      </c>
      <c r="C286" s="1" t="n">
        <v>3</v>
      </c>
      <c r="D286" s="1" t="n">
        <v>1</v>
      </c>
      <c r="E286" s="1" t="n">
        <v>1</v>
      </c>
      <c r="F286" s="3" t="s">
        <v>20</v>
      </c>
      <c r="G286" s="3" t="s">
        <v>1262</v>
      </c>
      <c r="H286" s="1" t="s">
        <v>22</v>
      </c>
      <c r="I286" s="1" t="n">
        <v>20240430091620</v>
      </c>
      <c r="J286" s="3" t="s">
        <v>1263</v>
      </c>
      <c r="K286" s="3" t="s">
        <v>1264</v>
      </c>
      <c r="L286" s="3" t="s">
        <v>1265</v>
      </c>
      <c r="M286" s="3" t="n">
        <v>561765</v>
      </c>
      <c r="N286" s="3" t="s">
        <v>1266</v>
      </c>
      <c r="O286" s="1" t="n">
        <v>545379</v>
      </c>
      <c r="P286" s="1" t="n">
        <v>97.08</v>
      </c>
      <c r="Q286" s="1" t="s">
        <v>20</v>
      </c>
      <c r="R286" s="1" t="s">
        <v>27</v>
      </c>
      <c r="S286" s="1" t="s">
        <v>28</v>
      </c>
      <c r="T286" s="1" t="s">
        <v>29</v>
      </c>
    </row>
    <row r="287" customFormat="false" ht="18.7" hidden="false" customHeight="true" outlineLevel="0" collapsed="false">
      <c r="A287" s="1" t="n">
        <v>286</v>
      </c>
      <c r="B287" s="6" t="str">
        <f aca="false">HYPERLINK("https://mncourtfraud.com/file/MCRO_27-CR-19-11566_Pandemic Notice of Cancelled or Rescheduled Hearing_2020-03-25_20240430091633.pdf","MCRO_27-CR-19-11566_Pandemic Notice of Cancelled or Rescheduled Hearing_2020-03-25_20240430091633.pdf")</f>
        <v>MCRO_27-CR-19-11566_Pandemic Notice of Cancelled or Rescheduled Hearing_2020-03-25_20240430091633.pdf</v>
      </c>
      <c r="C287" s="1" t="n">
        <v>4</v>
      </c>
      <c r="D287" s="1" t="n">
        <v>1</v>
      </c>
      <c r="E287" s="1" t="n">
        <v>1</v>
      </c>
      <c r="F287" s="3" t="s">
        <v>20</v>
      </c>
      <c r="G287" s="3" t="s">
        <v>1267</v>
      </c>
      <c r="H287" s="1" t="s">
        <v>22</v>
      </c>
      <c r="I287" s="1" t="n">
        <v>20240430091633</v>
      </c>
      <c r="J287" s="3" t="s">
        <v>1178</v>
      </c>
      <c r="K287" s="3" t="s">
        <v>1179</v>
      </c>
      <c r="L287" s="3" t="s">
        <v>1268</v>
      </c>
      <c r="M287" s="3" t="n">
        <v>99720</v>
      </c>
      <c r="N287" s="3" t="s">
        <v>137</v>
      </c>
      <c r="O287" s="1" t="n">
        <v>83334</v>
      </c>
      <c r="P287" s="1" t="n">
        <v>83.57</v>
      </c>
      <c r="Q287" s="1" t="s">
        <v>20</v>
      </c>
      <c r="R287" s="1" t="s">
        <v>27</v>
      </c>
      <c r="S287" s="1" t="s">
        <v>28</v>
      </c>
      <c r="T287" s="1" t="s">
        <v>29</v>
      </c>
    </row>
    <row r="288" customFormat="false" ht="18.7" hidden="false" customHeight="true" outlineLevel="0" collapsed="false">
      <c r="A288" s="1" t="n">
        <v>287</v>
      </c>
      <c r="B288" s="6" t="str">
        <f aca="false">HYPERLINK("https://mncourtfraud.com/file/MCRO_27-CR-19-11566_Pandemic Notice of Cancelled or Rescheduled Hearing_2020-04-29_20240430091630.pdf","MCRO_27-CR-19-11566_Pandemic Notice of Cancelled or Rescheduled Hearing_2020-04-29_20240430091630.pdf")</f>
        <v>MCRO_27-CR-19-11566_Pandemic Notice of Cancelled or Rescheduled Hearing_2020-04-29_20240430091630.pdf</v>
      </c>
      <c r="C288" s="1" t="n">
        <v>4</v>
      </c>
      <c r="D288" s="1" t="n">
        <v>1</v>
      </c>
      <c r="E288" s="1" t="n">
        <v>1</v>
      </c>
      <c r="F288" s="3" t="s">
        <v>20</v>
      </c>
      <c r="G288" s="3" t="s">
        <v>1269</v>
      </c>
      <c r="H288" s="1" t="s">
        <v>22</v>
      </c>
      <c r="I288" s="1" t="n">
        <v>20240430091630</v>
      </c>
      <c r="J288" s="3" t="s">
        <v>1270</v>
      </c>
      <c r="K288" s="3" t="s">
        <v>1271</v>
      </c>
      <c r="L288" s="3" t="s">
        <v>1272</v>
      </c>
      <c r="M288" s="3" t="n">
        <v>828067</v>
      </c>
      <c r="N288" s="3" t="s">
        <v>1273</v>
      </c>
      <c r="O288" s="1" t="n">
        <v>811681</v>
      </c>
      <c r="P288" s="1" t="n">
        <v>98.02</v>
      </c>
      <c r="Q288" s="1" t="s">
        <v>20</v>
      </c>
      <c r="R288" s="1" t="s">
        <v>27</v>
      </c>
      <c r="S288" s="1" t="s">
        <v>28</v>
      </c>
      <c r="T288" s="1" t="s">
        <v>29</v>
      </c>
    </row>
    <row r="289" customFormat="false" ht="18.7" hidden="false" customHeight="true" outlineLevel="0" collapsed="false">
      <c r="A289" s="1" t="n">
        <v>288</v>
      </c>
      <c r="B289" s="6" t="str">
        <f aca="false">HYPERLINK("https://mncourtfraud.com/file/MCRO_27-CR-19-11566_Pandemic Notice of Cancelled or Rescheduled Hearing_2020-05-19_20240430091629.pdf","MCRO_27-CR-19-11566_Pandemic Notice of Cancelled or Rescheduled Hearing_2020-05-19_20240430091629.pdf")</f>
        <v>MCRO_27-CR-19-11566_Pandemic Notice of Cancelled or Rescheduled Hearing_2020-05-19_20240430091629.pdf</v>
      </c>
      <c r="C289" s="1" t="n">
        <v>5</v>
      </c>
      <c r="D289" s="1" t="n">
        <v>1</v>
      </c>
      <c r="E289" s="1" t="n">
        <v>1</v>
      </c>
      <c r="F289" s="3" t="s">
        <v>20</v>
      </c>
      <c r="G289" s="3" t="s">
        <v>1274</v>
      </c>
      <c r="H289" s="1" t="s">
        <v>22</v>
      </c>
      <c r="I289" s="1" t="n">
        <v>20240430091629</v>
      </c>
      <c r="J289" s="3" t="s">
        <v>1275</v>
      </c>
      <c r="K289" s="3" t="s">
        <v>1276</v>
      </c>
      <c r="L289" s="3" t="s">
        <v>1277</v>
      </c>
      <c r="M289" s="3" t="n">
        <v>873674</v>
      </c>
      <c r="N289" s="3" t="s">
        <v>1278</v>
      </c>
      <c r="O289" s="1" t="n">
        <v>857288</v>
      </c>
      <c r="P289" s="1" t="n">
        <v>98.12</v>
      </c>
      <c r="Q289" s="1" t="s">
        <v>20</v>
      </c>
      <c r="R289" s="1" t="s">
        <v>27</v>
      </c>
      <c r="S289" s="1" t="s">
        <v>28</v>
      </c>
      <c r="T289" s="1" t="s">
        <v>29</v>
      </c>
    </row>
    <row r="290" customFormat="false" ht="18.7" hidden="false" customHeight="true" outlineLevel="0" collapsed="false">
      <c r="A290" s="1" t="n">
        <v>289</v>
      </c>
      <c r="B290" s="6" t="str">
        <f aca="false">HYPERLINK("https://mncourtfraud.com/file/MCRO_27-CR-19-11566_Returned Mail_2019-05-29_20240430091637.pdf","MCRO_27-CR-19-11566_Returned Mail_2019-05-29_20240430091637.pdf")</f>
        <v>MCRO_27-CR-19-11566_Returned Mail_2019-05-29_20240430091637.pdf</v>
      </c>
      <c r="C290" s="1" t="n">
        <v>4</v>
      </c>
      <c r="D290" s="1" t="n">
        <v>1</v>
      </c>
      <c r="E290" s="1" t="n">
        <v>1</v>
      </c>
      <c r="F290" s="3" t="s">
        <v>20</v>
      </c>
      <c r="G290" s="3" t="s">
        <v>1279</v>
      </c>
      <c r="H290" s="1" t="s">
        <v>22</v>
      </c>
      <c r="I290" s="1" t="n">
        <v>20240430091637</v>
      </c>
      <c r="J290" s="3" t="s">
        <v>1280</v>
      </c>
      <c r="K290" s="3" t="s">
        <v>1281</v>
      </c>
      <c r="L290" s="3" t="s">
        <v>1282</v>
      </c>
      <c r="M290" s="3" t="n">
        <v>170316</v>
      </c>
      <c r="N290" s="3" t="s">
        <v>892</v>
      </c>
      <c r="O290" s="1" t="n">
        <v>153930</v>
      </c>
      <c r="P290" s="1" t="n">
        <v>90.38</v>
      </c>
      <c r="Q290" s="1" t="s">
        <v>20</v>
      </c>
      <c r="R290" s="1" t="s">
        <v>27</v>
      </c>
      <c r="S290" s="1" t="s">
        <v>28</v>
      </c>
      <c r="T290" s="1" t="s">
        <v>29</v>
      </c>
    </row>
    <row r="291" customFormat="false" ht="18.7" hidden="false" customHeight="true" outlineLevel="0" collapsed="false">
      <c r="A291" s="1" t="n">
        <v>290</v>
      </c>
      <c r="B291" s="6" t="str">
        <f aca="false">HYPERLINK("https://mncourtfraud.com/file/MCRO_27-CR-19-11566_Returned Mail_2020-04-09_20240430091631.pdf","MCRO_27-CR-19-11566_Returned Mail_2020-04-09_20240430091631.pdf")</f>
        <v>MCRO_27-CR-19-11566_Returned Mail_2020-04-09_20240430091631.pdf</v>
      </c>
      <c r="C291" s="1" t="n">
        <v>4</v>
      </c>
      <c r="D291" s="1" t="n">
        <v>1</v>
      </c>
      <c r="E291" s="1" t="n">
        <v>1</v>
      </c>
      <c r="F291" s="3" t="s">
        <v>20</v>
      </c>
      <c r="G291" s="3" t="s">
        <v>1283</v>
      </c>
      <c r="H291" s="1" t="s">
        <v>22</v>
      </c>
      <c r="I291" s="1" t="n">
        <v>20240430091631</v>
      </c>
      <c r="J291" s="3" t="s">
        <v>1284</v>
      </c>
      <c r="K291" s="3" t="s">
        <v>1285</v>
      </c>
      <c r="L291" s="3" t="s">
        <v>1286</v>
      </c>
      <c r="M291" s="3" t="n">
        <v>281659</v>
      </c>
      <c r="N291" s="3" t="s">
        <v>137</v>
      </c>
      <c r="O291" s="1" t="n">
        <v>265273</v>
      </c>
      <c r="P291" s="1" t="n">
        <v>94.18</v>
      </c>
      <c r="Q291" s="1" t="s">
        <v>20</v>
      </c>
      <c r="R291" s="1" t="s">
        <v>27</v>
      </c>
      <c r="S291" s="1" t="s">
        <v>28</v>
      </c>
      <c r="T291" s="1" t="s">
        <v>29</v>
      </c>
    </row>
    <row r="292" customFormat="false" ht="18.7" hidden="false" customHeight="true" outlineLevel="0" collapsed="false">
      <c r="A292" s="1" t="n">
        <v>291</v>
      </c>
      <c r="B292" s="6" t="str">
        <f aca="false">HYPERLINK("https://mncourtfraud.com/file/MCRO_27-CR-19-11566_Returned Mail_2020-06-03_20240430091628.pdf","MCRO_27-CR-19-11566_Returned Mail_2020-06-03_20240430091628.pdf")</f>
        <v>MCRO_27-CR-19-11566_Returned Mail_2020-06-03_20240430091628.pdf</v>
      </c>
      <c r="C292" s="1" t="n">
        <v>4</v>
      </c>
      <c r="D292" s="1" t="n">
        <v>1</v>
      </c>
      <c r="E292" s="1" t="n">
        <v>1</v>
      </c>
      <c r="F292" s="3" t="s">
        <v>20</v>
      </c>
      <c r="G292" s="3" t="s">
        <v>1287</v>
      </c>
      <c r="H292" s="1" t="s">
        <v>22</v>
      </c>
      <c r="I292" s="1" t="n">
        <v>20240430091628</v>
      </c>
      <c r="J292" s="3" t="s">
        <v>1288</v>
      </c>
      <c r="K292" s="3" t="s">
        <v>1289</v>
      </c>
      <c r="L292" s="3" t="s">
        <v>1290</v>
      </c>
      <c r="M292" s="3" t="n">
        <v>324364</v>
      </c>
      <c r="N292" s="3" t="s">
        <v>137</v>
      </c>
      <c r="O292" s="1" t="n">
        <v>307978</v>
      </c>
      <c r="P292" s="1" t="n">
        <v>94.95</v>
      </c>
      <c r="Q292" s="1" t="s">
        <v>20</v>
      </c>
      <c r="R292" s="1" t="s">
        <v>27</v>
      </c>
      <c r="S292" s="1" t="s">
        <v>28</v>
      </c>
      <c r="T292" s="1" t="s">
        <v>29</v>
      </c>
    </row>
    <row r="293" customFormat="false" ht="18.7" hidden="false" customHeight="true" outlineLevel="0" collapsed="false">
      <c r="A293" s="1" t="n">
        <v>292</v>
      </c>
      <c r="B293" s="6" t="str">
        <f aca="false">HYPERLINK("https://mncourtfraud.com/file/MCRO_27-CR-19-11566_Returned Mail_2020-06-10_20240430091627.pdf","MCRO_27-CR-19-11566_Returned Mail_2020-06-10_20240430091627.pdf")</f>
        <v>MCRO_27-CR-19-11566_Returned Mail_2020-06-10_20240430091627.pdf</v>
      </c>
      <c r="C293" s="1" t="n">
        <v>4</v>
      </c>
      <c r="D293" s="1" t="n">
        <v>1</v>
      </c>
      <c r="E293" s="1" t="n">
        <v>1</v>
      </c>
      <c r="F293" s="3" t="s">
        <v>20</v>
      </c>
      <c r="G293" s="3" t="s">
        <v>1291</v>
      </c>
      <c r="H293" s="1" t="s">
        <v>22</v>
      </c>
      <c r="I293" s="1" t="n">
        <v>20240430091627</v>
      </c>
      <c r="J293" s="3" t="s">
        <v>1292</v>
      </c>
      <c r="K293" s="3" t="s">
        <v>1293</v>
      </c>
      <c r="L293" s="3" t="s">
        <v>1294</v>
      </c>
      <c r="M293" s="3" t="n">
        <v>97869</v>
      </c>
      <c r="N293" s="3" t="s">
        <v>137</v>
      </c>
      <c r="O293" s="1" t="n">
        <v>81483</v>
      </c>
      <c r="P293" s="1" t="n">
        <v>83.26</v>
      </c>
      <c r="Q293" s="1" t="s">
        <v>20</v>
      </c>
      <c r="R293" s="1" t="s">
        <v>27</v>
      </c>
      <c r="S293" s="1" t="s">
        <v>28</v>
      </c>
      <c r="T293" s="1" t="s">
        <v>29</v>
      </c>
    </row>
    <row r="294" customFormat="false" ht="18.7" hidden="false" customHeight="true" outlineLevel="0" collapsed="false">
      <c r="A294" s="1" t="n">
        <v>293</v>
      </c>
      <c r="B294" s="6" t="str">
        <f aca="false">HYPERLINK("https://mncourtfraud.com/file/MCRO_27-CR-19-11566_Returned Mail_2020-12-04_20240430091625.pdf","MCRO_27-CR-19-11566_Returned Mail_2020-12-04_20240430091625.pdf")</f>
        <v>MCRO_27-CR-19-11566_Returned Mail_2020-12-04_20240430091625.pdf</v>
      </c>
      <c r="C294" s="1" t="n">
        <v>4</v>
      </c>
      <c r="D294" s="1" t="n">
        <v>1</v>
      </c>
      <c r="E294" s="1" t="n">
        <v>1</v>
      </c>
      <c r="F294" s="3" t="s">
        <v>20</v>
      </c>
      <c r="G294" s="3" t="s">
        <v>1295</v>
      </c>
      <c r="H294" s="1" t="s">
        <v>22</v>
      </c>
      <c r="I294" s="1" t="n">
        <v>20240430091625</v>
      </c>
      <c r="J294" s="3" t="s">
        <v>1296</v>
      </c>
      <c r="K294" s="3" t="s">
        <v>1297</v>
      </c>
      <c r="L294" s="3" t="s">
        <v>1298</v>
      </c>
      <c r="M294" s="3" t="n">
        <v>321847</v>
      </c>
      <c r="N294" s="3" t="s">
        <v>456</v>
      </c>
      <c r="O294" s="1" t="n">
        <v>305461</v>
      </c>
      <c r="P294" s="1" t="n">
        <v>94.91</v>
      </c>
      <c r="Q294" s="1" t="s">
        <v>20</v>
      </c>
      <c r="R294" s="1" t="s">
        <v>27</v>
      </c>
      <c r="S294" s="1" t="s">
        <v>28</v>
      </c>
      <c r="T294" s="1" t="s">
        <v>29</v>
      </c>
    </row>
    <row r="295" customFormat="false" ht="18.7" hidden="false" customHeight="true" outlineLevel="0" collapsed="false">
      <c r="A295" s="1" t="n">
        <v>294</v>
      </c>
      <c r="B295" s="6" t="str">
        <f aca="false">HYPERLINK("https://mncourtfraud.com/file/MCRO_27-CR-19-11566_Returned Mail_2021-02-24_20240430091621.pdf","MCRO_27-CR-19-11566_Returned Mail_2021-02-24_20240430091621.pdf")</f>
        <v>MCRO_27-CR-19-11566_Returned Mail_2021-02-24_20240430091621.pdf</v>
      </c>
      <c r="C295" s="1" t="n">
        <v>4</v>
      </c>
      <c r="D295" s="1" t="n">
        <v>1</v>
      </c>
      <c r="E295" s="1" t="n">
        <v>1</v>
      </c>
      <c r="F295" s="3" t="s">
        <v>20</v>
      </c>
      <c r="G295" s="3" t="s">
        <v>1299</v>
      </c>
      <c r="H295" s="1" t="s">
        <v>22</v>
      </c>
      <c r="I295" s="1" t="n">
        <v>20240430091621</v>
      </c>
      <c r="J295" s="3" t="s">
        <v>1300</v>
      </c>
      <c r="K295" s="3" t="s">
        <v>1301</v>
      </c>
      <c r="L295" s="3" t="s">
        <v>1302</v>
      </c>
      <c r="M295" s="3" t="n">
        <v>272642</v>
      </c>
      <c r="N295" s="3" t="s">
        <v>456</v>
      </c>
      <c r="O295" s="1" t="n">
        <v>256256</v>
      </c>
      <c r="P295" s="1" t="n">
        <v>93.99</v>
      </c>
      <c r="Q295" s="1" t="s">
        <v>20</v>
      </c>
      <c r="R295" s="1" t="s">
        <v>27</v>
      </c>
      <c r="S295" s="1" t="s">
        <v>28</v>
      </c>
      <c r="T295" s="1" t="s">
        <v>29</v>
      </c>
    </row>
    <row r="296" customFormat="false" ht="18.7" hidden="false" customHeight="true" outlineLevel="0" collapsed="false">
      <c r="A296" s="1" t="n">
        <v>295</v>
      </c>
      <c r="B296" s="6" t="str">
        <f aca="false">HYPERLINK("https://mncourtfraud.com/file/MCRO_27-CR-19-11566_Returned Mail_2021-09-08_20240430091618.pdf","MCRO_27-CR-19-11566_Returned Mail_2021-09-08_20240430091618.pdf")</f>
        <v>MCRO_27-CR-19-11566_Returned Mail_2021-09-08_20240430091618.pdf</v>
      </c>
      <c r="C296" s="1" t="n">
        <v>4</v>
      </c>
      <c r="D296" s="1" t="n">
        <v>1</v>
      </c>
      <c r="E296" s="1" t="n">
        <v>1</v>
      </c>
      <c r="F296" s="3" t="s">
        <v>20</v>
      </c>
      <c r="G296" s="3" t="s">
        <v>1303</v>
      </c>
      <c r="H296" s="1" t="s">
        <v>22</v>
      </c>
      <c r="I296" s="1" t="n">
        <v>20240430091618</v>
      </c>
      <c r="J296" s="3" t="s">
        <v>1304</v>
      </c>
      <c r="K296" s="3" t="s">
        <v>1305</v>
      </c>
      <c r="L296" s="3" t="s">
        <v>1306</v>
      </c>
      <c r="M296" s="3" t="n">
        <v>208111</v>
      </c>
      <c r="N296" s="3" t="s">
        <v>1307</v>
      </c>
      <c r="O296" s="1" t="n">
        <v>191725</v>
      </c>
      <c r="P296" s="1" t="n">
        <v>92.13</v>
      </c>
      <c r="Q296" s="1" t="s">
        <v>20</v>
      </c>
      <c r="R296" s="1" t="s">
        <v>27</v>
      </c>
      <c r="S296" s="1" t="s">
        <v>28</v>
      </c>
      <c r="T296" s="1" t="s">
        <v>29</v>
      </c>
    </row>
    <row r="297" customFormat="false" ht="18.7" hidden="false" customHeight="true" outlineLevel="0" collapsed="false">
      <c r="A297" s="1" t="n">
        <v>296</v>
      </c>
      <c r="B297" s="6" t="str">
        <f aca="false">HYPERLINK("https://mncourtfraud.com/file/MCRO_27-CR-19-11566_Returned Mail_2023-04-17_20240430091611.pdf","MCRO_27-CR-19-11566_Returned Mail_2023-04-17_20240430091611.pdf")</f>
        <v>MCRO_27-CR-19-11566_Returned Mail_2023-04-17_20240430091611.pdf</v>
      </c>
      <c r="C297" s="1" t="n">
        <v>4</v>
      </c>
      <c r="D297" s="1" t="n">
        <v>1</v>
      </c>
      <c r="E297" s="1" t="n">
        <v>1</v>
      </c>
      <c r="F297" s="3" t="s">
        <v>20</v>
      </c>
      <c r="G297" s="3" t="s">
        <v>1308</v>
      </c>
      <c r="H297" s="1" t="s">
        <v>22</v>
      </c>
      <c r="I297" s="1" t="n">
        <v>20240430091611</v>
      </c>
      <c r="J297" s="3" t="s">
        <v>1309</v>
      </c>
      <c r="K297" s="3" t="s">
        <v>1310</v>
      </c>
      <c r="L297" s="3" t="s">
        <v>1311</v>
      </c>
      <c r="M297" s="3" t="n">
        <v>314649</v>
      </c>
      <c r="N297" s="3" t="s">
        <v>158</v>
      </c>
      <c r="O297" s="1" t="n">
        <v>298263</v>
      </c>
      <c r="P297" s="1" t="n">
        <v>94.79</v>
      </c>
      <c r="Q297" s="1" t="s">
        <v>20</v>
      </c>
      <c r="R297" s="1" t="s">
        <v>27</v>
      </c>
      <c r="S297" s="1" t="s">
        <v>28</v>
      </c>
      <c r="T297" s="1" t="s">
        <v>29</v>
      </c>
    </row>
    <row r="298" customFormat="false" ht="18.7" hidden="false" customHeight="true" outlineLevel="0" collapsed="false">
      <c r="A298" s="1" t="n">
        <v>297</v>
      </c>
      <c r="B298" s="6" t="str">
        <f aca="false">HYPERLINK("https://mncourtfraud.com/file/MCRO_27-CR-19-11566_Summons_2019-05-20_20240430091638.pdf","MCRO_27-CR-19-11566_Summons_2019-05-20_20240430091638.pdf")</f>
        <v>MCRO_27-CR-19-11566_Summons_2019-05-20_20240430091638.pdf</v>
      </c>
      <c r="C298" s="1" t="n">
        <v>4</v>
      </c>
      <c r="D298" s="1" t="n">
        <v>1</v>
      </c>
      <c r="E298" s="1" t="n">
        <v>1</v>
      </c>
      <c r="F298" s="3" t="s">
        <v>20</v>
      </c>
      <c r="G298" s="3" t="s">
        <v>1312</v>
      </c>
      <c r="H298" s="1" t="s">
        <v>22</v>
      </c>
      <c r="I298" s="1" t="n">
        <v>20240430091638</v>
      </c>
      <c r="J298" s="3" t="s">
        <v>1313</v>
      </c>
      <c r="K298" s="3" t="s">
        <v>1314</v>
      </c>
      <c r="L298" s="3" t="s">
        <v>1315</v>
      </c>
      <c r="M298" s="3" t="n">
        <v>109565</v>
      </c>
      <c r="N298" s="3" t="s">
        <v>1316</v>
      </c>
      <c r="O298" s="1" t="n">
        <v>93179</v>
      </c>
      <c r="P298" s="1" t="n">
        <v>85.04</v>
      </c>
      <c r="Q298" s="1" t="s">
        <v>20</v>
      </c>
      <c r="R298" s="1" t="s">
        <v>27</v>
      </c>
      <c r="S298" s="1" t="s">
        <v>28</v>
      </c>
      <c r="T298" s="1" t="s">
        <v>29</v>
      </c>
    </row>
    <row r="299" customFormat="false" ht="18.7" hidden="false" customHeight="true" outlineLevel="0" collapsed="false">
      <c r="A299" s="1" t="n">
        <v>298</v>
      </c>
      <c r="B299" s="6" t="str">
        <f aca="false">HYPERLINK("https://mncourtfraud.com/file/MCRO_27-CR-19-11566_Warrant Issued_2019-06-18_20240430091636.pdf","MCRO_27-CR-19-11566_Warrant Issued_2019-06-18_20240430091636.pdf")</f>
        <v>MCRO_27-CR-19-11566_Warrant Issued_2019-06-18_20240430091636.pdf</v>
      </c>
      <c r="C299" s="1" t="n">
        <v>4</v>
      </c>
      <c r="D299" s="1" t="n">
        <v>1</v>
      </c>
      <c r="E299" s="1" t="n">
        <v>1</v>
      </c>
      <c r="F299" s="3" t="s">
        <v>20</v>
      </c>
      <c r="G299" s="3" t="s">
        <v>1317</v>
      </c>
      <c r="H299" s="1" t="s">
        <v>22</v>
      </c>
      <c r="I299" s="1" t="n">
        <v>20240430091636</v>
      </c>
      <c r="J299" s="3" t="s">
        <v>1318</v>
      </c>
      <c r="K299" s="3" t="s">
        <v>1319</v>
      </c>
      <c r="L299" s="3" t="s">
        <v>1320</v>
      </c>
      <c r="M299" s="3" t="n">
        <v>104676</v>
      </c>
      <c r="N299" s="3" t="s">
        <v>1321</v>
      </c>
      <c r="O299" s="1" t="n">
        <v>88290</v>
      </c>
      <c r="P299" s="1" t="n">
        <v>84.35</v>
      </c>
      <c r="Q299" s="1" t="s">
        <v>20</v>
      </c>
      <c r="R299" s="1" t="s">
        <v>27</v>
      </c>
      <c r="S299" s="1" t="s">
        <v>28</v>
      </c>
      <c r="T299" s="1" t="s">
        <v>29</v>
      </c>
    </row>
    <row r="300" customFormat="false" ht="18.7" hidden="false" customHeight="true" outlineLevel="0" collapsed="false">
      <c r="A300" s="1" t="n">
        <v>299</v>
      </c>
      <c r="B300" s="6" t="str">
        <f aca="false">HYPERLINK("https://mncourtfraud.com/file/MCRO_27-CR-19-12130_Amended Order_2019-09-26_20240430091738.pdf","MCRO_27-CR-19-12130_Amended Order_2019-09-26_20240430091738.pdf")</f>
        <v>MCRO_27-CR-19-12130_Amended Order_2019-09-26_20240430091738.pdf</v>
      </c>
      <c r="C300" s="1" t="n">
        <v>4</v>
      </c>
      <c r="D300" s="1" t="n">
        <v>1</v>
      </c>
      <c r="E300" s="1" t="n">
        <v>1</v>
      </c>
      <c r="F300" s="3" t="s">
        <v>20</v>
      </c>
      <c r="G300" s="3" t="s">
        <v>1322</v>
      </c>
      <c r="H300" s="1" t="s">
        <v>22</v>
      </c>
      <c r="I300" s="1" t="n">
        <v>20240430091738</v>
      </c>
      <c r="J300" s="3" t="s">
        <v>1323</v>
      </c>
      <c r="K300" s="3" t="s">
        <v>1324</v>
      </c>
      <c r="L300" s="3" t="s">
        <v>1325</v>
      </c>
      <c r="M300" s="3" t="n">
        <v>103136</v>
      </c>
      <c r="N300" s="3" t="s">
        <v>435</v>
      </c>
      <c r="O300" s="1" t="n">
        <v>86750</v>
      </c>
      <c r="P300" s="1" t="n">
        <v>84.11</v>
      </c>
      <c r="Q300" s="1" t="s">
        <v>20</v>
      </c>
      <c r="R300" s="1" t="s">
        <v>27</v>
      </c>
      <c r="S300" s="1" t="s">
        <v>28</v>
      </c>
      <c r="T300" s="1" t="s">
        <v>29</v>
      </c>
    </row>
    <row r="301" customFormat="false" ht="18.7" hidden="false" customHeight="true" outlineLevel="0" collapsed="false">
      <c r="A301" s="1" t="n">
        <v>300</v>
      </c>
      <c r="B301" s="6" t="str">
        <f aca="false">HYPERLINK("https://mncourtfraud.com/file/MCRO_27-CR-19-12130_Citation Data Summary_2019-05-28_20240430091741.pdf","MCRO_27-CR-19-12130_Citation Data Summary_2019-05-28_20240430091741.pdf")</f>
        <v>MCRO_27-CR-19-12130_Citation Data Summary_2019-05-28_20240430091741.pdf</v>
      </c>
      <c r="C301" s="1" t="n">
        <v>4</v>
      </c>
      <c r="D301" s="1" t="n">
        <v>2</v>
      </c>
      <c r="E301" s="1" t="n">
        <v>2</v>
      </c>
      <c r="F301" s="3" t="s">
        <v>20</v>
      </c>
      <c r="G301" s="3" t="s">
        <v>1326</v>
      </c>
      <c r="H301" s="1" t="s">
        <v>22</v>
      </c>
      <c r="I301" s="1" t="n">
        <v>20240430091741</v>
      </c>
      <c r="J301" s="3" t="s">
        <v>1327</v>
      </c>
      <c r="K301" s="3" t="s">
        <v>1328</v>
      </c>
      <c r="L301" s="3" t="s">
        <v>1329</v>
      </c>
      <c r="M301" s="3" t="n">
        <v>101778</v>
      </c>
      <c r="N301" s="3" t="s">
        <v>1330</v>
      </c>
      <c r="O301" s="1" t="n">
        <v>85392</v>
      </c>
      <c r="P301" s="1" t="n">
        <v>83.9</v>
      </c>
      <c r="Q301" s="1" t="s">
        <v>20</v>
      </c>
      <c r="R301" s="1" t="s">
        <v>27</v>
      </c>
      <c r="S301" s="1" t="s">
        <v>28</v>
      </c>
      <c r="T301" s="1" t="s">
        <v>29</v>
      </c>
    </row>
    <row r="302" customFormat="false" ht="18.7" hidden="false" customHeight="true" outlineLevel="0" collapsed="false">
      <c r="A302" s="1" t="n">
        <v>301</v>
      </c>
      <c r="B302" s="6" t="str">
        <f aca="false">HYPERLINK("https://mncourtfraud.com/file/MCRO_27-CR-19-12130_Law Enforcement Bail Bond Receipt_2024-04-03_20240430091704.pdf","MCRO_27-CR-19-12130_Law Enforcement Bail Bond Receipt_2024-04-03_20240430091704.pdf")</f>
        <v>MCRO_27-CR-19-12130_Law Enforcement Bail Bond Receipt_2024-04-03_20240430091704.pdf</v>
      </c>
      <c r="C302" s="1" t="n">
        <v>4</v>
      </c>
      <c r="D302" s="1" t="n">
        <v>1</v>
      </c>
      <c r="E302" s="1" t="n">
        <v>1</v>
      </c>
      <c r="F302" s="3" t="s">
        <v>20</v>
      </c>
      <c r="G302" s="3" t="s">
        <v>1331</v>
      </c>
      <c r="H302" s="1" t="s">
        <v>22</v>
      </c>
      <c r="I302" s="1" t="n">
        <v>20240430091704</v>
      </c>
      <c r="J302" s="3" t="s">
        <v>1332</v>
      </c>
      <c r="K302" s="3" t="s">
        <v>1333</v>
      </c>
      <c r="L302" s="3" t="s">
        <v>1334</v>
      </c>
      <c r="M302" s="3" t="n">
        <v>230249</v>
      </c>
      <c r="N302" s="3" t="s">
        <v>1159</v>
      </c>
      <c r="O302" s="1" t="n">
        <v>213863</v>
      </c>
      <c r="P302" s="1" t="n">
        <v>92.88</v>
      </c>
      <c r="Q302" s="1" t="s">
        <v>20</v>
      </c>
      <c r="R302" s="1" t="s">
        <v>27</v>
      </c>
      <c r="S302" s="1" t="s">
        <v>28</v>
      </c>
      <c r="T302" s="1" t="s">
        <v>29</v>
      </c>
    </row>
    <row r="303" customFormat="false" ht="18.7" hidden="false" customHeight="true" outlineLevel="0" collapsed="false">
      <c r="A303" s="1" t="n">
        <v>302</v>
      </c>
      <c r="B303" s="6" t="str">
        <f aca="false">HYPERLINK("https://mncourtfraud.com/file/MCRO_27-CR-19-12130_Law Enforcement Notice of Release and Appearance_2019-08-23_20240430091739.pdf","MCRO_27-CR-19-12130_Law Enforcement Notice of Release and Appearance_2019-08-23_20240430091739.pdf")</f>
        <v>MCRO_27-CR-19-12130_Law Enforcement Notice of Release and Appearance_2019-08-23_20240430091739.pdf</v>
      </c>
      <c r="C303" s="1" t="n">
        <v>4</v>
      </c>
      <c r="D303" s="1" t="n">
        <v>1</v>
      </c>
      <c r="E303" s="1" t="n">
        <v>1</v>
      </c>
      <c r="F303" s="3" t="s">
        <v>20</v>
      </c>
      <c r="G303" s="3" t="s">
        <v>1335</v>
      </c>
      <c r="H303" s="1" t="s">
        <v>22</v>
      </c>
      <c r="I303" s="1" t="n">
        <v>20240430091739</v>
      </c>
      <c r="J303" s="3" t="s">
        <v>1336</v>
      </c>
      <c r="K303" s="3" t="s">
        <v>1337</v>
      </c>
      <c r="L303" s="3" t="s">
        <v>1338</v>
      </c>
      <c r="M303" s="3" t="n">
        <v>633775</v>
      </c>
      <c r="N303" s="3" t="s">
        <v>435</v>
      </c>
      <c r="O303" s="1" t="n">
        <v>617389</v>
      </c>
      <c r="P303" s="1" t="n">
        <v>97.41</v>
      </c>
      <c r="Q303" s="1" t="s">
        <v>20</v>
      </c>
      <c r="R303" s="1" t="s">
        <v>27</v>
      </c>
      <c r="S303" s="1" t="s">
        <v>28</v>
      </c>
      <c r="T303" s="1" t="s">
        <v>29</v>
      </c>
    </row>
    <row r="304" customFormat="false" ht="18.7" hidden="false" customHeight="true" outlineLevel="0" collapsed="false">
      <c r="A304" s="1" t="n">
        <v>303</v>
      </c>
      <c r="B304" s="6" t="str">
        <f aca="false">HYPERLINK("https://mncourtfraud.com/file/MCRO_27-CR-19-12130_Notice of Case Reassignment_2021-08-25_20240430091723.pdf","MCRO_27-CR-19-12130_Notice of Case Reassignment_2021-08-25_20240430091723.pdf")</f>
        <v>MCRO_27-CR-19-12130_Notice of Case Reassignment_2021-08-25_20240430091723.pdf</v>
      </c>
      <c r="C304" s="1" t="n">
        <v>4</v>
      </c>
      <c r="D304" s="1" t="n">
        <v>1</v>
      </c>
      <c r="E304" s="1" t="n">
        <v>1</v>
      </c>
      <c r="F304" s="3" t="s">
        <v>20</v>
      </c>
      <c r="G304" s="3" t="s">
        <v>1339</v>
      </c>
      <c r="H304" s="1" t="s">
        <v>22</v>
      </c>
      <c r="I304" s="1" t="n">
        <v>20240430091723</v>
      </c>
      <c r="J304" s="3" t="s">
        <v>1340</v>
      </c>
      <c r="K304" s="3" t="s">
        <v>1341</v>
      </c>
      <c r="L304" s="3" t="s">
        <v>1342</v>
      </c>
      <c r="M304" s="3" t="n">
        <v>334470</v>
      </c>
      <c r="N304" s="3" t="s">
        <v>456</v>
      </c>
      <c r="O304" s="1" t="n">
        <v>318084</v>
      </c>
      <c r="P304" s="1" t="n">
        <v>95.1</v>
      </c>
      <c r="Q304" s="1" t="s">
        <v>20</v>
      </c>
      <c r="R304" s="1" t="s">
        <v>27</v>
      </c>
      <c r="S304" s="1" t="s">
        <v>28</v>
      </c>
      <c r="T304" s="1" t="s">
        <v>29</v>
      </c>
    </row>
    <row r="305" customFormat="false" ht="18.7" hidden="false" customHeight="true" outlineLevel="0" collapsed="false">
      <c r="A305" s="1" t="n">
        <v>304</v>
      </c>
      <c r="B305" s="6" t="str">
        <f aca="false">HYPERLINK("https://mncourtfraud.com/file/MCRO_27-CR-19-12130_Notice of Case Reassignment_2022-04-29_20240430091721.pdf","MCRO_27-CR-19-12130_Notice of Case Reassignment_2022-04-29_20240430091721.pdf")</f>
        <v>MCRO_27-CR-19-12130_Notice of Case Reassignment_2022-04-29_20240430091721.pdf</v>
      </c>
      <c r="C305" s="1" t="n">
        <v>4</v>
      </c>
      <c r="D305" s="1" t="n">
        <v>1</v>
      </c>
      <c r="E305" s="1" t="n">
        <v>1</v>
      </c>
      <c r="F305" s="3" t="s">
        <v>20</v>
      </c>
      <c r="G305" s="3" t="s">
        <v>1343</v>
      </c>
      <c r="H305" s="1" t="s">
        <v>22</v>
      </c>
      <c r="I305" s="1" t="n">
        <v>20240430091721</v>
      </c>
      <c r="J305" s="3" t="s">
        <v>1344</v>
      </c>
      <c r="K305" s="3" t="s">
        <v>1345</v>
      </c>
      <c r="L305" s="3" t="s">
        <v>1346</v>
      </c>
      <c r="M305" s="3" t="n">
        <v>92677</v>
      </c>
      <c r="N305" s="3" t="s">
        <v>456</v>
      </c>
      <c r="O305" s="1" t="n">
        <v>76291</v>
      </c>
      <c r="P305" s="1" t="n">
        <v>82.32</v>
      </c>
      <c r="Q305" s="1" t="s">
        <v>20</v>
      </c>
      <c r="R305" s="1" t="s">
        <v>27</v>
      </c>
      <c r="S305" s="1" t="s">
        <v>28</v>
      </c>
      <c r="T305" s="1" t="s">
        <v>29</v>
      </c>
    </row>
    <row r="306" customFormat="false" ht="18.7" hidden="false" customHeight="true" outlineLevel="0" collapsed="false">
      <c r="A306" s="1" t="n">
        <v>305</v>
      </c>
      <c r="B306" s="6" t="str">
        <f aca="false">HYPERLINK("https://mncourtfraud.com/file/MCRO_27-CR-19-12130_Notice of Case Reassignment_2022-12-16_20240430091720.pdf","MCRO_27-CR-19-12130_Notice of Case Reassignment_2022-12-16_20240430091720.pdf")</f>
        <v>MCRO_27-CR-19-12130_Notice of Case Reassignment_2022-12-16_20240430091720.pdf</v>
      </c>
      <c r="C306" s="1" t="n">
        <v>4</v>
      </c>
      <c r="D306" s="1" t="n">
        <v>1</v>
      </c>
      <c r="E306" s="1" t="n">
        <v>1</v>
      </c>
      <c r="F306" s="3" t="s">
        <v>20</v>
      </c>
      <c r="G306" s="3" t="s">
        <v>1347</v>
      </c>
      <c r="H306" s="1" t="s">
        <v>22</v>
      </c>
      <c r="I306" s="1" t="n">
        <v>20240430091720</v>
      </c>
      <c r="J306" s="3" t="s">
        <v>1348</v>
      </c>
      <c r="K306" s="3" t="s">
        <v>1349</v>
      </c>
      <c r="L306" s="3" t="s">
        <v>1350</v>
      </c>
      <c r="M306" s="3" t="n">
        <v>289362</v>
      </c>
      <c r="N306" s="3" t="s">
        <v>158</v>
      </c>
      <c r="O306" s="1" t="n">
        <v>272976</v>
      </c>
      <c r="P306" s="1" t="n">
        <v>94.34</v>
      </c>
      <c r="Q306" s="1" t="s">
        <v>20</v>
      </c>
      <c r="R306" s="1" t="s">
        <v>27</v>
      </c>
      <c r="S306" s="1" t="s">
        <v>28</v>
      </c>
      <c r="T306" s="1" t="s">
        <v>29</v>
      </c>
    </row>
    <row r="307" customFormat="false" ht="18.7" hidden="false" customHeight="true" outlineLevel="0" collapsed="false">
      <c r="A307" s="1" t="n">
        <v>306</v>
      </c>
      <c r="B307" s="6" t="str">
        <f aca="false">HYPERLINK("https://mncourtfraud.com/file/MCRO_27-CR-19-12130_Notice of Case Reassignment_2023-12-27_20240430091705.pdf","MCRO_27-CR-19-12130_Notice of Case Reassignment_2023-12-27_20240430091705.pdf")</f>
        <v>MCRO_27-CR-19-12130_Notice of Case Reassignment_2023-12-27_20240430091705.pdf</v>
      </c>
      <c r="C307" s="1" t="n">
        <v>3</v>
      </c>
      <c r="D307" s="1" t="n">
        <v>1</v>
      </c>
      <c r="E307" s="1" t="n">
        <v>1</v>
      </c>
      <c r="F307" s="3" t="s">
        <v>20</v>
      </c>
      <c r="G307" s="3" t="s">
        <v>1351</v>
      </c>
      <c r="H307" s="1" t="s">
        <v>22</v>
      </c>
      <c r="I307" s="1" t="n">
        <v>20240430091705</v>
      </c>
      <c r="J307" s="3" t="s">
        <v>1352</v>
      </c>
      <c r="K307" s="3" t="s">
        <v>1353</v>
      </c>
      <c r="L307" s="3" t="s">
        <v>1354</v>
      </c>
      <c r="M307" s="3" t="n">
        <v>173175</v>
      </c>
      <c r="N307" s="3" t="s">
        <v>1176</v>
      </c>
      <c r="O307" s="1" t="n">
        <v>156789</v>
      </c>
      <c r="P307" s="1" t="n">
        <v>90.54</v>
      </c>
      <c r="Q307" s="1" t="s">
        <v>20</v>
      </c>
      <c r="R307" s="1" t="s">
        <v>27</v>
      </c>
      <c r="S307" s="1" t="s">
        <v>28</v>
      </c>
      <c r="T307" s="1" t="s">
        <v>29</v>
      </c>
    </row>
    <row r="308" customFormat="false" ht="18.7" hidden="false" customHeight="true" outlineLevel="0" collapsed="false">
      <c r="A308" s="1" t="n">
        <v>307</v>
      </c>
      <c r="B308" s="6" t="str">
        <f aca="false">HYPERLINK("https://mncourtfraud.com/file/MCRO_27-CR-19-12130_Notice of Hearing_2020-12-31_20240430091728.pdf","MCRO_27-CR-19-12130_Notice of Hearing_2020-12-31_20240430091728.pdf")</f>
        <v>MCRO_27-CR-19-12130_Notice of Hearing_2020-12-31_20240430091728.pdf</v>
      </c>
      <c r="C308" s="1" t="n">
        <v>4</v>
      </c>
      <c r="D308" s="1" t="n">
        <v>1</v>
      </c>
      <c r="E308" s="1" t="n">
        <v>1</v>
      </c>
      <c r="F308" s="3" t="s">
        <v>20</v>
      </c>
      <c r="G308" s="3" t="s">
        <v>1355</v>
      </c>
      <c r="H308" s="1" t="s">
        <v>22</v>
      </c>
      <c r="I308" s="1" t="n">
        <v>20240430091728</v>
      </c>
      <c r="J308" s="3" t="s">
        <v>1356</v>
      </c>
      <c r="K308" s="3" t="s">
        <v>1357</v>
      </c>
      <c r="L308" s="3" t="s">
        <v>1358</v>
      </c>
      <c r="M308" s="3" t="n">
        <v>156455</v>
      </c>
      <c r="N308" s="3" t="s">
        <v>1065</v>
      </c>
      <c r="O308" s="1" t="n">
        <v>140069</v>
      </c>
      <c r="P308" s="1" t="n">
        <v>89.53</v>
      </c>
      <c r="Q308" s="1" t="s">
        <v>20</v>
      </c>
      <c r="R308" s="1" t="s">
        <v>27</v>
      </c>
      <c r="S308" s="1" t="s">
        <v>28</v>
      </c>
      <c r="T308" s="1" t="s">
        <v>29</v>
      </c>
    </row>
    <row r="309" customFormat="false" ht="18.7" hidden="false" customHeight="true" outlineLevel="0" collapsed="false">
      <c r="A309" s="1" t="n">
        <v>308</v>
      </c>
      <c r="B309" s="6" t="str">
        <f aca="false">HYPERLINK("https://mncourtfraud.com/file/MCRO_27-CR-19-12130_Notice of Hearing_2023-04-06_20240430091719.pdf","MCRO_27-CR-19-12130_Notice of Hearing_2023-04-06_20240430091719.pdf")</f>
        <v>MCRO_27-CR-19-12130_Notice of Hearing_2023-04-06_20240430091719.pdf</v>
      </c>
      <c r="C309" s="1" t="n">
        <v>4</v>
      </c>
      <c r="D309" s="1" t="n">
        <v>1</v>
      </c>
      <c r="E309" s="1" t="n">
        <v>1</v>
      </c>
      <c r="F309" s="3" t="s">
        <v>20</v>
      </c>
      <c r="G309" s="3" t="s">
        <v>1359</v>
      </c>
      <c r="H309" s="1" t="s">
        <v>22</v>
      </c>
      <c r="I309" s="1" t="n">
        <v>20240430091719</v>
      </c>
      <c r="J309" s="3" t="s">
        <v>1360</v>
      </c>
      <c r="K309" s="3" t="s">
        <v>1361</v>
      </c>
      <c r="L309" s="3" t="s">
        <v>1362</v>
      </c>
      <c r="M309" s="3" t="n">
        <v>566283</v>
      </c>
      <c r="N309" s="3" t="s">
        <v>1128</v>
      </c>
      <c r="O309" s="1" t="n">
        <v>549897</v>
      </c>
      <c r="P309" s="1" t="n">
        <v>97.11</v>
      </c>
      <c r="Q309" s="1" t="s">
        <v>20</v>
      </c>
      <c r="R309" s="1" t="s">
        <v>27</v>
      </c>
      <c r="S309" s="1" t="s">
        <v>28</v>
      </c>
      <c r="T309" s="1" t="s">
        <v>29</v>
      </c>
    </row>
    <row r="310" customFormat="false" ht="18.7" hidden="false" customHeight="true" outlineLevel="0" collapsed="false">
      <c r="A310" s="1" t="n">
        <v>309</v>
      </c>
      <c r="B310" s="6" t="str">
        <f aca="false">HYPERLINK("https://mncourtfraud.com/file/MCRO_27-CR-19-12130_Notice of Hearing_2023-04-20_20240430091716.pdf","MCRO_27-CR-19-12130_Notice of Hearing_2023-04-20_20240430091716.pdf")</f>
        <v>MCRO_27-CR-19-12130_Notice of Hearing_2023-04-20_20240430091716.pdf</v>
      </c>
      <c r="C310" s="1" t="n">
        <v>4</v>
      </c>
      <c r="D310" s="1" t="n">
        <v>1</v>
      </c>
      <c r="E310" s="1" t="n">
        <v>1</v>
      </c>
      <c r="F310" s="3" t="s">
        <v>20</v>
      </c>
      <c r="G310" s="3" t="s">
        <v>1363</v>
      </c>
      <c r="H310" s="1" t="s">
        <v>22</v>
      </c>
      <c r="I310" s="1" t="n">
        <v>20240430091716</v>
      </c>
      <c r="J310" s="3" t="s">
        <v>1364</v>
      </c>
      <c r="K310" s="3" t="s">
        <v>1365</v>
      </c>
      <c r="L310" s="3" t="s">
        <v>1366</v>
      </c>
      <c r="M310" s="3" t="n">
        <v>597529</v>
      </c>
      <c r="N310" s="3" t="s">
        <v>1128</v>
      </c>
      <c r="O310" s="1" t="n">
        <v>581143</v>
      </c>
      <c r="P310" s="1" t="n">
        <v>97.26</v>
      </c>
      <c r="Q310" s="1" t="s">
        <v>20</v>
      </c>
      <c r="R310" s="1" t="s">
        <v>27</v>
      </c>
      <c r="S310" s="1" t="s">
        <v>28</v>
      </c>
      <c r="T310" s="1" t="s">
        <v>29</v>
      </c>
    </row>
    <row r="311" customFormat="false" ht="18.7" hidden="false" customHeight="true" outlineLevel="0" collapsed="false">
      <c r="A311" s="1" t="n">
        <v>310</v>
      </c>
      <c r="B311" s="6" t="str">
        <f aca="false">HYPERLINK("https://mncourtfraud.com/file/MCRO_27-CR-19-12130_Notice of Hearing_2023-05-15_20240430091715.pdf","MCRO_27-CR-19-12130_Notice of Hearing_2023-05-15_20240430091715.pdf")</f>
        <v>MCRO_27-CR-19-12130_Notice of Hearing_2023-05-15_20240430091715.pdf</v>
      </c>
      <c r="C311" s="1" t="n">
        <v>4</v>
      </c>
      <c r="D311" s="1" t="n">
        <v>1</v>
      </c>
      <c r="E311" s="1" t="n">
        <v>1</v>
      </c>
      <c r="F311" s="3" t="s">
        <v>20</v>
      </c>
      <c r="G311" s="3" t="s">
        <v>1367</v>
      </c>
      <c r="H311" s="1" t="s">
        <v>22</v>
      </c>
      <c r="I311" s="1" t="n">
        <v>20240430091715</v>
      </c>
      <c r="J311" s="3" t="s">
        <v>1368</v>
      </c>
      <c r="K311" s="3" t="s">
        <v>1369</v>
      </c>
      <c r="L311" s="3" t="s">
        <v>1370</v>
      </c>
      <c r="M311" s="3" t="n">
        <v>688608</v>
      </c>
      <c r="N311" s="3" t="s">
        <v>1065</v>
      </c>
      <c r="O311" s="1" t="n">
        <v>672222</v>
      </c>
      <c r="P311" s="1" t="n">
        <v>97.62</v>
      </c>
      <c r="Q311" s="1" t="s">
        <v>20</v>
      </c>
      <c r="R311" s="1" t="s">
        <v>27</v>
      </c>
      <c r="S311" s="1" t="s">
        <v>28</v>
      </c>
      <c r="T311" s="1" t="s">
        <v>29</v>
      </c>
    </row>
    <row r="312" customFormat="false" ht="18.7" hidden="false" customHeight="true" outlineLevel="0" collapsed="false">
      <c r="A312" s="1" t="n">
        <v>311</v>
      </c>
      <c r="B312" s="6" t="str">
        <f aca="false">HYPERLINK("https://mncourtfraud.com/file/MCRO_27-CR-19-12130_Notice of Hearing_2023-06-13_20240430091713.pdf","MCRO_27-CR-19-12130_Notice of Hearing_2023-06-13_20240430091713.pdf")</f>
        <v>MCRO_27-CR-19-12130_Notice of Hearing_2023-06-13_20240430091713.pdf</v>
      </c>
      <c r="C312" s="1" t="n">
        <v>4</v>
      </c>
      <c r="D312" s="1" t="n">
        <v>1</v>
      </c>
      <c r="E312" s="1" t="n">
        <v>1</v>
      </c>
      <c r="F312" s="3" t="s">
        <v>20</v>
      </c>
      <c r="G312" s="3" t="s">
        <v>1371</v>
      </c>
      <c r="H312" s="1" t="s">
        <v>22</v>
      </c>
      <c r="I312" s="1" t="n">
        <v>20240430091713</v>
      </c>
      <c r="J312" s="3" t="s">
        <v>1372</v>
      </c>
      <c r="K312" s="3" t="s">
        <v>1373</v>
      </c>
      <c r="L312" s="3" t="s">
        <v>1374</v>
      </c>
      <c r="M312" s="3" t="n">
        <v>755010</v>
      </c>
      <c r="N312" s="3" t="s">
        <v>1205</v>
      </c>
      <c r="O312" s="1" t="n">
        <v>738624</v>
      </c>
      <c r="P312" s="1" t="n">
        <v>97.83</v>
      </c>
      <c r="Q312" s="1" t="s">
        <v>20</v>
      </c>
      <c r="R312" s="1" t="s">
        <v>27</v>
      </c>
      <c r="S312" s="1" t="s">
        <v>28</v>
      </c>
      <c r="T312" s="1" t="s">
        <v>29</v>
      </c>
    </row>
    <row r="313" customFormat="false" ht="18.7" hidden="false" customHeight="true" outlineLevel="0" collapsed="false">
      <c r="A313" s="1" t="n">
        <v>312</v>
      </c>
      <c r="B313" s="6" t="str">
        <f aca="false">HYPERLINK("https://mncourtfraud.com/file/MCRO_27-CR-19-12130_Notice of Hearing_2023-08-01_20240430091711.pdf","MCRO_27-CR-19-12130_Notice of Hearing_2023-08-01_20240430091711.pdf")</f>
        <v>MCRO_27-CR-19-12130_Notice of Hearing_2023-08-01_20240430091711.pdf</v>
      </c>
      <c r="C313" s="1" t="n">
        <v>4</v>
      </c>
      <c r="D313" s="1" t="n">
        <v>1</v>
      </c>
      <c r="E313" s="1" t="n">
        <v>1</v>
      </c>
      <c r="F313" s="3" t="s">
        <v>20</v>
      </c>
      <c r="G313" s="3" t="s">
        <v>1375</v>
      </c>
      <c r="H313" s="1" t="s">
        <v>22</v>
      </c>
      <c r="I313" s="1" t="n">
        <v>20240430091711</v>
      </c>
      <c r="J313" s="3" t="s">
        <v>1376</v>
      </c>
      <c r="K313" s="3" t="s">
        <v>1377</v>
      </c>
      <c r="L313" s="3" t="s">
        <v>1213</v>
      </c>
      <c r="M313" s="3" t="n">
        <v>715091</v>
      </c>
      <c r="N313" s="3" t="s">
        <v>500</v>
      </c>
      <c r="O313" s="1" t="n">
        <v>698705</v>
      </c>
      <c r="P313" s="1" t="n">
        <v>97.71</v>
      </c>
      <c r="Q313" s="1" t="s">
        <v>20</v>
      </c>
      <c r="R313" s="1" t="s">
        <v>27</v>
      </c>
      <c r="S313" s="1" t="s">
        <v>28</v>
      </c>
      <c r="T313" s="1" t="s">
        <v>29</v>
      </c>
    </row>
    <row r="314" customFormat="false" ht="18.7" hidden="false" customHeight="true" outlineLevel="0" collapsed="false">
      <c r="A314" s="1" t="n">
        <v>313</v>
      </c>
      <c r="B314" s="6" t="str">
        <f aca="false">HYPERLINK("https://mncourtfraud.com/file/MCRO_27-CR-19-12130_Notice of Hearing_2023-09-22_20240430091709.pdf","MCRO_27-CR-19-12130_Notice of Hearing_2023-09-22_20240430091709.pdf")</f>
        <v>MCRO_27-CR-19-12130_Notice of Hearing_2023-09-22_20240430091709.pdf</v>
      </c>
      <c r="C314" s="1" t="n">
        <v>4</v>
      </c>
      <c r="D314" s="1" t="n">
        <v>1</v>
      </c>
      <c r="E314" s="1" t="n">
        <v>1</v>
      </c>
      <c r="F314" s="3" t="s">
        <v>20</v>
      </c>
      <c r="G314" s="3" t="s">
        <v>1378</v>
      </c>
      <c r="H314" s="1" t="s">
        <v>22</v>
      </c>
      <c r="I314" s="1" t="n">
        <v>20240430091709</v>
      </c>
      <c r="J314" s="3" t="s">
        <v>1379</v>
      </c>
      <c r="K314" s="3" t="s">
        <v>1380</v>
      </c>
      <c r="L314" s="3" t="s">
        <v>1381</v>
      </c>
      <c r="M314" s="3" t="n">
        <v>715092</v>
      </c>
      <c r="N314" s="3" t="s">
        <v>500</v>
      </c>
      <c r="O314" s="1" t="n">
        <v>698706</v>
      </c>
      <c r="P314" s="1" t="n">
        <v>97.71</v>
      </c>
      <c r="Q314" s="1" t="s">
        <v>20</v>
      </c>
      <c r="R314" s="1" t="s">
        <v>27</v>
      </c>
      <c r="S314" s="1" t="s">
        <v>28</v>
      </c>
      <c r="T314" s="1" t="s">
        <v>29</v>
      </c>
    </row>
    <row r="315" customFormat="false" ht="18.7" hidden="false" customHeight="true" outlineLevel="0" collapsed="false">
      <c r="A315" s="1" t="n">
        <v>314</v>
      </c>
      <c r="B315" s="6" t="str">
        <f aca="false">HYPERLINK("https://mncourtfraud.com/file/MCRO_27-CR-19-12130_Notice of Hearing_2023-12-14_20240430091706.pdf","MCRO_27-CR-19-12130_Notice of Hearing_2023-12-14_20240430091706.pdf")</f>
        <v>MCRO_27-CR-19-12130_Notice of Hearing_2023-12-14_20240430091706.pdf</v>
      </c>
      <c r="C315" s="1" t="n">
        <v>4</v>
      </c>
      <c r="D315" s="1" t="n">
        <v>1</v>
      </c>
      <c r="E315" s="1" t="n">
        <v>1</v>
      </c>
      <c r="F315" s="3" t="s">
        <v>20</v>
      </c>
      <c r="G315" s="3" t="s">
        <v>1382</v>
      </c>
      <c r="H315" s="1" t="s">
        <v>22</v>
      </c>
      <c r="I315" s="1" t="n">
        <v>20240430091706</v>
      </c>
      <c r="J315" s="3" t="s">
        <v>1383</v>
      </c>
      <c r="K315" s="3" t="s">
        <v>1384</v>
      </c>
      <c r="L315" s="3" t="s">
        <v>1385</v>
      </c>
      <c r="M315" s="3" t="n">
        <v>715179</v>
      </c>
      <c r="N315" s="3" t="s">
        <v>500</v>
      </c>
      <c r="O315" s="1" t="n">
        <v>698793</v>
      </c>
      <c r="P315" s="1" t="n">
        <v>97.71</v>
      </c>
      <c r="Q315" s="1" t="s">
        <v>20</v>
      </c>
      <c r="R315" s="1" t="s">
        <v>27</v>
      </c>
      <c r="S315" s="1" t="s">
        <v>28</v>
      </c>
      <c r="T315" s="1" t="s">
        <v>29</v>
      </c>
    </row>
    <row r="316" customFormat="false" ht="18.7" hidden="false" customHeight="true" outlineLevel="0" collapsed="false">
      <c r="A316" s="1" t="n">
        <v>315</v>
      </c>
      <c r="B316" s="6" t="str">
        <f aca="false">HYPERLINK("https://mncourtfraud.com/file/MCRO_27-CR-19-12130_Notice of Remote Hearing with Instructions_2020-11-25_20240430091730.pdf","MCRO_27-CR-19-12130_Notice of Remote Hearing with Instructions_2020-11-25_20240430091730.pdf")</f>
        <v>MCRO_27-CR-19-12130_Notice of Remote Hearing with Instructions_2020-11-25_20240430091730.pdf</v>
      </c>
      <c r="C316" s="1" t="n">
        <v>5</v>
      </c>
      <c r="D316" s="1" t="n">
        <v>1</v>
      </c>
      <c r="E316" s="1" t="n">
        <v>1</v>
      </c>
      <c r="F316" s="3" t="s">
        <v>20</v>
      </c>
      <c r="G316" s="3" t="s">
        <v>1386</v>
      </c>
      <c r="H316" s="1" t="s">
        <v>22</v>
      </c>
      <c r="I316" s="1" t="n">
        <v>20240430091730</v>
      </c>
      <c r="J316" s="3" t="s">
        <v>1387</v>
      </c>
      <c r="K316" s="3" t="s">
        <v>1388</v>
      </c>
      <c r="L316" s="3" t="s">
        <v>1389</v>
      </c>
      <c r="M316" s="3" t="n">
        <v>1241852</v>
      </c>
      <c r="N316" s="3" t="s">
        <v>1222</v>
      </c>
      <c r="O316" s="1" t="n">
        <v>1225466</v>
      </c>
      <c r="P316" s="1" t="n">
        <v>98.68</v>
      </c>
      <c r="Q316" s="1" t="s">
        <v>20</v>
      </c>
      <c r="R316" s="1" t="s">
        <v>27</v>
      </c>
      <c r="S316" s="1" t="s">
        <v>28</v>
      </c>
      <c r="T316" s="1" t="s">
        <v>29</v>
      </c>
    </row>
    <row r="317" customFormat="false" ht="18.7" hidden="false" customHeight="true" outlineLevel="0" collapsed="false">
      <c r="A317" s="1" t="n">
        <v>316</v>
      </c>
      <c r="B317" s="6" t="str">
        <f aca="false">HYPERLINK("https://mncourtfraud.com/file/MCRO_27-CR-19-12130_Notice of Remote Hearing with Instructions_2021-02-16_20240430091726.pdf","MCRO_27-CR-19-12130_Notice of Remote Hearing with Instructions_2021-02-16_20240430091726.pdf")</f>
        <v>MCRO_27-CR-19-12130_Notice of Remote Hearing with Instructions_2021-02-16_20240430091726.pdf</v>
      </c>
      <c r="C317" s="1" t="n">
        <v>4</v>
      </c>
      <c r="D317" s="1" t="n">
        <v>1</v>
      </c>
      <c r="E317" s="1" t="n">
        <v>1</v>
      </c>
      <c r="F317" s="3" t="s">
        <v>20</v>
      </c>
      <c r="G317" s="3" t="s">
        <v>1390</v>
      </c>
      <c r="H317" s="1" t="s">
        <v>22</v>
      </c>
      <c r="I317" s="1" t="n">
        <v>20240430091726</v>
      </c>
      <c r="J317" s="3" t="s">
        <v>1391</v>
      </c>
      <c r="K317" s="3" t="s">
        <v>1392</v>
      </c>
      <c r="L317" s="3" t="s">
        <v>1393</v>
      </c>
      <c r="M317" s="3" t="n">
        <v>157586</v>
      </c>
      <c r="N317" s="3" t="s">
        <v>1065</v>
      </c>
      <c r="O317" s="1" t="n">
        <v>141200</v>
      </c>
      <c r="P317" s="1" t="n">
        <v>89.6</v>
      </c>
      <c r="Q317" s="1" t="s">
        <v>20</v>
      </c>
      <c r="R317" s="1" t="s">
        <v>27</v>
      </c>
      <c r="S317" s="1" t="s">
        <v>28</v>
      </c>
      <c r="T317" s="1" t="s">
        <v>29</v>
      </c>
    </row>
    <row r="318" customFormat="false" ht="18.7" hidden="false" customHeight="true" outlineLevel="0" collapsed="false">
      <c r="A318" s="1" t="n">
        <v>317</v>
      </c>
      <c r="B318" s="6" t="str">
        <f aca="false">HYPERLINK("https://mncourtfraud.com/file/MCRO_27-CR-19-12130_Notice of Remote Hearing with Instructions_2021-10-11_20240430091722.pdf","MCRO_27-CR-19-12130_Notice of Remote Hearing with Instructions_2021-10-11_20240430091722.pdf")</f>
        <v>MCRO_27-CR-19-12130_Notice of Remote Hearing with Instructions_2021-10-11_20240430091722.pdf</v>
      </c>
      <c r="C318" s="1" t="n">
        <v>4</v>
      </c>
      <c r="D318" s="1" t="n">
        <v>1</v>
      </c>
      <c r="E318" s="1" t="n">
        <v>1</v>
      </c>
      <c r="F318" s="3" t="s">
        <v>20</v>
      </c>
      <c r="G318" s="3" t="s">
        <v>1394</v>
      </c>
      <c r="H318" s="1" t="s">
        <v>22</v>
      </c>
      <c r="I318" s="1" t="n">
        <v>20240430091722</v>
      </c>
      <c r="J318" s="3" t="s">
        <v>1395</v>
      </c>
      <c r="K318" s="3" t="s">
        <v>1396</v>
      </c>
      <c r="L318" s="3" t="s">
        <v>1397</v>
      </c>
      <c r="M318" s="3" t="n">
        <v>161430</v>
      </c>
      <c r="N318" s="3" t="s">
        <v>1065</v>
      </c>
      <c r="O318" s="1" t="n">
        <v>145044</v>
      </c>
      <c r="P318" s="1" t="n">
        <v>89.85</v>
      </c>
      <c r="Q318" s="1" t="s">
        <v>20</v>
      </c>
      <c r="R318" s="1" t="s">
        <v>27</v>
      </c>
      <c r="S318" s="1" t="s">
        <v>28</v>
      </c>
      <c r="T318" s="1" t="s">
        <v>29</v>
      </c>
    </row>
    <row r="319" customFormat="false" ht="18.7" hidden="false" customHeight="true" outlineLevel="0" collapsed="false">
      <c r="A319" s="1" t="n">
        <v>318</v>
      </c>
      <c r="B319" s="6" t="str">
        <f aca="false">HYPERLINK("https://mncourtfraud.com/file/MCRO_27-CR-19-12130_Notice of Remote Hearing with Instructions_2023-06-13_20240430091714.pdf","MCRO_27-CR-19-12130_Notice of Remote Hearing with Instructions_2023-06-13_20240430091714.pdf")</f>
        <v>MCRO_27-CR-19-12130_Notice of Remote Hearing with Instructions_2023-06-13_20240430091714.pdf</v>
      </c>
      <c r="C319" s="1" t="n">
        <v>4</v>
      </c>
      <c r="D319" s="1" t="n">
        <v>1</v>
      </c>
      <c r="E319" s="1" t="n">
        <v>1</v>
      </c>
      <c r="F319" s="3" t="s">
        <v>20</v>
      </c>
      <c r="G319" s="3" t="s">
        <v>1398</v>
      </c>
      <c r="H319" s="1" t="s">
        <v>22</v>
      </c>
      <c r="I319" s="1" t="n">
        <v>20240430091714</v>
      </c>
      <c r="J319" s="3" t="s">
        <v>1399</v>
      </c>
      <c r="K319" s="3" t="s">
        <v>1400</v>
      </c>
      <c r="L319" s="3" t="s">
        <v>1401</v>
      </c>
      <c r="M319" s="3" t="n">
        <v>256079</v>
      </c>
      <c r="N319" s="3" t="s">
        <v>74</v>
      </c>
      <c r="O319" s="1" t="n">
        <v>239693</v>
      </c>
      <c r="P319" s="1" t="n">
        <v>93.6</v>
      </c>
      <c r="Q319" s="1" t="s">
        <v>20</v>
      </c>
      <c r="R319" s="1" t="s">
        <v>27</v>
      </c>
      <c r="S319" s="1" t="s">
        <v>28</v>
      </c>
      <c r="T319" s="1" t="s">
        <v>29</v>
      </c>
    </row>
    <row r="320" customFormat="false" ht="18.7" hidden="false" customHeight="true" outlineLevel="0" collapsed="false">
      <c r="A320" s="1" t="n">
        <v>319</v>
      </c>
      <c r="B320" s="6" t="str">
        <f aca="false">HYPERLINK("https://mncourtfraud.com/file/MCRO_27-CR-19-12130_Notice of Remote Hearing with Instructions_2023-09-19_20240430091710.pdf","MCRO_27-CR-19-12130_Notice of Remote Hearing with Instructions_2023-09-19_20240430091710.pdf")</f>
        <v>MCRO_27-CR-19-12130_Notice of Remote Hearing with Instructions_2023-09-19_20240430091710.pdf</v>
      </c>
      <c r="C320" s="1" t="n">
        <v>5</v>
      </c>
      <c r="D320" s="1" t="n">
        <v>1</v>
      </c>
      <c r="E320" s="1" t="n">
        <v>1</v>
      </c>
      <c r="F320" s="3" t="s">
        <v>20</v>
      </c>
      <c r="G320" s="3" t="s">
        <v>1402</v>
      </c>
      <c r="H320" s="1" t="s">
        <v>22</v>
      </c>
      <c r="I320" s="1" t="n">
        <v>20240430091710</v>
      </c>
      <c r="J320" s="3" t="s">
        <v>1403</v>
      </c>
      <c r="K320" s="3" t="s">
        <v>1404</v>
      </c>
      <c r="L320" s="3" t="s">
        <v>1405</v>
      </c>
      <c r="M320" s="3" t="n">
        <v>859425</v>
      </c>
      <c r="N320" s="3" t="s">
        <v>1009</v>
      </c>
      <c r="O320" s="1" t="n">
        <v>843039</v>
      </c>
      <c r="P320" s="1" t="n">
        <v>98.09</v>
      </c>
      <c r="Q320" s="1" t="s">
        <v>20</v>
      </c>
      <c r="R320" s="1" t="s">
        <v>27</v>
      </c>
      <c r="S320" s="1" t="s">
        <v>28</v>
      </c>
      <c r="T320" s="1" t="s">
        <v>29</v>
      </c>
    </row>
    <row r="321" customFormat="false" ht="18.7" hidden="false" customHeight="true" outlineLevel="0" collapsed="false">
      <c r="A321" s="1" t="n">
        <v>320</v>
      </c>
      <c r="B321" s="6" t="str">
        <f aca="false">HYPERLINK("https://mncourtfraud.com/file/MCRO_27-CR-19-12130_Notice of Remote Hearing with Instructions_2023-12-12_20240430091707.pdf","MCRO_27-CR-19-12130_Notice of Remote Hearing with Instructions_2023-12-12_20240430091707.pdf")</f>
        <v>MCRO_27-CR-19-12130_Notice of Remote Hearing with Instructions_2023-12-12_20240430091707.pdf</v>
      </c>
      <c r="C321" s="1" t="n">
        <v>5</v>
      </c>
      <c r="D321" s="1" t="n">
        <v>1</v>
      </c>
      <c r="E321" s="1" t="n">
        <v>1</v>
      </c>
      <c r="F321" s="3" t="s">
        <v>20</v>
      </c>
      <c r="G321" s="3" t="s">
        <v>1406</v>
      </c>
      <c r="H321" s="1" t="s">
        <v>22</v>
      </c>
      <c r="I321" s="1" t="n">
        <v>20240430091707</v>
      </c>
      <c r="J321" s="3" t="s">
        <v>1407</v>
      </c>
      <c r="K321" s="3" t="s">
        <v>1408</v>
      </c>
      <c r="L321" s="3" t="s">
        <v>1409</v>
      </c>
      <c r="M321" s="3" t="n">
        <v>855822</v>
      </c>
      <c r="N321" s="3" t="s">
        <v>1248</v>
      </c>
      <c r="O321" s="1" t="n">
        <v>839436</v>
      </c>
      <c r="P321" s="1" t="n">
        <v>98.09</v>
      </c>
      <c r="Q321" s="1" t="s">
        <v>20</v>
      </c>
      <c r="R321" s="1" t="s">
        <v>27</v>
      </c>
      <c r="S321" s="1" t="s">
        <v>28</v>
      </c>
      <c r="T321" s="1" t="s">
        <v>29</v>
      </c>
    </row>
    <row r="322" customFormat="false" ht="18.7" hidden="false" customHeight="true" outlineLevel="0" collapsed="false">
      <c r="A322" s="1" t="n">
        <v>321</v>
      </c>
      <c r="B322" s="6" t="str">
        <f aca="false">HYPERLINK("https://mncourtfraud.com/file/MCRO_27-CR-19-12130_Order-Evaluation for Competency to Proceed (Rule 20.01)_2023-07-18_20240430091712.pdf","MCRO_27-CR-19-12130_Order-Evaluation for Competency to Proceed (Rule 20.01)_2023-07-18_20240430091712.pdf")</f>
        <v>MCRO_27-CR-19-12130_Order-Evaluation for Competency to Proceed (Rule 20.01)_2023-07-18_20240430091712.pdf</v>
      </c>
      <c r="C322" s="1" t="n">
        <v>5</v>
      </c>
      <c r="D322" s="1" t="n">
        <v>1</v>
      </c>
      <c r="E322" s="1" t="n">
        <v>1</v>
      </c>
      <c r="F322" s="3" t="s">
        <v>20</v>
      </c>
      <c r="G322" s="3" t="s">
        <v>1410</v>
      </c>
      <c r="H322" s="1" t="s">
        <v>22</v>
      </c>
      <c r="I322" s="1" t="n">
        <v>20240430091712</v>
      </c>
      <c r="J322" s="3" t="s">
        <v>1411</v>
      </c>
      <c r="K322" s="3" t="s">
        <v>1412</v>
      </c>
      <c r="L322" s="3" t="s">
        <v>1252</v>
      </c>
      <c r="M322" s="3" t="n">
        <v>760685</v>
      </c>
      <c r="N322" s="3" t="s">
        <v>1091</v>
      </c>
      <c r="O322" s="1" t="n">
        <v>744299</v>
      </c>
      <c r="P322" s="1" t="n">
        <v>97.85</v>
      </c>
      <c r="Q322" s="1" t="s">
        <v>20</v>
      </c>
      <c r="R322" s="1" t="s">
        <v>27</v>
      </c>
      <c r="S322" s="1" t="s">
        <v>28</v>
      </c>
      <c r="T322" s="1" t="s">
        <v>29</v>
      </c>
    </row>
    <row r="323" customFormat="false" ht="18.7" hidden="false" customHeight="true" outlineLevel="0" collapsed="false">
      <c r="A323" s="1" t="n">
        <v>322</v>
      </c>
      <c r="B323" s="6" t="str">
        <f aca="false">HYPERLINK("https://mncourtfraud.com/file/MCRO_27-CR-19-12130_Order-Evaluation for Competency to Proceed (Rule 20.01)_2023-10-10_20240430091708.pdf","MCRO_27-CR-19-12130_Order-Evaluation for Competency to Proceed (Rule 20.01)_2023-10-10_20240430091708.pdf")</f>
        <v>MCRO_27-CR-19-12130_Order-Evaluation for Competency to Proceed (Rule 20.01)_2023-10-10_20240430091708.pdf</v>
      </c>
      <c r="C323" s="1" t="n">
        <v>5</v>
      </c>
      <c r="D323" s="1" t="n">
        <v>1</v>
      </c>
      <c r="E323" s="1" t="n">
        <v>1</v>
      </c>
      <c r="F323" s="3" t="s">
        <v>20</v>
      </c>
      <c r="G323" s="3" t="s">
        <v>1413</v>
      </c>
      <c r="H323" s="1" t="s">
        <v>22</v>
      </c>
      <c r="I323" s="1" t="n">
        <v>20240430091708</v>
      </c>
      <c r="J323" s="3" t="s">
        <v>1414</v>
      </c>
      <c r="K323" s="3" t="s">
        <v>1415</v>
      </c>
      <c r="L323" s="3" t="s">
        <v>1416</v>
      </c>
      <c r="M323" s="3" t="n">
        <v>763576</v>
      </c>
      <c r="N323" s="3" t="s">
        <v>1257</v>
      </c>
      <c r="O323" s="1" t="n">
        <v>747190</v>
      </c>
      <c r="P323" s="1" t="n">
        <v>97.85</v>
      </c>
      <c r="Q323" s="1" t="s">
        <v>20</v>
      </c>
      <c r="R323" s="1" t="s">
        <v>27</v>
      </c>
      <c r="S323" s="1" t="s">
        <v>28</v>
      </c>
      <c r="T323" s="1" t="s">
        <v>29</v>
      </c>
    </row>
    <row r="324" customFormat="false" ht="18.7" hidden="false" customHeight="true" outlineLevel="0" collapsed="false">
      <c r="A324" s="1" t="n">
        <v>323</v>
      </c>
      <c r="B324" s="6" t="str">
        <f aca="false">HYPERLINK("https://mncourtfraud.com/file/MCRO_27-CR-19-12130_Order for Conditional Release_2020-12-31_20240430091727.pdf","MCRO_27-CR-19-12130_Order for Conditional Release_2020-12-31_20240430091727.pdf")</f>
        <v>MCRO_27-CR-19-12130_Order for Conditional Release_2020-12-31_20240430091727.pdf</v>
      </c>
      <c r="C324" s="1" t="n">
        <v>4</v>
      </c>
      <c r="D324" s="1" t="n">
        <v>1</v>
      </c>
      <c r="E324" s="1" t="n">
        <v>1</v>
      </c>
      <c r="F324" s="3" t="s">
        <v>20</v>
      </c>
      <c r="G324" s="3" t="s">
        <v>1417</v>
      </c>
      <c r="H324" s="1" t="s">
        <v>22</v>
      </c>
      <c r="I324" s="1" t="n">
        <v>20240430091727</v>
      </c>
      <c r="J324" s="3" t="s">
        <v>1418</v>
      </c>
      <c r="K324" s="3" t="s">
        <v>1419</v>
      </c>
      <c r="L324" s="3" t="s">
        <v>1420</v>
      </c>
      <c r="M324" s="3" t="n">
        <v>135179</v>
      </c>
      <c r="N324" s="3" t="s">
        <v>456</v>
      </c>
      <c r="O324" s="1" t="n">
        <v>118793</v>
      </c>
      <c r="P324" s="1" t="n">
        <v>87.88</v>
      </c>
      <c r="Q324" s="1" t="s">
        <v>20</v>
      </c>
      <c r="R324" s="1" t="s">
        <v>27</v>
      </c>
      <c r="S324" s="1" t="s">
        <v>28</v>
      </c>
      <c r="T324" s="1" t="s">
        <v>29</v>
      </c>
    </row>
    <row r="325" customFormat="false" ht="18.7" hidden="false" customHeight="true" outlineLevel="0" collapsed="false">
      <c r="A325" s="1" t="n">
        <v>324</v>
      </c>
      <c r="B325" s="6" t="str">
        <f aca="false">HYPERLINK("https://mncourtfraud.com/file/MCRO_27-CR-19-12130_Other Document_2021-04-07_20240430091724.pdf","MCRO_27-CR-19-12130_Other Document_2021-04-07_20240430091724.pdf")</f>
        <v>MCRO_27-CR-19-12130_Other Document_2021-04-07_20240430091724.pdf</v>
      </c>
      <c r="C325" s="1" t="n">
        <v>3</v>
      </c>
      <c r="D325" s="1" t="n">
        <v>1</v>
      </c>
      <c r="E325" s="1" t="n">
        <v>1</v>
      </c>
      <c r="F325" s="3" t="s">
        <v>20</v>
      </c>
      <c r="G325" s="3" t="s">
        <v>1421</v>
      </c>
      <c r="H325" s="1" t="s">
        <v>22</v>
      </c>
      <c r="I325" s="1" t="n">
        <v>20240430091724</v>
      </c>
      <c r="J325" s="3" t="s">
        <v>1422</v>
      </c>
      <c r="K325" s="3" t="s">
        <v>1423</v>
      </c>
      <c r="L325" s="3" t="s">
        <v>1424</v>
      </c>
      <c r="M325" s="3" t="n">
        <v>561767</v>
      </c>
      <c r="N325" s="3" t="s">
        <v>1266</v>
      </c>
      <c r="O325" s="1" t="n">
        <v>545381</v>
      </c>
      <c r="P325" s="1" t="n">
        <v>97.08</v>
      </c>
      <c r="Q325" s="1" t="s">
        <v>20</v>
      </c>
      <c r="R325" s="1" t="s">
        <v>27</v>
      </c>
      <c r="S325" s="1" t="s">
        <v>28</v>
      </c>
      <c r="T325" s="1" t="s">
        <v>29</v>
      </c>
    </row>
    <row r="326" customFormat="false" ht="18.7" hidden="false" customHeight="true" outlineLevel="0" collapsed="false">
      <c r="A326" s="1" t="n">
        <v>325</v>
      </c>
      <c r="B326" s="6" t="str">
        <f aca="false">HYPERLINK("https://mncourtfraud.com/file/MCRO_27-CR-19-12130_Pandemic Notice of Cancelled or Rescheduled Hearing_2020-03-25_20240430091737.pdf","MCRO_27-CR-19-12130_Pandemic Notice of Cancelled or Rescheduled Hearing_2020-03-25_20240430091737.pdf")</f>
        <v>MCRO_27-CR-19-12130_Pandemic Notice of Cancelled or Rescheduled Hearing_2020-03-25_20240430091737.pdf</v>
      </c>
      <c r="C326" s="1" t="n">
        <v>4</v>
      </c>
      <c r="D326" s="1" t="n">
        <v>1</v>
      </c>
      <c r="E326" s="1" t="n">
        <v>1</v>
      </c>
      <c r="F326" s="3" t="s">
        <v>20</v>
      </c>
      <c r="G326" s="3" t="s">
        <v>1425</v>
      </c>
      <c r="H326" s="1" t="s">
        <v>22</v>
      </c>
      <c r="I326" s="1" t="n">
        <v>20240430091737</v>
      </c>
      <c r="J326" s="3" t="s">
        <v>1426</v>
      </c>
      <c r="K326" s="3" t="s">
        <v>1427</v>
      </c>
      <c r="L326" s="3" t="s">
        <v>1428</v>
      </c>
      <c r="M326" s="3" t="n">
        <v>98713</v>
      </c>
      <c r="N326" s="3" t="s">
        <v>137</v>
      </c>
      <c r="O326" s="1" t="n">
        <v>82327</v>
      </c>
      <c r="P326" s="1" t="n">
        <v>83.4</v>
      </c>
      <c r="Q326" s="1" t="s">
        <v>20</v>
      </c>
      <c r="R326" s="1" t="s">
        <v>27</v>
      </c>
      <c r="S326" s="1" t="s">
        <v>28</v>
      </c>
      <c r="T326" s="1" t="s">
        <v>29</v>
      </c>
    </row>
    <row r="327" customFormat="false" ht="18.7" hidden="false" customHeight="true" outlineLevel="0" collapsed="false">
      <c r="A327" s="1" t="n">
        <v>326</v>
      </c>
      <c r="B327" s="6" t="str">
        <f aca="false">HYPERLINK("https://mncourtfraud.com/file/MCRO_27-CR-19-12130_Pandemic Notice of Cancelled or Rescheduled Hearing_2020-04-29_20240430091735.pdf","MCRO_27-CR-19-12130_Pandemic Notice of Cancelled or Rescheduled Hearing_2020-04-29_20240430091735.pdf")</f>
        <v>MCRO_27-CR-19-12130_Pandemic Notice of Cancelled or Rescheduled Hearing_2020-04-29_20240430091735.pdf</v>
      </c>
      <c r="C327" s="1" t="n">
        <v>4</v>
      </c>
      <c r="D327" s="1" t="n">
        <v>1</v>
      </c>
      <c r="E327" s="1" t="n">
        <v>1</v>
      </c>
      <c r="F327" s="3" t="s">
        <v>20</v>
      </c>
      <c r="G327" s="3" t="s">
        <v>1429</v>
      </c>
      <c r="H327" s="1" t="s">
        <v>22</v>
      </c>
      <c r="I327" s="1" t="n">
        <v>20240430091735</v>
      </c>
      <c r="J327" s="3" t="s">
        <v>1430</v>
      </c>
      <c r="K327" s="3" t="s">
        <v>1431</v>
      </c>
      <c r="L327" s="3" t="s">
        <v>1432</v>
      </c>
      <c r="M327" s="3" t="n">
        <v>828068</v>
      </c>
      <c r="N327" s="3" t="s">
        <v>1273</v>
      </c>
      <c r="O327" s="1" t="n">
        <v>811682</v>
      </c>
      <c r="P327" s="1" t="n">
        <v>98.02</v>
      </c>
      <c r="Q327" s="1" t="s">
        <v>20</v>
      </c>
      <c r="R327" s="1" t="s">
        <v>27</v>
      </c>
      <c r="S327" s="1" t="s">
        <v>28</v>
      </c>
      <c r="T327" s="1" t="s">
        <v>29</v>
      </c>
    </row>
    <row r="328" customFormat="false" ht="18.7" hidden="false" customHeight="true" outlineLevel="0" collapsed="false">
      <c r="A328" s="1" t="n">
        <v>327</v>
      </c>
      <c r="B328" s="6" t="str">
        <f aca="false">HYPERLINK("https://mncourtfraud.com/file/MCRO_27-CR-19-12130_Pandemic Notice of Cancelled or Rescheduled Hearing_2020-05-19_20240430091734.pdf","MCRO_27-CR-19-12130_Pandemic Notice of Cancelled or Rescheduled Hearing_2020-05-19_20240430091734.pdf")</f>
        <v>MCRO_27-CR-19-12130_Pandemic Notice of Cancelled or Rescheduled Hearing_2020-05-19_20240430091734.pdf</v>
      </c>
      <c r="C328" s="1" t="n">
        <v>5</v>
      </c>
      <c r="D328" s="1" t="n">
        <v>1</v>
      </c>
      <c r="E328" s="1" t="n">
        <v>1</v>
      </c>
      <c r="F328" s="3" t="s">
        <v>20</v>
      </c>
      <c r="G328" s="3" t="s">
        <v>1433</v>
      </c>
      <c r="H328" s="1" t="s">
        <v>22</v>
      </c>
      <c r="I328" s="1" t="n">
        <v>20240430091734</v>
      </c>
      <c r="J328" s="3" t="s">
        <v>1434</v>
      </c>
      <c r="K328" s="3" t="s">
        <v>1435</v>
      </c>
      <c r="L328" s="3" t="s">
        <v>1277</v>
      </c>
      <c r="M328" s="3" t="n">
        <v>873674</v>
      </c>
      <c r="N328" s="3" t="s">
        <v>1278</v>
      </c>
      <c r="O328" s="1" t="n">
        <v>857288</v>
      </c>
      <c r="P328" s="1" t="n">
        <v>98.12</v>
      </c>
      <c r="Q328" s="1" t="s">
        <v>20</v>
      </c>
      <c r="R328" s="1" t="s">
        <v>27</v>
      </c>
      <c r="S328" s="1" t="s">
        <v>28</v>
      </c>
      <c r="T328" s="1" t="s">
        <v>29</v>
      </c>
    </row>
    <row r="329" customFormat="false" ht="18.7" hidden="false" customHeight="true" outlineLevel="0" collapsed="false">
      <c r="A329" s="1" t="n">
        <v>328</v>
      </c>
      <c r="B329" s="6" t="str">
        <f aca="false">HYPERLINK("https://mncourtfraud.com/file/MCRO_27-CR-19-12130_Returned Mail_2020-04-09_20240430091736.pdf","MCRO_27-CR-19-12130_Returned Mail_2020-04-09_20240430091736.pdf")</f>
        <v>MCRO_27-CR-19-12130_Returned Mail_2020-04-09_20240430091736.pdf</v>
      </c>
      <c r="C329" s="1" t="n">
        <v>4</v>
      </c>
      <c r="D329" s="1" t="n">
        <v>1</v>
      </c>
      <c r="E329" s="1" t="n">
        <v>1</v>
      </c>
      <c r="F329" s="3" t="s">
        <v>20</v>
      </c>
      <c r="G329" s="3" t="s">
        <v>1436</v>
      </c>
      <c r="H329" s="1" t="s">
        <v>22</v>
      </c>
      <c r="I329" s="1" t="n">
        <v>20240430091736</v>
      </c>
      <c r="J329" s="3" t="s">
        <v>1430</v>
      </c>
      <c r="K329" s="3" t="s">
        <v>1431</v>
      </c>
      <c r="L329" s="3" t="s">
        <v>1437</v>
      </c>
      <c r="M329" s="3" t="n">
        <v>279680</v>
      </c>
      <c r="N329" s="3" t="s">
        <v>137</v>
      </c>
      <c r="O329" s="1" t="n">
        <v>263294</v>
      </c>
      <c r="P329" s="1" t="n">
        <v>94.14</v>
      </c>
      <c r="Q329" s="1" t="s">
        <v>20</v>
      </c>
      <c r="R329" s="1" t="s">
        <v>27</v>
      </c>
      <c r="S329" s="1" t="s">
        <v>28</v>
      </c>
      <c r="T329" s="1" t="s">
        <v>29</v>
      </c>
    </row>
    <row r="330" customFormat="false" ht="18.7" hidden="false" customHeight="true" outlineLevel="0" collapsed="false">
      <c r="A330" s="1" t="n">
        <v>329</v>
      </c>
      <c r="B330" s="6" t="str">
        <f aca="false">HYPERLINK("https://mncourtfraud.com/file/MCRO_27-CR-19-12130_Returned Mail_2020-06-03_20240430091732.pdf","MCRO_27-CR-19-12130_Returned Mail_2020-06-03_20240430091732.pdf")</f>
        <v>MCRO_27-CR-19-12130_Returned Mail_2020-06-03_20240430091732.pdf</v>
      </c>
      <c r="C330" s="1" t="n">
        <v>4</v>
      </c>
      <c r="D330" s="1" t="n">
        <v>1</v>
      </c>
      <c r="E330" s="1" t="n">
        <v>1</v>
      </c>
      <c r="F330" s="3" t="s">
        <v>20</v>
      </c>
      <c r="G330" s="3" t="s">
        <v>1438</v>
      </c>
      <c r="H330" s="1" t="s">
        <v>22</v>
      </c>
      <c r="I330" s="1" t="n">
        <v>20240430091732</v>
      </c>
      <c r="J330" s="3" t="s">
        <v>1439</v>
      </c>
      <c r="K330" s="3" t="s">
        <v>1440</v>
      </c>
      <c r="L330" s="3" t="s">
        <v>1441</v>
      </c>
      <c r="M330" s="3" t="n">
        <v>322823</v>
      </c>
      <c r="N330" s="3" t="s">
        <v>137</v>
      </c>
      <c r="O330" s="1" t="n">
        <v>306437</v>
      </c>
      <c r="P330" s="1" t="n">
        <v>94.92</v>
      </c>
      <c r="Q330" s="1" t="s">
        <v>20</v>
      </c>
      <c r="R330" s="1" t="s">
        <v>27</v>
      </c>
      <c r="S330" s="1" t="s">
        <v>28</v>
      </c>
      <c r="T330" s="1" t="s">
        <v>29</v>
      </c>
    </row>
    <row r="331" customFormat="false" ht="18.7" hidden="false" customHeight="true" outlineLevel="0" collapsed="false">
      <c r="A331" s="1" t="n">
        <v>330</v>
      </c>
      <c r="B331" s="6" t="str">
        <f aca="false">HYPERLINK("https://mncourtfraud.com/file/MCRO_27-CR-19-12130_Returned Mail_2020-06-10_20240430091731.pdf","MCRO_27-CR-19-12130_Returned Mail_2020-06-10_20240430091731.pdf")</f>
        <v>MCRO_27-CR-19-12130_Returned Mail_2020-06-10_20240430091731.pdf</v>
      </c>
      <c r="C331" s="1" t="n">
        <v>4</v>
      </c>
      <c r="D331" s="1" t="n">
        <v>1</v>
      </c>
      <c r="E331" s="1" t="n">
        <v>1</v>
      </c>
      <c r="F331" s="3" t="s">
        <v>20</v>
      </c>
      <c r="G331" s="3" t="s">
        <v>1442</v>
      </c>
      <c r="H331" s="1" t="s">
        <v>22</v>
      </c>
      <c r="I331" s="1" t="n">
        <v>20240430091731</v>
      </c>
      <c r="J331" s="3" t="s">
        <v>1443</v>
      </c>
      <c r="K331" s="3" t="s">
        <v>1444</v>
      </c>
      <c r="L331" s="3" t="s">
        <v>1445</v>
      </c>
      <c r="M331" s="3" t="n">
        <v>98246</v>
      </c>
      <c r="N331" s="3" t="s">
        <v>137</v>
      </c>
      <c r="O331" s="1" t="n">
        <v>81860</v>
      </c>
      <c r="P331" s="1" t="n">
        <v>83.32</v>
      </c>
      <c r="Q331" s="1" t="s">
        <v>20</v>
      </c>
      <c r="R331" s="1" t="s">
        <v>27</v>
      </c>
      <c r="S331" s="1" t="s">
        <v>28</v>
      </c>
      <c r="T331" s="1" t="s">
        <v>29</v>
      </c>
    </row>
    <row r="332" customFormat="false" ht="18.7" hidden="false" customHeight="true" outlineLevel="0" collapsed="false">
      <c r="A332" s="1" t="n">
        <v>331</v>
      </c>
      <c r="B332" s="6" t="str">
        <f aca="false">HYPERLINK("https://mncourtfraud.com/file/MCRO_27-CR-19-12130_Returned Mail_2020-12-04_20240430091729.pdf","MCRO_27-CR-19-12130_Returned Mail_2020-12-04_20240430091729.pdf")</f>
        <v>MCRO_27-CR-19-12130_Returned Mail_2020-12-04_20240430091729.pdf</v>
      </c>
      <c r="C332" s="1" t="n">
        <v>4</v>
      </c>
      <c r="D332" s="1" t="n">
        <v>1</v>
      </c>
      <c r="E332" s="1" t="n">
        <v>1</v>
      </c>
      <c r="F332" s="3" t="s">
        <v>20</v>
      </c>
      <c r="G332" s="3" t="s">
        <v>1446</v>
      </c>
      <c r="H332" s="1" t="s">
        <v>22</v>
      </c>
      <c r="I332" s="1" t="n">
        <v>20240430091729</v>
      </c>
      <c r="J332" s="3" t="s">
        <v>1447</v>
      </c>
      <c r="K332" s="3" t="s">
        <v>1448</v>
      </c>
      <c r="L332" s="3" t="s">
        <v>1449</v>
      </c>
      <c r="M332" s="3" t="n">
        <v>331132</v>
      </c>
      <c r="N332" s="3" t="s">
        <v>456</v>
      </c>
      <c r="O332" s="1" t="n">
        <v>314746</v>
      </c>
      <c r="P332" s="1" t="n">
        <v>95.05</v>
      </c>
      <c r="Q332" s="1" t="s">
        <v>20</v>
      </c>
      <c r="R332" s="1" t="s">
        <v>27</v>
      </c>
      <c r="S332" s="1" t="s">
        <v>28</v>
      </c>
      <c r="T332" s="1" t="s">
        <v>29</v>
      </c>
    </row>
    <row r="333" customFormat="false" ht="18.7" hidden="false" customHeight="true" outlineLevel="0" collapsed="false">
      <c r="A333" s="1" t="n">
        <v>332</v>
      </c>
      <c r="B333" s="6" t="str">
        <f aca="false">HYPERLINK("https://mncourtfraud.com/file/MCRO_27-CR-19-12130_Returned Mail_2021-02-24_20240430091725.pdf","MCRO_27-CR-19-12130_Returned Mail_2021-02-24_20240430091725.pdf")</f>
        <v>MCRO_27-CR-19-12130_Returned Mail_2021-02-24_20240430091725.pdf</v>
      </c>
      <c r="C333" s="1" t="n">
        <v>4</v>
      </c>
      <c r="D333" s="1" t="n">
        <v>1</v>
      </c>
      <c r="E333" s="1" t="n">
        <v>1</v>
      </c>
      <c r="F333" s="3" t="s">
        <v>20</v>
      </c>
      <c r="G333" s="3" t="s">
        <v>1450</v>
      </c>
      <c r="H333" s="1" t="s">
        <v>22</v>
      </c>
      <c r="I333" s="1" t="n">
        <v>20240430091725</v>
      </c>
      <c r="J333" s="3" t="s">
        <v>1451</v>
      </c>
      <c r="K333" s="3" t="s">
        <v>1452</v>
      </c>
      <c r="L333" s="3" t="s">
        <v>1453</v>
      </c>
      <c r="M333" s="3" t="n">
        <v>282902</v>
      </c>
      <c r="N333" s="3" t="s">
        <v>456</v>
      </c>
      <c r="O333" s="1" t="n">
        <v>266516</v>
      </c>
      <c r="P333" s="1" t="n">
        <v>94.21</v>
      </c>
      <c r="Q333" s="1" t="s">
        <v>20</v>
      </c>
      <c r="R333" s="1" t="s">
        <v>27</v>
      </c>
      <c r="S333" s="1" t="s">
        <v>28</v>
      </c>
      <c r="T333" s="1" t="s">
        <v>29</v>
      </c>
    </row>
    <row r="334" customFormat="false" ht="18.7" hidden="false" customHeight="true" outlineLevel="0" collapsed="false">
      <c r="A334" s="1" t="n">
        <v>333</v>
      </c>
      <c r="B334" s="6" t="str">
        <f aca="false">HYPERLINK("https://mncourtfraud.com/file/MCRO_27-CR-19-12130_Returned Mail_2023-04-17_20240430091717.pdf","MCRO_27-CR-19-12130_Returned Mail_2023-04-17_20240430091717.pdf")</f>
        <v>MCRO_27-CR-19-12130_Returned Mail_2023-04-17_20240430091717.pdf</v>
      </c>
      <c r="C334" s="1" t="n">
        <v>4</v>
      </c>
      <c r="D334" s="1" t="n">
        <v>1</v>
      </c>
      <c r="E334" s="1" t="n">
        <v>1</v>
      </c>
      <c r="F334" s="3" t="s">
        <v>20</v>
      </c>
      <c r="G334" s="3" t="s">
        <v>1454</v>
      </c>
      <c r="H334" s="1" t="s">
        <v>22</v>
      </c>
      <c r="I334" s="1" t="n">
        <v>20240430091717</v>
      </c>
      <c r="J334" s="3" t="s">
        <v>1455</v>
      </c>
      <c r="K334" s="3" t="s">
        <v>1456</v>
      </c>
      <c r="L334" s="3" t="s">
        <v>1457</v>
      </c>
      <c r="M334" s="3" t="n">
        <v>235084</v>
      </c>
      <c r="N334" s="3" t="s">
        <v>119</v>
      </c>
      <c r="O334" s="1" t="n">
        <v>218698</v>
      </c>
      <c r="P334" s="1" t="n">
        <v>93.03</v>
      </c>
      <c r="Q334" s="1" t="s">
        <v>20</v>
      </c>
      <c r="R334" s="1" t="s">
        <v>27</v>
      </c>
      <c r="S334" s="1" t="s">
        <v>28</v>
      </c>
      <c r="T334" s="1" t="s">
        <v>29</v>
      </c>
    </row>
    <row r="335" customFormat="false" ht="18.7" hidden="false" customHeight="true" outlineLevel="0" collapsed="false">
      <c r="A335" s="1" t="n">
        <v>334</v>
      </c>
      <c r="B335" s="6" t="str">
        <f aca="false">HYPERLINK("https://mncourtfraud.com/file/MCRO_27-CR-19-12130_Summons_2019-05-30_20240430091740.pdf","MCRO_27-CR-19-12130_Summons_2019-05-30_20240430091740.pdf")</f>
        <v>MCRO_27-CR-19-12130_Summons_2019-05-30_20240430091740.pdf</v>
      </c>
      <c r="C335" s="1" t="n">
        <v>4</v>
      </c>
      <c r="D335" s="1" t="n">
        <v>1</v>
      </c>
      <c r="E335" s="1" t="n">
        <v>1</v>
      </c>
      <c r="F335" s="3" t="s">
        <v>20</v>
      </c>
      <c r="G335" s="3" t="s">
        <v>1458</v>
      </c>
      <c r="H335" s="1" t="s">
        <v>22</v>
      </c>
      <c r="I335" s="1" t="n">
        <v>20240430091740</v>
      </c>
      <c r="J335" s="3" t="s">
        <v>1459</v>
      </c>
      <c r="K335" s="3" t="s">
        <v>1460</v>
      </c>
      <c r="L335" s="3" t="s">
        <v>1461</v>
      </c>
      <c r="M335" s="3" t="n">
        <v>106615</v>
      </c>
      <c r="N335" s="3" t="s">
        <v>435</v>
      </c>
      <c r="O335" s="1" t="n">
        <v>90229</v>
      </c>
      <c r="P335" s="1" t="n">
        <v>84.63</v>
      </c>
      <c r="Q335" s="1" t="s">
        <v>20</v>
      </c>
      <c r="R335" s="1" t="s">
        <v>27</v>
      </c>
      <c r="S335" s="1" t="s">
        <v>28</v>
      </c>
      <c r="T335" s="1" t="s">
        <v>29</v>
      </c>
    </row>
    <row r="336" customFormat="false" ht="18.7" hidden="false" customHeight="true" outlineLevel="0" collapsed="false">
      <c r="A336" s="1" t="n">
        <v>335</v>
      </c>
      <c r="B336" s="6" t="str">
        <f aca="false">HYPERLINK("https://mncourtfraud.com/file/MCRO_27-CR-19-12466_Correspondence_2019-08-27_20240430091855.pdf","MCRO_27-CR-19-12466_Correspondence_2019-08-27_20240430091855.pdf")</f>
        <v>MCRO_27-CR-19-12466_Correspondence_2019-08-27_20240430091855.pdf</v>
      </c>
      <c r="C336" s="1" t="n">
        <v>3</v>
      </c>
      <c r="D336" s="1" t="n">
        <v>1</v>
      </c>
      <c r="E336" s="1" t="n">
        <v>1</v>
      </c>
      <c r="F336" s="3" t="s">
        <v>20</v>
      </c>
      <c r="G336" s="3" t="s">
        <v>1462</v>
      </c>
      <c r="H336" s="1" t="s">
        <v>22</v>
      </c>
      <c r="I336" s="1" t="n">
        <v>20240430091855</v>
      </c>
      <c r="J336" s="3" t="s">
        <v>1463</v>
      </c>
      <c r="K336" s="3" t="s">
        <v>1464</v>
      </c>
      <c r="L336" s="3" t="s">
        <v>1465</v>
      </c>
      <c r="M336" s="3" t="n">
        <v>267297</v>
      </c>
      <c r="N336" s="3" t="s">
        <v>1466</v>
      </c>
      <c r="O336" s="1" t="n">
        <v>250911</v>
      </c>
      <c r="P336" s="1" t="n">
        <v>93.87</v>
      </c>
      <c r="Q336" s="1" t="s">
        <v>20</v>
      </c>
      <c r="R336" s="1" t="s">
        <v>27</v>
      </c>
      <c r="S336" s="1" t="s">
        <v>28</v>
      </c>
      <c r="T336" s="1" t="s">
        <v>29</v>
      </c>
    </row>
    <row r="337" customFormat="false" ht="18.7" hidden="false" customHeight="true" outlineLevel="0" collapsed="false">
      <c r="A337" s="1" t="n">
        <v>336</v>
      </c>
      <c r="B337" s="6" t="str">
        <f aca="false">HYPERLINK("https://mncourtfraud.com/file/MCRO_27-CR-19-12466_Correspondence for Judicial Approval_2022-11-07_20240430091822.pdf","MCRO_27-CR-19-12466_Correspondence for Judicial Approval_2022-11-07_20240430091822.pdf")</f>
        <v>MCRO_27-CR-19-12466_Correspondence for Judicial Approval_2022-11-07_20240430091822.pdf</v>
      </c>
      <c r="C337" s="1" t="n">
        <v>3</v>
      </c>
      <c r="D337" s="1" t="n">
        <v>1</v>
      </c>
      <c r="E337" s="1" t="n">
        <v>1</v>
      </c>
      <c r="F337" s="3" t="s">
        <v>20</v>
      </c>
      <c r="G337" s="3" t="s">
        <v>1467</v>
      </c>
      <c r="H337" s="1" t="s">
        <v>22</v>
      </c>
      <c r="I337" s="1" t="n">
        <v>20240430091822</v>
      </c>
      <c r="J337" s="3" t="s">
        <v>1468</v>
      </c>
      <c r="K337" s="3" t="s">
        <v>1469</v>
      </c>
      <c r="L337" s="3" t="s">
        <v>1470</v>
      </c>
      <c r="M337" s="3" t="n">
        <v>211262</v>
      </c>
      <c r="N337" s="3" t="s">
        <v>629</v>
      </c>
      <c r="O337" s="1" t="n">
        <v>194876</v>
      </c>
      <c r="P337" s="1" t="n">
        <v>92.24</v>
      </c>
      <c r="Q337" s="1" t="s">
        <v>20</v>
      </c>
      <c r="R337" s="1" t="s">
        <v>27</v>
      </c>
      <c r="S337" s="1" t="s">
        <v>28</v>
      </c>
      <c r="T337" s="1" t="s">
        <v>29</v>
      </c>
    </row>
    <row r="338" customFormat="false" ht="18.7" hidden="false" customHeight="true" outlineLevel="0" collapsed="false">
      <c r="A338" s="1" t="n">
        <v>337</v>
      </c>
      <c r="B338" s="6" t="str">
        <f aca="false">HYPERLINK("https://mncourtfraud.com/file/MCRO_27-CR-19-12466_Demand or Request for Discovery_2019-06-04_20240430091900.pdf","MCRO_27-CR-19-12466_Demand or Request for Discovery_2019-06-04_20240430091900.pdf")</f>
        <v>MCRO_27-CR-19-12466_Demand or Request for Discovery_2019-06-04_20240430091900.pdf</v>
      </c>
      <c r="C338" s="1" t="n">
        <v>4</v>
      </c>
      <c r="D338" s="1" t="n">
        <v>1</v>
      </c>
      <c r="E338" s="1" t="n">
        <v>1</v>
      </c>
      <c r="F338" s="3" t="s">
        <v>20</v>
      </c>
      <c r="G338" s="3" t="s">
        <v>1471</v>
      </c>
      <c r="H338" s="1" t="s">
        <v>22</v>
      </c>
      <c r="I338" s="1" t="n">
        <v>20240430091900</v>
      </c>
      <c r="J338" s="3" t="s">
        <v>1472</v>
      </c>
      <c r="K338" s="3" t="s">
        <v>1473</v>
      </c>
      <c r="L338" s="3" t="s">
        <v>1474</v>
      </c>
      <c r="M338" s="3" t="n">
        <v>540705</v>
      </c>
      <c r="N338" s="3" t="s">
        <v>1475</v>
      </c>
      <c r="O338" s="1" t="n">
        <v>524319</v>
      </c>
      <c r="P338" s="1" t="n">
        <v>96.97</v>
      </c>
      <c r="Q338" s="1" t="s">
        <v>20</v>
      </c>
      <c r="R338" s="1" t="s">
        <v>27</v>
      </c>
      <c r="S338" s="1" t="s">
        <v>28</v>
      </c>
      <c r="T338" s="1" t="s">
        <v>29</v>
      </c>
    </row>
    <row r="339" customFormat="false" ht="18.7" hidden="false" customHeight="true" outlineLevel="0" collapsed="false">
      <c r="A339" s="1" t="n">
        <v>338</v>
      </c>
      <c r="B339" s="6" t="str">
        <f aca="false">HYPERLINK("https://mncourtfraud.com/file/MCRO_27-CR-19-12466_E-filed Comp-Order for Detention_2019-05-30_20240430091902.pdf","MCRO_27-CR-19-12466_E-filed Comp-Order for Detention_2019-05-30_20240430091902.pdf")</f>
        <v>MCRO_27-CR-19-12466_E-filed Comp-Order for Detention_2019-05-30_20240430091902.pdf</v>
      </c>
      <c r="C339" s="1" t="n">
        <v>4</v>
      </c>
      <c r="D339" s="1" t="n">
        <v>2</v>
      </c>
      <c r="E339" s="1" t="n">
        <v>2</v>
      </c>
      <c r="F339" s="3" t="s">
        <v>20</v>
      </c>
      <c r="G339" s="3" t="s">
        <v>1476</v>
      </c>
      <c r="H339" s="1" t="s">
        <v>22</v>
      </c>
      <c r="I339" s="1" t="n">
        <v>20240430091902</v>
      </c>
      <c r="J339" s="3" t="s">
        <v>1477</v>
      </c>
      <c r="K339" s="3" t="s">
        <v>1478</v>
      </c>
      <c r="L339" s="3" t="s">
        <v>1479</v>
      </c>
      <c r="M339" s="3" t="n">
        <v>476012</v>
      </c>
      <c r="N339" s="3" t="s">
        <v>1480</v>
      </c>
      <c r="O339" s="1" t="n">
        <v>459626</v>
      </c>
      <c r="P339" s="1" t="n">
        <v>96.56</v>
      </c>
      <c r="Q339" s="1" t="s">
        <v>20</v>
      </c>
      <c r="R339" s="1" t="s">
        <v>27</v>
      </c>
      <c r="S339" s="1" t="s">
        <v>28</v>
      </c>
      <c r="T339" s="1" t="s">
        <v>29</v>
      </c>
    </row>
    <row r="340" customFormat="false" ht="18.7" hidden="false" customHeight="true" outlineLevel="0" collapsed="false">
      <c r="A340" s="1" t="n">
        <v>339</v>
      </c>
      <c r="B340" s="6" t="str">
        <f aca="false">HYPERLINK("https://mncourtfraud.com/file/MCRO_27-CR-19-12466_Exhibit List_2022-12-20_20240430091819.pdf","MCRO_27-CR-19-12466_Exhibit List_2022-12-20_20240430091819.pdf")</f>
        <v>MCRO_27-CR-19-12466_Exhibit List_2022-12-20_20240430091819.pdf</v>
      </c>
      <c r="C340" s="1" t="n">
        <v>4</v>
      </c>
      <c r="D340" s="1" t="n">
        <v>1</v>
      </c>
      <c r="E340" s="1" t="n">
        <v>1</v>
      </c>
      <c r="F340" s="3" t="s">
        <v>20</v>
      </c>
      <c r="G340" s="3" t="s">
        <v>1481</v>
      </c>
      <c r="H340" s="1" t="s">
        <v>22</v>
      </c>
      <c r="I340" s="1" t="n">
        <v>20240430091819</v>
      </c>
      <c r="J340" s="3" t="s">
        <v>1482</v>
      </c>
      <c r="K340" s="3" t="s">
        <v>1483</v>
      </c>
      <c r="L340" s="3" t="s">
        <v>1484</v>
      </c>
      <c r="M340" s="3" t="n">
        <v>835545</v>
      </c>
      <c r="N340" s="3" t="s">
        <v>158</v>
      </c>
      <c r="O340" s="1" t="n">
        <v>819159</v>
      </c>
      <c r="P340" s="1" t="n">
        <v>98.04</v>
      </c>
      <c r="Q340" s="1" t="s">
        <v>20</v>
      </c>
      <c r="R340" s="1" t="s">
        <v>27</v>
      </c>
      <c r="S340" s="1" t="s">
        <v>28</v>
      </c>
      <c r="T340" s="1" t="s">
        <v>29</v>
      </c>
    </row>
    <row r="341" customFormat="false" ht="18.7" hidden="false" customHeight="true" outlineLevel="0" collapsed="false">
      <c r="A341" s="1" t="n">
        <v>340</v>
      </c>
      <c r="B341" s="6" t="str">
        <f aca="false">HYPERLINK("https://mncourtfraud.com/file/MCRO_27-CR-19-12466_Finding of Incompetency and Order_2024-03-12_20240430091809.pdf","MCRO_27-CR-19-12466_Finding of Incompetency and Order_2024-03-12_20240430091809.pdf")</f>
        <v>MCRO_27-CR-19-12466_Finding of Incompetency and Order_2024-03-12_20240430091809.pdf</v>
      </c>
      <c r="C341" s="1" t="n">
        <v>5</v>
      </c>
      <c r="D341" s="1" t="n">
        <v>1</v>
      </c>
      <c r="E341" s="1" t="n">
        <v>1</v>
      </c>
      <c r="F341" s="3" t="s">
        <v>20</v>
      </c>
      <c r="G341" s="3" t="s">
        <v>1485</v>
      </c>
      <c r="H341" s="1" t="s">
        <v>22</v>
      </c>
      <c r="I341" s="1" t="n">
        <v>20240430091809</v>
      </c>
      <c r="J341" s="3" t="s">
        <v>1486</v>
      </c>
      <c r="K341" s="3" t="s">
        <v>1487</v>
      </c>
      <c r="L341" s="3" t="s">
        <v>1488</v>
      </c>
      <c r="M341" s="3" t="n">
        <v>832562</v>
      </c>
      <c r="N341" s="3" t="s">
        <v>1489</v>
      </c>
      <c r="O341" s="1" t="n">
        <v>816176</v>
      </c>
      <c r="P341" s="1" t="n">
        <v>98.03</v>
      </c>
      <c r="Q341" s="1" t="s">
        <v>20</v>
      </c>
      <c r="R341" s="1" t="s">
        <v>27</v>
      </c>
      <c r="S341" s="1" t="s">
        <v>28</v>
      </c>
      <c r="T341" s="1" t="s">
        <v>29</v>
      </c>
    </row>
    <row r="342" customFormat="false" ht="18.7" hidden="false" customHeight="true" outlineLevel="0" collapsed="false">
      <c r="A342" s="1" t="n">
        <v>341</v>
      </c>
      <c r="B342" s="6" t="str">
        <f aca="false">HYPERLINK("https://mncourtfraud.com/file/MCRO_27-CR-19-12466_Findings and Order_2022-03-08_20240430091827.pdf","MCRO_27-CR-19-12466_Findings and Order_2022-03-08_20240430091827.pdf")</f>
        <v>MCRO_27-CR-19-12466_Findings and Order_2022-03-08_20240430091827.pdf</v>
      </c>
      <c r="C342" s="1" t="n">
        <v>5</v>
      </c>
      <c r="D342" s="1" t="n">
        <v>1</v>
      </c>
      <c r="E342" s="1" t="n">
        <v>1</v>
      </c>
      <c r="F342" s="3" t="s">
        <v>20</v>
      </c>
      <c r="G342" s="3" t="s">
        <v>1490</v>
      </c>
      <c r="H342" s="1" t="s">
        <v>22</v>
      </c>
      <c r="I342" s="1" t="n">
        <v>20240430091827</v>
      </c>
      <c r="J342" s="3" t="s">
        <v>1491</v>
      </c>
      <c r="K342" s="3" t="s">
        <v>1492</v>
      </c>
      <c r="L342" s="3" t="s">
        <v>1493</v>
      </c>
      <c r="M342" s="3" t="n">
        <v>340921</v>
      </c>
      <c r="N342" s="3" t="s">
        <v>1494</v>
      </c>
      <c r="O342" s="1" t="n">
        <v>324535</v>
      </c>
      <c r="P342" s="1" t="n">
        <v>95.19</v>
      </c>
      <c r="Q342" s="1" t="s">
        <v>20</v>
      </c>
      <c r="R342" s="1" t="s">
        <v>27</v>
      </c>
      <c r="S342" s="1" t="s">
        <v>28</v>
      </c>
      <c r="T342" s="1" t="s">
        <v>29</v>
      </c>
    </row>
    <row r="343" customFormat="false" ht="18.7" hidden="false" customHeight="true" outlineLevel="0" collapsed="false">
      <c r="A343" s="1" t="n">
        <v>342</v>
      </c>
      <c r="B343" s="6" t="str">
        <f aca="false">HYPERLINK("https://mncourtfraud.com/file/MCRO_27-CR-19-12466_Find of Fact-Order, Pet Commitment-Dfd Found Incompetent_2019-06-25_20240430091858.pdf","MCRO_27-CR-19-12466_Find of Fact-Order, Pet Commitment-Dfd Found Incompetent_2019-06-25_20240430091858.pdf")</f>
        <v>MCRO_27-CR-19-12466_Find of Fact-Order, Pet Commitment-Dfd Found Incompetent_2019-06-25_20240430091858.pdf</v>
      </c>
      <c r="C343" s="1" t="n">
        <v>4</v>
      </c>
      <c r="D343" s="1" t="n">
        <v>2</v>
      </c>
      <c r="E343" s="1" t="n">
        <v>2</v>
      </c>
      <c r="F343" s="3" t="s">
        <v>20</v>
      </c>
      <c r="G343" s="3" t="s">
        <v>1495</v>
      </c>
      <c r="H343" s="1" t="s">
        <v>22</v>
      </c>
      <c r="I343" s="1" t="n">
        <v>20240430091858</v>
      </c>
      <c r="J343" s="3" t="s">
        <v>1496</v>
      </c>
      <c r="K343" s="3" t="s">
        <v>1497</v>
      </c>
      <c r="L343" s="3" t="s">
        <v>1498</v>
      </c>
      <c r="M343" s="3" t="n">
        <v>277854</v>
      </c>
      <c r="N343" s="3" t="s">
        <v>395</v>
      </c>
      <c r="O343" s="1" t="n">
        <v>261468</v>
      </c>
      <c r="P343" s="1" t="n">
        <v>94.1</v>
      </c>
      <c r="Q343" s="1" t="s">
        <v>20</v>
      </c>
      <c r="R343" s="1" t="s">
        <v>27</v>
      </c>
      <c r="S343" s="1" t="s">
        <v>28</v>
      </c>
      <c r="T343" s="1" t="s">
        <v>29</v>
      </c>
    </row>
    <row r="344" customFormat="false" ht="18.7" hidden="false" customHeight="true" outlineLevel="0" collapsed="false">
      <c r="A344" s="1" t="n">
        <v>343</v>
      </c>
      <c r="B344" s="6" t="str">
        <f aca="false">HYPERLINK("https://mncourtfraud.com/file/MCRO_27-CR-19-12466_Find of Fact-Order, Pet Commitment-Dfd Found Incompetent_2019-10-08_20240430091852.pdf","MCRO_27-CR-19-12466_Find of Fact-Order, Pet Commitment-Dfd Found Incompetent_2019-10-08_20240430091852.pdf")</f>
        <v>MCRO_27-CR-19-12466_Find of Fact-Order, Pet Commitment-Dfd Found Incompetent_2019-10-08_20240430091852.pdf</v>
      </c>
      <c r="C344" s="1" t="n">
        <v>4</v>
      </c>
      <c r="D344" s="1" t="n">
        <v>2</v>
      </c>
      <c r="E344" s="1" t="n">
        <v>2</v>
      </c>
      <c r="F344" s="3" t="s">
        <v>20</v>
      </c>
      <c r="G344" s="3" t="s">
        <v>1499</v>
      </c>
      <c r="H344" s="1" t="s">
        <v>22</v>
      </c>
      <c r="I344" s="1" t="n">
        <v>20240430091852</v>
      </c>
      <c r="J344" s="3" t="s">
        <v>1500</v>
      </c>
      <c r="K344" s="3" t="s">
        <v>1501</v>
      </c>
      <c r="L344" s="3" t="s">
        <v>1502</v>
      </c>
      <c r="M344" s="3" t="n">
        <v>301069</v>
      </c>
      <c r="N344" s="3" t="s">
        <v>1503</v>
      </c>
      <c r="O344" s="1" t="n">
        <v>284683</v>
      </c>
      <c r="P344" s="1" t="n">
        <v>94.56</v>
      </c>
      <c r="Q344" s="1" t="s">
        <v>20</v>
      </c>
      <c r="R344" s="1" t="s">
        <v>27</v>
      </c>
      <c r="S344" s="1" t="s">
        <v>28</v>
      </c>
      <c r="T344" s="1" t="s">
        <v>29</v>
      </c>
    </row>
    <row r="345" customFormat="false" ht="18.7" hidden="false" customHeight="true" outlineLevel="0" collapsed="false">
      <c r="A345" s="1" t="n">
        <v>344</v>
      </c>
      <c r="B345" s="6" t="str">
        <f aca="false">HYPERLINK("https://mncourtfraud.com/file/MCRO_27-CR-19-12466_Notice of Appearance_2020-10-23_20240430091839.pdf","MCRO_27-CR-19-12466_Notice of Appearance_2020-10-23_20240430091839.pdf")</f>
        <v>MCRO_27-CR-19-12466_Notice of Appearance_2020-10-23_20240430091839.pdf</v>
      </c>
      <c r="C345" s="1" t="n">
        <v>4</v>
      </c>
      <c r="D345" s="1" t="n">
        <v>1</v>
      </c>
      <c r="E345" s="1" t="n">
        <v>1</v>
      </c>
      <c r="F345" s="3" t="s">
        <v>20</v>
      </c>
      <c r="G345" s="3" t="s">
        <v>1504</v>
      </c>
      <c r="H345" s="1" t="s">
        <v>22</v>
      </c>
      <c r="I345" s="1" t="n">
        <v>20240430091839</v>
      </c>
      <c r="J345" s="3" t="s">
        <v>1505</v>
      </c>
      <c r="K345" s="3" t="s">
        <v>1506</v>
      </c>
      <c r="L345" s="3" t="s">
        <v>1507</v>
      </c>
      <c r="M345" s="3" t="n">
        <v>132276</v>
      </c>
      <c r="N345" s="3" t="s">
        <v>892</v>
      </c>
      <c r="O345" s="1" t="n">
        <v>115890</v>
      </c>
      <c r="P345" s="1" t="n">
        <v>87.61</v>
      </c>
      <c r="Q345" s="1" t="s">
        <v>20</v>
      </c>
      <c r="R345" s="1" t="s">
        <v>27</v>
      </c>
      <c r="S345" s="1" t="s">
        <v>28</v>
      </c>
      <c r="T345" s="1" t="s">
        <v>29</v>
      </c>
    </row>
    <row r="346" customFormat="false" ht="18.7" hidden="false" customHeight="true" outlineLevel="0" collapsed="false">
      <c r="A346" s="1" t="n">
        <v>345</v>
      </c>
      <c r="B346" s="6" t="str">
        <f aca="false">HYPERLINK("https://mncourtfraud.com/file/MCRO_27-CR-19-12466_Notice of Appearance_2021-05-19_20240430091834.pdf","MCRO_27-CR-19-12466_Notice of Appearance_2021-05-19_20240430091834.pdf")</f>
        <v>MCRO_27-CR-19-12466_Notice of Appearance_2021-05-19_20240430091834.pdf</v>
      </c>
      <c r="C346" s="1" t="n">
        <v>4</v>
      </c>
      <c r="D346" s="1" t="n">
        <v>1</v>
      </c>
      <c r="E346" s="1" t="n">
        <v>1</v>
      </c>
      <c r="F346" s="3" t="s">
        <v>20</v>
      </c>
      <c r="G346" s="3" t="s">
        <v>1508</v>
      </c>
      <c r="H346" s="1" t="s">
        <v>22</v>
      </c>
      <c r="I346" s="1" t="n">
        <v>20240430091834</v>
      </c>
      <c r="J346" s="3" t="s">
        <v>1509</v>
      </c>
      <c r="K346" s="3" t="s">
        <v>1510</v>
      </c>
      <c r="L346" s="3" t="s">
        <v>1511</v>
      </c>
      <c r="M346" s="3" t="n">
        <v>133597</v>
      </c>
      <c r="N346" s="3" t="s">
        <v>1512</v>
      </c>
      <c r="O346" s="1" t="n">
        <v>117211</v>
      </c>
      <c r="P346" s="1" t="n">
        <v>87.73</v>
      </c>
      <c r="Q346" s="1" t="s">
        <v>20</v>
      </c>
      <c r="R346" s="1" t="s">
        <v>27</v>
      </c>
      <c r="S346" s="1" t="s">
        <v>28</v>
      </c>
      <c r="T346" s="1" t="s">
        <v>29</v>
      </c>
    </row>
    <row r="347" customFormat="false" ht="18.7" hidden="false" customHeight="true" outlineLevel="0" collapsed="false">
      <c r="A347" s="1" t="n">
        <v>346</v>
      </c>
      <c r="B347" s="6" t="str">
        <f aca="false">HYPERLINK("https://mncourtfraud.com/file/MCRO_27-CR-19-12466_Notice of Appearance_2022-03-08_20240430091826.pdf","MCRO_27-CR-19-12466_Notice of Appearance_2022-03-08_20240430091826.pdf")</f>
        <v>MCRO_27-CR-19-12466_Notice of Appearance_2022-03-08_20240430091826.pdf</v>
      </c>
      <c r="C347" s="1" t="n">
        <v>4</v>
      </c>
      <c r="D347" s="1" t="n">
        <v>1</v>
      </c>
      <c r="E347" s="1" t="n">
        <v>1</v>
      </c>
      <c r="F347" s="3" t="s">
        <v>20</v>
      </c>
      <c r="G347" s="3" t="s">
        <v>1513</v>
      </c>
      <c r="H347" s="1" t="s">
        <v>22</v>
      </c>
      <c r="I347" s="1" t="n">
        <v>20240430091826</v>
      </c>
      <c r="J347" s="3" t="s">
        <v>1514</v>
      </c>
      <c r="K347" s="3" t="s">
        <v>1515</v>
      </c>
      <c r="L347" s="3" t="s">
        <v>1516</v>
      </c>
      <c r="M347" s="3" t="n">
        <v>816221</v>
      </c>
      <c r="N347" s="3" t="s">
        <v>486</v>
      </c>
      <c r="O347" s="1" t="n">
        <v>799835</v>
      </c>
      <c r="P347" s="1" t="n">
        <v>97.99</v>
      </c>
      <c r="Q347" s="1" t="s">
        <v>20</v>
      </c>
      <c r="R347" s="1" t="s">
        <v>27</v>
      </c>
      <c r="S347" s="1" t="s">
        <v>28</v>
      </c>
      <c r="T347" s="1" t="s">
        <v>29</v>
      </c>
    </row>
    <row r="348" customFormat="false" ht="18.7" hidden="false" customHeight="true" outlineLevel="0" collapsed="false">
      <c r="A348" s="1" t="n">
        <v>347</v>
      </c>
      <c r="B348" s="6" t="str">
        <f aca="false">HYPERLINK("https://mncourtfraud.com/file/MCRO_27-CR-19-12466_Notice of Case Reassignment_2020-01-03_20240430091850.pdf","MCRO_27-CR-19-12466_Notice of Case Reassignment_2020-01-03_20240430091850.pdf")</f>
        <v>MCRO_27-CR-19-12466_Notice of Case Reassignment_2020-01-03_20240430091850.pdf</v>
      </c>
      <c r="C348" s="1" t="n">
        <v>4</v>
      </c>
      <c r="D348" s="1" t="n">
        <v>1</v>
      </c>
      <c r="E348" s="1" t="n">
        <v>1</v>
      </c>
      <c r="F348" s="3" t="s">
        <v>20</v>
      </c>
      <c r="G348" s="3" t="s">
        <v>1517</v>
      </c>
      <c r="H348" s="1" t="s">
        <v>22</v>
      </c>
      <c r="I348" s="1" t="n">
        <v>20240430091850</v>
      </c>
      <c r="J348" s="3" t="s">
        <v>1518</v>
      </c>
      <c r="K348" s="3" t="s">
        <v>1519</v>
      </c>
      <c r="L348" s="3" t="s">
        <v>1520</v>
      </c>
      <c r="M348" s="3" t="n">
        <v>95714</v>
      </c>
      <c r="N348" s="3" t="s">
        <v>137</v>
      </c>
      <c r="O348" s="1" t="n">
        <v>79328</v>
      </c>
      <c r="P348" s="1" t="n">
        <v>82.88</v>
      </c>
      <c r="Q348" s="1" t="s">
        <v>20</v>
      </c>
      <c r="R348" s="1" t="s">
        <v>27</v>
      </c>
      <c r="S348" s="1" t="s">
        <v>28</v>
      </c>
      <c r="T348" s="1" t="s">
        <v>29</v>
      </c>
    </row>
    <row r="349" customFormat="false" ht="18.7" hidden="false" customHeight="true" outlineLevel="0" collapsed="false">
      <c r="A349" s="1" t="n">
        <v>348</v>
      </c>
      <c r="B349" s="6" t="str">
        <f aca="false">HYPERLINK("https://mncourtfraud.com/file/MCRO_27-CR-19-12466_Notice of Case Reassignment_2021-03-30_20240430091837.pdf","MCRO_27-CR-19-12466_Notice of Case Reassignment_2021-03-30_20240430091837.pdf")</f>
        <v>MCRO_27-CR-19-12466_Notice of Case Reassignment_2021-03-30_20240430091837.pdf</v>
      </c>
      <c r="C349" s="1" t="n">
        <v>4</v>
      </c>
      <c r="D349" s="1" t="n">
        <v>1</v>
      </c>
      <c r="E349" s="1" t="n">
        <v>1</v>
      </c>
      <c r="F349" s="3" t="s">
        <v>20</v>
      </c>
      <c r="G349" s="3" t="s">
        <v>1521</v>
      </c>
      <c r="H349" s="1" t="s">
        <v>22</v>
      </c>
      <c r="I349" s="1" t="n">
        <v>20240430091837</v>
      </c>
      <c r="J349" s="3" t="s">
        <v>1522</v>
      </c>
      <c r="K349" s="3" t="s">
        <v>1523</v>
      </c>
      <c r="L349" s="3" t="s">
        <v>1524</v>
      </c>
      <c r="M349" s="3" t="n">
        <v>94667</v>
      </c>
      <c r="N349" s="3" t="s">
        <v>456</v>
      </c>
      <c r="O349" s="1" t="n">
        <v>78281</v>
      </c>
      <c r="P349" s="1" t="n">
        <v>82.69</v>
      </c>
      <c r="Q349" s="1" t="s">
        <v>20</v>
      </c>
      <c r="R349" s="1" t="s">
        <v>27</v>
      </c>
      <c r="S349" s="1" t="s">
        <v>28</v>
      </c>
      <c r="T349" s="1" t="s">
        <v>29</v>
      </c>
    </row>
    <row r="350" customFormat="false" ht="18.7" hidden="false" customHeight="true" outlineLevel="0" collapsed="false">
      <c r="A350" s="1" t="n">
        <v>349</v>
      </c>
      <c r="B350" s="6" t="str">
        <f aca="false">HYPERLINK("https://mncourtfraud.com/file/MCRO_27-CR-19-12466_Notice of Case Reassignment_2022-04-01_20240430091824.pdf","MCRO_27-CR-19-12466_Notice of Case Reassignment_2022-04-01_20240430091824.pdf")</f>
        <v>MCRO_27-CR-19-12466_Notice of Case Reassignment_2022-04-01_20240430091824.pdf</v>
      </c>
      <c r="C350" s="1" t="n">
        <v>4</v>
      </c>
      <c r="D350" s="1" t="n">
        <v>1</v>
      </c>
      <c r="E350" s="1" t="n">
        <v>1</v>
      </c>
      <c r="F350" s="3" t="s">
        <v>20</v>
      </c>
      <c r="G350" s="3" t="s">
        <v>1525</v>
      </c>
      <c r="H350" s="1" t="s">
        <v>22</v>
      </c>
      <c r="I350" s="1" t="n">
        <v>20240430091824</v>
      </c>
      <c r="J350" s="3" t="s">
        <v>1526</v>
      </c>
      <c r="K350" s="3" t="s">
        <v>1527</v>
      </c>
      <c r="L350" s="3" t="s">
        <v>1528</v>
      </c>
      <c r="M350" s="3" t="n">
        <v>97700</v>
      </c>
      <c r="N350" s="3" t="s">
        <v>456</v>
      </c>
      <c r="O350" s="1" t="n">
        <v>81314</v>
      </c>
      <c r="P350" s="1" t="n">
        <v>83.23</v>
      </c>
      <c r="Q350" s="1" t="s">
        <v>20</v>
      </c>
      <c r="R350" s="1" t="s">
        <v>27</v>
      </c>
      <c r="S350" s="1" t="s">
        <v>28</v>
      </c>
      <c r="T350" s="1" t="s">
        <v>29</v>
      </c>
    </row>
    <row r="351" customFormat="false" ht="18.7" hidden="false" customHeight="true" outlineLevel="0" collapsed="false">
      <c r="A351" s="1" t="n">
        <v>350</v>
      </c>
      <c r="B351" s="6" t="str">
        <f aca="false">HYPERLINK("https://mncourtfraud.com/file/MCRO_27-CR-19-12466_Notice of Case Reassignment_2023-01-13_20240430091816.pdf","MCRO_27-CR-19-12466_Notice of Case Reassignment_2023-01-13_20240430091816.pdf")</f>
        <v>MCRO_27-CR-19-12466_Notice of Case Reassignment_2023-01-13_20240430091816.pdf</v>
      </c>
      <c r="C351" s="1" t="n">
        <v>4</v>
      </c>
      <c r="D351" s="1" t="n">
        <v>1</v>
      </c>
      <c r="E351" s="1" t="n">
        <v>1</v>
      </c>
      <c r="F351" s="3" t="s">
        <v>20</v>
      </c>
      <c r="G351" s="3" t="s">
        <v>1529</v>
      </c>
      <c r="H351" s="1" t="s">
        <v>22</v>
      </c>
      <c r="I351" s="1" t="n">
        <v>20240430091816</v>
      </c>
      <c r="J351" s="3" t="s">
        <v>1530</v>
      </c>
      <c r="K351" s="3" t="s">
        <v>1531</v>
      </c>
      <c r="L351" s="3" t="s">
        <v>1532</v>
      </c>
      <c r="M351" s="3" t="n">
        <v>311606</v>
      </c>
      <c r="N351" s="3" t="s">
        <v>158</v>
      </c>
      <c r="O351" s="1" t="n">
        <v>295220</v>
      </c>
      <c r="P351" s="1" t="n">
        <v>94.74</v>
      </c>
      <c r="Q351" s="1" t="s">
        <v>20</v>
      </c>
      <c r="R351" s="1" t="s">
        <v>27</v>
      </c>
      <c r="S351" s="1" t="s">
        <v>28</v>
      </c>
      <c r="T351" s="1" t="s">
        <v>29</v>
      </c>
    </row>
    <row r="352" customFormat="false" ht="18.7" hidden="false" customHeight="true" outlineLevel="0" collapsed="false">
      <c r="A352" s="1" t="n">
        <v>351</v>
      </c>
      <c r="B352" s="6" t="str">
        <f aca="false">HYPERLINK("https://mncourtfraud.com/file/MCRO_27-CR-19-12466_Notice of Case Reassignment_2024-01-12_20240430091812.pdf","MCRO_27-CR-19-12466_Notice of Case Reassignment_2024-01-12_20240430091812.pdf")</f>
        <v>MCRO_27-CR-19-12466_Notice of Case Reassignment_2024-01-12_20240430091812.pdf</v>
      </c>
      <c r="C352" s="1" t="n">
        <v>4</v>
      </c>
      <c r="D352" s="1" t="n">
        <v>1</v>
      </c>
      <c r="E352" s="1" t="n">
        <v>1</v>
      </c>
      <c r="F352" s="3" t="s">
        <v>20</v>
      </c>
      <c r="G352" s="3" t="s">
        <v>1533</v>
      </c>
      <c r="H352" s="1" t="s">
        <v>22</v>
      </c>
      <c r="I352" s="1" t="n">
        <v>20240430091812</v>
      </c>
      <c r="J352" s="3" t="s">
        <v>1534</v>
      </c>
      <c r="K352" s="3" t="s">
        <v>1535</v>
      </c>
      <c r="L352" s="3" t="s">
        <v>1536</v>
      </c>
      <c r="M352" s="3" t="n">
        <v>297885</v>
      </c>
      <c r="N352" s="3" t="s">
        <v>158</v>
      </c>
      <c r="O352" s="1" t="n">
        <v>281499</v>
      </c>
      <c r="P352" s="1" t="n">
        <v>94.5</v>
      </c>
      <c r="Q352" s="1" t="s">
        <v>20</v>
      </c>
      <c r="R352" s="1" t="s">
        <v>27</v>
      </c>
      <c r="S352" s="1" t="s">
        <v>28</v>
      </c>
      <c r="T352" s="1" t="s">
        <v>29</v>
      </c>
    </row>
    <row r="353" customFormat="false" ht="18.7" hidden="false" customHeight="true" outlineLevel="0" collapsed="false">
      <c r="A353" s="1" t="n">
        <v>352</v>
      </c>
      <c r="B353" s="6" t="str">
        <f aca="false">HYPERLINK("https://mncourtfraud.com/file/MCRO_27-CR-19-12466_Notice of Hearing_2020-08-24_20240430091842.pdf","MCRO_27-CR-19-12466_Notice of Hearing_2020-08-24_20240430091842.pdf")</f>
        <v>MCRO_27-CR-19-12466_Notice of Hearing_2020-08-24_20240430091842.pdf</v>
      </c>
      <c r="C353" s="1" t="n">
        <v>4</v>
      </c>
      <c r="D353" s="1" t="n">
        <v>1</v>
      </c>
      <c r="E353" s="1" t="n">
        <v>1</v>
      </c>
      <c r="F353" s="3" t="s">
        <v>20</v>
      </c>
      <c r="G353" s="3" t="s">
        <v>1537</v>
      </c>
      <c r="H353" s="1" t="s">
        <v>22</v>
      </c>
      <c r="I353" s="1" t="n">
        <v>20240430091842</v>
      </c>
      <c r="J353" s="3" t="s">
        <v>1538</v>
      </c>
      <c r="K353" s="3" t="s">
        <v>1539</v>
      </c>
      <c r="L353" s="3" t="s">
        <v>1540</v>
      </c>
      <c r="M353" s="3" t="n">
        <v>106748</v>
      </c>
      <c r="N353" s="3" t="s">
        <v>892</v>
      </c>
      <c r="O353" s="1" t="n">
        <v>90362</v>
      </c>
      <c r="P353" s="1" t="n">
        <v>84.65</v>
      </c>
      <c r="Q353" s="1" t="s">
        <v>20</v>
      </c>
      <c r="R353" s="1" t="s">
        <v>27</v>
      </c>
      <c r="S353" s="1" t="s">
        <v>28</v>
      </c>
      <c r="T353" s="1" t="s">
        <v>29</v>
      </c>
    </row>
    <row r="354" customFormat="false" ht="18.7" hidden="false" customHeight="true" outlineLevel="0" collapsed="false">
      <c r="A354" s="1" t="n">
        <v>353</v>
      </c>
      <c r="B354" s="6" t="str">
        <f aca="false">HYPERLINK("https://mncourtfraud.com/file/MCRO_27-CR-19-12466_Notice of Hearing_2020-09-09_20240430091841.pdf","MCRO_27-CR-19-12466_Notice of Hearing_2020-09-09_20240430091841.pdf")</f>
        <v>MCRO_27-CR-19-12466_Notice of Hearing_2020-09-09_20240430091841.pdf</v>
      </c>
      <c r="C354" s="1" t="n">
        <v>4</v>
      </c>
      <c r="D354" s="1" t="n">
        <v>1</v>
      </c>
      <c r="E354" s="1" t="n">
        <v>1</v>
      </c>
      <c r="F354" s="3" t="s">
        <v>20</v>
      </c>
      <c r="G354" s="3" t="s">
        <v>1541</v>
      </c>
      <c r="H354" s="1" t="s">
        <v>22</v>
      </c>
      <c r="I354" s="1" t="n">
        <v>20240430091841</v>
      </c>
      <c r="J354" s="3" t="s">
        <v>1542</v>
      </c>
      <c r="K354" s="3" t="s">
        <v>1543</v>
      </c>
      <c r="L354" s="3" t="s">
        <v>1544</v>
      </c>
      <c r="M354" s="3" t="n">
        <v>99155</v>
      </c>
      <c r="N354" s="3" t="s">
        <v>614</v>
      </c>
      <c r="O354" s="1" t="n">
        <v>82769</v>
      </c>
      <c r="P354" s="1" t="n">
        <v>83.47</v>
      </c>
      <c r="Q354" s="1" t="s">
        <v>20</v>
      </c>
      <c r="R354" s="1" t="s">
        <v>27</v>
      </c>
      <c r="S354" s="1" t="s">
        <v>28</v>
      </c>
      <c r="T354" s="1" t="s">
        <v>29</v>
      </c>
    </row>
    <row r="355" customFormat="false" ht="18.7" hidden="false" customHeight="true" outlineLevel="0" collapsed="false">
      <c r="A355" s="1" t="n">
        <v>354</v>
      </c>
      <c r="B355" s="6" t="str">
        <f aca="false">HYPERLINK("https://mncourtfraud.com/file/MCRO_27-CR-19-12466_Notice of Hearing_2021-02-22_20240430091838.pdf","MCRO_27-CR-19-12466_Notice of Hearing_2021-02-22_20240430091838.pdf")</f>
        <v>MCRO_27-CR-19-12466_Notice of Hearing_2021-02-22_20240430091838.pdf</v>
      </c>
      <c r="C355" s="1" t="n">
        <v>4</v>
      </c>
      <c r="D355" s="1" t="n">
        <v>1</v>
      </c>
      <c r="E355" s="1" t="n">
        <v>1</v>
      </c>
      <c r="F355" s="3" t="s">
        <v>20</v>
      </c>
      <c r="G355" s="3" t="s">
        <v>1545</v>
      </c>
      <c r="H355" s="1" t="s">
        <v>22</v>
      </c>
      <c r="I355" s="1" t="n">
        <v>20240430091838</v>
      </c>
      <c r="J355" s="3" t="s">
        <v>1546</v>
      </c>
      <c r="K355" s="3" t="s">
        <v>1547</v>
      </c>
      <c r="L355" s="3" t="s">
        <v>1548</v>
      </c>
      <c r="M355" s="3" t="n">
        <v>85564</v>
      </c>
      <c r="N355" s="3" t="s">
        <v>614</v>
      </c>
      <c r="O355" s="1" t="n">
        <v>69178</v>
      </c>
      <c r="P355" s="1" t="n">
        <v>80.85</v>
      </c>
      <c r="Q355" s="1" t="s">
        <v>20</v>
      </c>
      <c r="R355" s="1" t="s">
        <v>27</v>
      </c>
      <c r="S355" s="1" t="s">
        <v>28</v>
      </c>
      <c r="T355" s="1" t="s">
        <v>29</v>
      </c>
    </row>
    <row r="356" customFormat="false" ht="18.7" hidden="false" customHeight="true" outlineLevel="0" collapsed="false">
      <c r="A356" s="1" t="n">
        <v>355</v>
      </c>
      <c r="B356" s="6" t="str">
        <f aca="false">HYPERLINK("https://mncourtfraud.com/file/MCRO_27-CR-19-12466_Notice of Hearing_2021-07-29_20240430091833.pdf","MCRO_27-CR-19-12466_Notice of Hearing_2021-07-29_20240430091833.pdf")</f>
        <v>MCRO_27-CR-19-12466_Notice of Hearing_2021-07-29_20240430091833.pdf</v>
      </c>
      <c r="C356" s="1" t="n">
        <v>4</v>
      </c>
      <c r="D356" s="1" t="n">
        <v>1</v>
      </c>
      <c r="E356" s="1" t="n">
        <v>1</v>
      </c>
      <c r="F356" s="3" t="s">
        <v>20</v>
      </c>
      <c r="G356" s="3" t="s">
        <v>1549</v>
      </c>
      <c r="H356" s="1" t="s">
        <v>22</v>
      </c>
      <c r="I356" s="1" t="n">
        <v>20240430091833</v>
      </c>
      <c r="J356" s="3" t="s">
        <v>1550</v>
      </c>
      <c r="K356" s="3" t="s">
        <v>1551</v>
      </c>
      <c r="L356" s="3" t="s">
        <v>1552</v>
      </c>
      <c r="M356" s="3" t="n">
        <v>95519</v>
      </c>
      <c r="N356" s="3" t="s">
        <v>456</v>
      </c>
      <c r="O356" s="1" t="n">
        <v>79133</v>
      </c>
      <c r="P356" s="1" t="n">
        <v>82.85</v>
      </c>
      <c r="Q356" s="1" t="s">
        <v>20</v>
      </c>
      <c r="R356" s="1" t="s">
        <v>27</v>
      </c>
      <c r="S356" s="1" t="s">
        <v>28</v>
      </c>
      <c r="T356" s="1" t="s">
        <v>29</v>
      </c>
    </row>
    <row r="357" customFormat="false" ht="18.7" hidden="false" customHeight="true" outlineLevel="0" collapsed="false">
      <c r="A357" s="1" t="n">
        <v>356</v>
      </c>
      <c r="B357" s="6" t="str">
        <f aca="false">HYPERLINK("https://mncourtfraud.com/file/MCRO_27-CR-19-12466_Notice of Hearing_2024-03-12_20240430091807.pdf","MCRO_27-CR-19-12466_Notice of Hearing_2024-03-12_20240430091807.pdf")</f>
        <v>MCRO_27-CR-19-12466_Notice of Hearing_2024-03-12_20240430091807.pdf</v>
      </c>
      <c r="C357" s="1" t="n">
        <v>4</v>
      </c>
      <c r="D357" s="1" t="n">
        <v>1</v>
      </c>
      <c r="E357" s="1" t="n">
        <v>1</v>
      </c>
      <c r="F357" s="3" t="s">
        <v>20</v>
      </c>
      <c r="G357" s="3" t="s">
        <v>1553</v>
      </c>
      <c r="H357" s="1" t="s">
        <v>22</v>
      </c>
      <c r="I357" s="1" t="n">
        <v>20240430091807</v>
      </c>
      <c r="J357" s="3" t="s">
        <v>1554</v>
      </c>
      <c r="K357" s="3" t="s">
        <v>1555</v>
      </c>
      <c r="L357" s="3" t="s">
        <v>1556</v>
      </c>
      <c r="M357" s="3" t="n">
        <v>255844</v>
      </c>
      <c r="N357" s="3" t="s">
        <v>74</v>
      </c>
      <c r="O357" s="1" t="n">
        <v>239458</v>
      </c>
      <c r="P357" s="1" t="n">
        <v>93.6</v>
      </c>
      <c r="Q357" s="1" t="s">
        <v>20</v>
      </c>
      <c r="R357" s="1" t="s">
        <v>27</v>
      </c>
      <c r="S357" s="1" t="s">
        <v>28</v>
      </c>
      <c r="T357" s="1" t="s">
        <v>29</v>
      </c>
    </row>
    <row r="358" customFormat="false" ht="18.7" hidden="false" customHeight="true" outlineLevel="0" collapsed="false">
      <c r="A358" s="1" t="n">
        <v>357</v>
      </c>
      <c r="B358" s="6" t="str">
        <f aca="false">HYPERLINK("https://mncourtfraud.com/file/MCRO_27-CR-19-12466_Notice of Intent to Prosecute_2019-07-29_20240430091857.pdf","MCRO_27-CR-19-12466_Notice of Intent to Prosecute_2019-07-29_20240430091857.pdf")</f>
        <v>MCRO_27-CR-19-12466_Notice of Intent to Prosecute_2019-07-29_20240430091857.pdf</v>
      </c>
      <c r="C358" s="1" t="n">
        <v>3</v>
      </c>
      <c r="D358" s="1" t="n">
        <v>1</v>
      </c>
      <c r="E358" s="1" t="n">
        <v>1</v>
      </c>
      <c r="F358" s="3" t="s">
        <v>20</v>
      </c>
      <c r="G358" s="3" t="s">
        <v>1557</v>
      </c>
      <c r="H358" s="1" t="s">
        <v>22</v>
      </c>
      <c r="I358" s="1" t="n">
        <v>20240430091857</v>
      </c>
      <c r="J358" s="3" t="s">
        <v>1558</v>
      </c>
      <c r="K358" s="3" t="s">
        <v>1559</v>
      </c>
      <c r="L358" s="3" t="s">
        <v>1560</v>
      </c>
      <c r="M358" s="3" t="n">
        <v>244751</v>
      </c>
      <c r="N358" s="3" t="s">
        <v>1307</v>
      </c>
      <c r="O358" s="1" t="n">
        <v>228365</v>
      </c>
      <c r="P358" s="1" t="n">
        <v>93.31</v>
      </c>
      <c r="Q358" s="1" t="s">
        <v>20</v>
      </c>
      <c r="R358" s="1" t="s">
        <v>27</v>
      </c>
      <c r="S358" s="1" t="s">
        <v>28</v>
      </c>
      <c r="T358" s="1" t="s">
        <v>29</v>
      </c>
    </row>
    <row r="359" customFormat="false" ht="18.7" hidden="false" customHeight="true" outlineLevel="0" collapsed="false">
      <c r="A359" s="1" t="n">
        <v>358</v>
      </c>
      <c r="B359" s="6" t="str">
        <f aca="false">HYPERLINK("https://mncourtfraud.com/file/MCRO_27-CR-19-12466_Notice of Intent to Prosecute_2019-10-16_20240430091851.pdf","MCRO_27-CR-19-12466_Notice of Intent to Prosecute_2019-10-16_20240430091851.pdf")</f>
        <v>MCRO_27-CR-19-12466_Notice of Intent to Prosecute_2019-10-16_20240430091851.pdf</v>
      </c>
      <c r="C359" s="1" t="n">
        <v>3</v>
      </c>
      <c r="D359" s="1" t="n">
        <v>1</v>
      </c>
      <c r="E359" s="1" t="n">
        <v>1</v>
      </c>
      <c r="F359" s="3" t="s">
        <v>20</v>
      </c>
      <c r="G359" s="3" t="s">
        <v>1561</v>
      </c>
      <c r="H359" s="1" t="s">
        <v>22</v>
      </c>
      <c r="I359" s="1" t="n">
        <v>20240430091851</v>
      </c>
      <c r="J359" s="3" t="s">
        <v>1562</v>
      </c>
      <c r="K359" s="3" t="s">
        <v>1563</v>
      </c>
      <c r="L359" s="3" t="s">
        <v>1564</v>
      </c>
      <c r="M359" s="3" t="n">
        <v>243149</v>
      </c>
      <c r="N359" s="3" t="s">
        <v>1307</v>
      </c>
      <c r="O359" s="1" t="n">
        <v>226763</v>
      </c>
      <c r="P359" s="1" t="n">
        <v>93.26</v>
      </c>
      <c r="Q359" s="1" t="s">
        <v>20</v>
      </c>
      <c r="R359" s="1" t="s">
        <v>27</v>
      </c>
      <c r="S359" s="1" t="s">
        <v>28</v>
      </c>
      <c r="T359" s="1" t="s">
        <v>29</v>
      </c>
    </row>
    <row r="360" customFormat="false" ht="18.7" hidden="false" customHeight="true" outlineLevel="0" collapsed="false">
      <c r="A360" s="1" t="n">
        <v>359</v>
      </c>
      <c r="B360" s="6" t="str">
        <f aca="false">HYPERLINK("https://mncourtfraud.com/file/MCRO_27-CR-19-12466_Notice of Motion and Motion_2021-04-15_20240430091836.pdf","MCRO_27-CR-19-12466_Notice of Motion and Motion_2021-04-15_20240430091836.pdf")</f>
        <v>MCRO_27-CR-19-12466_Notice of Motion and Motion_2021-04-15_20240430091836.pdf</v>
      </c>
      <c r="C360" s="1" t="n">
        <v>3</v>
      </c>
      <c r="D360" s="1" t="n">
        <v>1</v>
      </c>
      <c r="E360" s="1" t="n">
        <v>1</v>
      </c>
      <c r="F360" s="3" t="s">
        <v>20</v>
      </c>
      <c r="G360" s="3" t="s">
        <v>1565</v>
      </c>
      <c r="H360" s="1" t="s">
        <v>22</v>
      </c>
      <c r="I360" s="1" t="n">
        <v>20240430091836</v>
      </c>
      <c r="J360" s="3" t="s">
        <v>1566</v>
      </c>
      <c r="K360" s="3" t="s">
        <v>1567</v>
      </c>
      <c r="L360" s="3" t="s">
        <v>1568</v>
      </c>
      <c r="M360" s="3" t="n">
        <v>187189</v>
      </c>
      <c r="N360" s="3" t="s">
        <v>1569</v>
      </c>
      <c r="O360" s="1" t="n">
        <v>170803</v>
      </c>
      <c r="P360" s="1" t="n">
        <v>91.25</v>
      </c>
      <c r="Q360" s="1" t="s">
        <v>20</v>
      </c>
      <c r="R360" s="1" t="s">
        <v>27</v>
      </c>
      <c r="S360" s="1" t="s">
        <v>28</v>
      </c>
      <c r="T360" s="1" t="s">
        <v>29</v>
      </c>
    </row>
    <row r="361" customFormat="false" ht="18.7" hidden="false" customHeight="true" outlineLevel="0" collapsed="false">
      <c r="A361" s="1" t="n">
        <v>360</v>
      </c>
      <c r="B361" s="6" t="str">
        <f aca="false">HYPERLINK("https://mncourtfraud.com/file/MCRO_27-CR-19-12466_Notice of Remote Hearing with Instructions_2022-11-16_20240430091820.pdf","MCRO_27-CR-19-12466_Notice of Remote Hearing with Instructions_2022-11-16_20240430091820.pdf")</f>
        <v>MCRO_27-CR-19-12466_Notice of Remote Hearing with Instructions_2022-11-16_20240430091820.pdf</v>
      </c>
      <c r="C361" s="1" t="n">
        <v>5</v>
      </c>
      <c r="D361" s="1" t="n">
        <v>1</v>
      </c>
      <c r="E361" s="1" t="n">
        <v>1</v>
      </c>
      <c r="F361" s="3" t="s">
        <v>20</v>
      </c>
      <c r="G361" s="3" t="s">
        <v>1570</v>
      </c>
      <c r="H361" s="1" t="s">
        <v>22</v>
      </c>
      <c r="I361" s="1" t="n">
        <v>20240430091820</v>
      </c>
      <c r="J361" s="3" t="s">
        <v>1571</v>
      </c>
      <c r="K361" s="3" t="s">
        <v>1572</v>
      </c>
      <c r="L361" s="3" t="s">
        <v>1573</v>
      </c>
      <c r="M361" s="3" t="n">
        <v>311958</v>
      </c>
      <c r="N361" s="3" t="s">
        <v>1574</v>
      </c>
      <c r="O361" s="1" t="n">
        <v>295572</v>
      </c>
      <c r="P361" s="1" t="n">
        <v>94.75</v>
      </c>
      <c r="Q361" s="1" t="s">
        <v>20</v>
      </c>
      <c r="R361" s="1" t="s">
        <v>27</v>
      </c>
      <c r="S361" s="1" t="s">
        <v>28</v>
      </c>
      <c r="T361" s="1" t="s">
        <v>29</v>
      </c>
    </row>
    <row r="362" customFormat="false" ht="18.7" hidden="false" customHeight="true" outlineLevel="0" collapsed="false">
      <c r="A362" s="1" t="n">
        <v>361</v>
      </c>
      <c r="B362" s="6" t="str">
        <f aca="false">HYPERLINK("https://mncourtfraud.com/file/MCRO_27-CR-19-12466_Notice of Remote Hearing with Instructions_2023-08-29_20240430091815.pdf","MCRO_27-CR-19-12466_Notice of Remote Hearing with Instructions_2023-08-29_20240430091815.pdf")</f>
        <v>MCRO_27-CR-19-12466_Notice of Remote Hearing with Instructions_2023-08-29_20240430091815.pdf</v>
      </c>
      <c r="C362" s="1" t="n">
        <v>5</v>
      </c>
      <c r="D362" s="1" t="n">
        <v>1</v>
      </c>
      <c r="E362" s="1" t="n">
        <v>1</v>
      </c>
      <c r="F362" s="3" t="s">
        <v>20</v>
      </c>
      <c r="G362" s="3" t="s">
        <v>1575</v>
      </c>
      <c r="H362" s="1" t="s">
        <v>22</v>
      </c>
      <c r="I362" s="1" t="n">
        <v>20240430091815</v>
      </c>
      <c r="J362" s="3" t="s">
        <v>1576</v>
      </c>
      <c r="K362" s="3" t="s">
        <v>1577</v>
      </c>
      <c r="L362" s="3" t="s">
        <v>1578</v>
      </c>
      <c r="M362" s="3" t="n">
        <v>844618</v>
      </c>
      <c r="N362" s="3" t="s">
        <v>1579</v>
      </c>
      <c r="O362" s="1" t="n">
        <v>828232</v>
      </c>
      <c r="P362" s="1" t="n">
        <v>98.06</v>
      </c>
      <c r="Q362" s="1" t="s">
        <v>20</v>
      </c>
      <c r="R362" s="1" t="s">
        <v>27</v>
      </c>
      <c r="S362" s="1" t="s">
        <v>28</v>
      </c>
      <c r="T362" s="1" t="s">
        <v>29</v>
      </c>
    </row>
    <row r="363" customFormat="false" ht="18.7" hidden="false" customHeight="true" outlineLevel="0" collapsed="false">
      <c r="A363" s="1" t="n">
        <v>362</v>
      </c>
      <c r="B363" s="6" t="str">
        <f aca="false">HYPERLINK("https://mncourtfraud.com/file/MCRO_27-CR-19-12466_Notice of Remote Hearing with Instructions_2024-02-29_20240430091811.pdf","MCRO_27-CR-19-12466_Notice of Remote Hearing with Instructions_2024-02-29_20240430091811.pdf")</f>
        <v>MCRO_27-CR-19-12466_Notice of Remote Hearing with Instructions_2024-02-29_20240430091811.pdf</v>
      </c>
      <c r="C363" s="1" t="n">
        <v>4</v>
      </c>
      <c r="D363" s="1" t="n">
        <v>1</v>
      </c>
      <c r="E363" s="1" t="n">
        <v>1</v>
      </c>
      <c r="F363" s="3" t="s">
        <v>20</v>
      </c>
      <c r="G363" s="3" t="s">
        <v>1580</v>
      </c>
      <c r="H363" s="1" t="s">
        <v>22</v>
      </c>
      <c r="I363" s="1" t="n">
        <v>20240430091811</v>
      </c>
      <c r="J363" s="3" t="s">
        <v>1581</v>
      </c>
      <c r="K363" s="3" t="s">
        <v>1582</v>
      </c>
      <c r="L363" s="3" t="s">
        <v>1583</v>
      </c>
      <c r="M363" s="3" t="n">
        <v>258416</v>
      </c>
      <c r="N363" s="3" t="s">
        <v>1584</v>
      </c>
      <c r="O363" s="1" t="n">
        <v>242030</v>
      </c>
      <c r="P363" s="1" t="n">
        <v>93.66</v>
      </c>
      <c r="Q363" s="1" t="s">
        <v>20</v>
      </c>
      <c r="R363" s="1" t="s">
        <v>27</v>
      </c>
      <c r="S363" s="1" t="s">
        <v>28</v>
      </c>
      <c r="T363" s="1" t="s">
        <v>29</v>
      </c>
    </row>
    <row r="364" customFormat="false" ht="18.7" hidden="false" customHeight="true" outlineLevel="0" collapsed="false">
      <c r="A364" s="1" t="n">
        <v>363</v>
      </c>
      <c r="B364" s="6" t="str">
        <f aca="false">HYPERLINK("https://mncourtfraud.com/file/MCRO_27-CR-19-12466_Notice of Remote Hearing with Instructions_2024-03-05_20240430091810.pdf","MCRO_27-CR-19-12466_Notice of Remote Hearing with Instructions_2024-03-05_20240430091810.pdf")</f>
        <v>MCRO_27-CR-19-12466_Notice of Remote Hearing with Instructions_2024-03-05_20240430091810.pdf</v>
      </c>
      <c r="C364" s="1" t="n">
        <v>4</v>
      </c>
      <c r="D364" s="1" t="n">
        <v>1</v>
      </c>
      <c r="E364" s="1" t="n">
        <v>1</v>
      </c>
      <c r="F364" s="3" t="s">
        <v>20</v>
      </c>
      <c r="G364" s="3" t="s">
        <v>1585</v>
      </c>
      <c r="H364" s="1" t="s">
        <v>22</v>
      </c>
      <c r="I364" s="1" t="n">
        <v>20240430091810</v>
      </c>
      <c r="J364" s="3" t="s">
        <v>1586</v>
      </c>
      <c r="K364" s="3" t="s">
        <v>1587</v>
      </c>
      <c r="L364" s="3" t="s">
        <v>1588</v>
      </c>
      <c r="M364" s="3" t="n">
        <v>255665</v>
      </c>
      <c r="N364" s="3" t="s">
        <v>74</v>
      </c>
      <c r="O364" s="1" t="n">
        <v>239279</v>
      </c>
      <c r="P364" s="1" t="n">
        <v>93.59</v>
      </c>
      <c r="Q364" s="1" t="s">
        <v>20</v>
      </c>
      <c r="R364" s="1" t="s">
        <v>27</v>
      </c>
      <c r="S364" s="1" t="s">
        <v>28</v>
      </c>
      <c r="T364" s="1" t="s">
        <v>29</v>
      </c>
    </row>
    <row r="365" customFormat="false" ht="18.7" hidden="false" customHeight="true" outlineLevel="0" collapsed="false">
      <c r="A365" s="1" t="n">
        <v>364</v>
      </c>
      <c r="B365" s="6" t="str">
        <f aca="false">HYPERLINK("https://mncourtfraud.com/file/MCRO_27-CR-19-12466_Notice of Remote Hearing with Instructions_2024-03-12_20240430091808.pdf","MCRO_27-CR-19-12466_Notice of Remote Hearing with Instructions_2024-03-12_20240430091808.pdf")</f>
        <v>MCRO_27-CR-19-12466_Notice of Remote Hearing with Instructions_2024-03-12_20240430091808.pdf</v>
      </c>
      <c r="C365" s="1" t="n">
        <v>4</v>
      </c>
      <c r="D365" s="1" t="n">
        <v>1</v>
      </c>
      <c r="E365" s="1" t="n">
        <v>1</v>
      </c>
      <c r="F365" s="3" t="s">
        <v>20</v>
      </c>
      <c r="G365" s="3" t="s">
        <v>1589</v>
      </c>
      <c r="H365" s="1" t="s">
        <v>22</v>
      </c>
      <c r="I365" s="1" t="n">
        <v>20240430091808</v>
      </c>
      <c r="J365" s="3" t="s">
        <v>1590</v>
      </c>
      <c r="K365" s="3" t="s">
        <v>1591</v>
      </c>
      <c r="L365" s="3" t="s">
        <v>1592</v>
      </c>
      <c r="M365" s="3" t="n">
        <v>255643</v>
      </c>
      <c r="N365" s="3" t="s">
        <v>74</v>
      </c>
      <c r="O365" s="1" t="n">
        <v>239257</v>
      </c>
      <c r="P365" s="1" t="n">
        <v>93.59</v>
      </c>
      <c r="Q365" s="1" t="s">
        <v>20</v>
      </c>
      <c r="R365" s="1" t="s">
        <v>27</v>
      </c>
      <c r="S365" s="1" t="s">
        <v>28</v>
      </c>
      <c r="T365" s="1" t="s">
        <v>29</v>
      </c>
    </row>
    <row r="366" customFormat="false" ht="18.7" hidden="false" customHeight="true" outlineLevel="0" collapsed="false">
      <c r="A366" s="1" t="n">
        <v>365</v>
      </c>
      <c r="B366" s="6" t="str">
        <f aca="false">HYPERLINK("https://mncourtfraud.com/file/MCRO_27-CR-19-12466_Order-Evaluation for Competency to Proceed (Rule 20.01)_2019-05-31_20240430091900.pdf","MCRO_27-CR-19-12466_Order-Evaluation for Competency to Proceed (Rule 20.01)_2019-05-31_20240430091900.pdf")</f>
        <v>MCRO_27-CR-19-12466_Order-Evaluation for Competency to Proceed (Rule 20.01)_2019-05-31_20240430091900.pdf</v>
      </c>
      <c r="C366" s="1" t="n">
        <v>4</v>
      </c>
      <c r="D366" s="1" t="n">
        <v>1</v>
      </c>
      <c r="E366" s="1" t="n">
        <v>1</v>
      </c>
      <c r="F366" s="3" t="s">
        <v>20</v>
      </c>
      <c r="G366" s="3" t="s">
        <v>1593</v>
      </c>
      <c r="H366" s="1" t="s">
        <v>22</v>
      </c>
      <c r="I366" s="1" t="n">
        <v>20240430091900</v>
      </c>
      <c r="J366" s="3" t="s">
        <v>1594</v>
      </c>
      <c r="K366" s="3" t="s">
        <v>1595</v>
      </c>
      <c r="L366" s="3" t="s">
        <v>1596</v>
      </c>
      <c r="M366" s="3" t="n">
        <v>176545</v>
      </c>
      <c r="N366" s="3" t="s">
        <v>777</v>
      </c>
      <c r="O366" s="1" t="n">
        <v>160159</v>
      </c>
      <c r="P366" s="1" t="n">
        <v>90.72</v>
      </c>
      <c r="Q366" s="1" t="s">
        <v>20</v>
      </c>
      <c r="R366" s="1" t="s">
        <v>27</v>
      </c>
      <c r="S366" s="1" t="s">
        <v>28</v>
      </c>
      <c r="T366" s="1" t="s">
        <v>29</v>
      </c>
    </row>
    <row r="367" customFormat="false" ht="18.7" hidden="false" customHeight="true" outlineLevel="0" collapsed="false">
      <c r="A367" s="1" t="n">
        <v>366</v>
      </c>
      <c r="B367" s="6" t="str">
        <f aca="false">HYPERLINK("https://mncourtfraud.com/file/MCRO_27-CR-19-12466_Order-Evaluation for Competency to Proceed (Rule 20.01)_2019-09-16_20240430091854.pdf","MCRO_27-CR-19-12466_Order-Evaluation for Competency to Proceed (Rule 20.01)_2019-09-16_20240430091854.pdf")</f>
        <v>MCRO_27-CR-19-12466_Order-Evaluation for Competency to Proceed (Rule 20.01)_2019-09-16_20240430091854.pdf</v>
      </c>
      <c r="C367" s="1" t="n">
        <v>4</v>
      </c>
      <c r="D367" s="1" t="n">
        <v>1</v>
      </c>
      <c r="E367" s="1" t="n">
        <v>1</v>
      </c>
      <c r="F367" s="3" t="s">
        <v>20</v>
      </c>
      <c r="G367" s="3" t="s">
        <v>1597</v>
      </c>
      <c r="H367" s="1" t="s">
        <v>22</v>
      </c>
      <c r="I367" s="1" t="n">
        <v>20240430091854</v>
      </c>
      <c r="J367" s="3" t="s">
        <v>1598</v>
      </c>
      <c r="K367" s="3" t="s">
        <v>1599</v>
      </c>
      <c r="L367" s="3" t="s">
        <v>1600</v>
      </c>
      <c r="M367" s="3" t="n">
        <v>868180</v>
      </c>
      <c r="N367" s="3" t="s">
        <v>777</v>
      </c>
      <c r="O367" s="1" t="n">
        <v>851794</v>
      </c>
      <c r="P367" s="1" t="n">
        <v>98.11</v>
      </c>
      <c r="Q367" s="1" t="s">
        <v>20</v>
      </c>
      <c r="R367" s="1" t="s">
        <v>27</v>
      </c>
      <c r="S367" s="1" t="s">
        <v>28</v>
      </c>
      <c r="T367" s="1" t="s">
        <v>29</v>
      </c>
    </row>
    <row r="368" customFormat="false" ht="18.7" hidden="false" customHeight="true" outlineLevel="0" collapsed="false">
      <c r="A368" s="1" t="n">
        <v>367</v>
      </c>
      <c r="B368" s="6" t="str">
        <f aca="false">HYPERLINK("https://mncourtfraud.com/file/MCRO_27-CR-19-12466_Order-Evaluation for Competency to Proceed (Rule 20.01)_2020-06-11_20240430091843.pdf","MCRO_27-CR-19-12466_Order-Evaluation for Competency to Proceed (Rule 20.01)_2020-06-11_20240430091843.pdf")</f>
        <v>MCRO_27-CR-19-12466_Order-Evaluation for Competency to Proceed (Rule 20.01)_2020-06-11_20240430091843.pdf</v>
      </c>
      <c r="C368" s="1" t="n">
        <v>3</v>
      </c>
      <c r="D368" s="1" t="n">
        <v>1</v>
      </c>
      <c r="E368" s="1" t="n">
        <v>1</v>
      </c>
      <c r="F368" s="3" t="s">
        <v>20</v>
      </c>
      <c r="G368" s="3" t="s">
        <v>1601</v>
      </c>
      <c r="H368" s="1" t="s">
        <v>22</v>
      </c>
      <c r="I368" s="1" t="n">
        <v>20240430091843</v>
      </c>
      <c r="J368" s="3" t="s">
        <v>1602</v>
      </c>
      <c r="K368" s="3" t="s">
        <v>1603</v>
      </c>
      <c r="L368" s="3" t="s">
        <v>1604</v>
      </c>
      <c r="M368" s="3" t="n">
        <v>482259</v>
      </c>
      <c r="N368" s="3" t="s">
        <v>1605</v>
      </c>
      <c r="O368" s="1" t="n">
        <v>465873</v>
      </c>
      <c r="P368" s="1" t="n">
        <v>96.6</v>
      </c>
      <c r="Q368" s="1" t="s">
        <v>20</v>
      </c>
      <c r="R368" s="1" t="s">
        <v>27</v>
      </c>
      <c r="S368" s="1" t="s">
        <v>28</v>
      </c>
      <c r="T368" s="1" t="s">
        <v>29</v>
      </c>
    </row>
    <row r="369" customFormat="false" ht="18.7" hidden="false" customHeight="true" outlineLevel="0" collapsed="false">
      <c r="A369" s="1" t="n">
        <v>368</v>
      </c>
      <c r="B369" s="6" t="str">
        <f aca="false">HYPERLINK("https://mncourtfraud.com/file/MCRO_27-CR-19-12466_Order-Evaluation for Competency to Proceed (Rule 20.01)_2022-01-19_20240430091830.pdf","MCRO_27-CR-19-12466_Order-Evaluation for Competency to Proceed (Rule 20.01)_2022-01-19_20240430091830.pdf")</f>
        <v>MCRO_27-CR-19-12466_Order-Evaluation for Competency to Proceed (Rule 20.01)_2022-01-19_20240430091830.pdf</v>
      </c>
      <c r="C369" s="1" t="n">
        <v>7</v>
      </c>
      <c r="D369" s="1" t="n">
        <v>5</v>
      </c>
      <c r="E369" s="1" t="n">
        <v>5</v>
      </c>
      <c r="F369" s="3" t="s">
        <v>20</v>
      </c>
      <c r="G369" s="3" t="s">
        <v>1606</v>
      </c>
      <c r="H369" s="1" t="s">
        <v>22</v>
      </c>
      <c r="I369" s="1" t="n">
        <v>20240430091830</v>
      </c>
      <c r="J369" s="3" t="s">
        <v>1607</v>
      </c>
      <c r="K369" s="3" t="s">
        <v>1608</v>
      </c>
      <c r="L369" s="3" t="s">
        <v>1609</v>
      </c>
      <c r="M369" s="3" t="n">
        <v>511818</v>
      </c>
      <c r="N369" s="3" t="s">
        <v>564</v>
      </c>
      <c r="O369" s="1" t="n">
        <v>495432</v>
      </c>
      <c r="P369" s="1" t="n">
        <v>96.8</v>
      </c>
      <c r="Q369" s="1" t="s">
        <v>20</v>
      </c>
      <c r="R369" s="1" t="s">
        <v>27</v>
      </c>
      <c r="S369" s="1" t="s">
        <v>28</v>
      </c>
      <c r="T369" s="1" t="s">
        <v>29</v>
      </c>
    </row>
    <row r="370" customFormat="false" ht="18.7" hidden="false" customHeight="true" outlineLevel="0" collapsed="false">
      <c r="A370" s="1" t="n">
        <v>369</v>
      </c>
      <c r="B370" s="6" t="str">
        <f aca="false">HYPERLINK("https://mncourtfraud.com/file/MCRO_27-CR-19-12466_Order-Evaluation for Competency to Proceed (Rule 20.01)_2022-06-14_20240430091823.pdf","MCRO_27-CR-19-12466_Order-Evaluation for Competency to Proceed (Rule 20.01)_2022-06-14_20240430091823.pdf")</f>
        <v>MCRO_27-CR-19-12466_Order-Evaluation for Competency to Proceed (Rule 20.01)_2022-06-14_20240430091823.pdf</v>
      </c>
      <c r="C370" s="1" t="n">
        <v>6</v>
      </c>
      <c r="D370" s="1" t="n">
        <v>1</v>
      </c>
      <c r="E370" s="1" t="n">
        <v>1</v>
      </c>
      <c r="F370" s="3" t="s">
        <v>20</v>
      </c>
      <c r="G370" s="3" t="s">
        <v>1610</v>
      </c>
      <c r="H370" s="1" t="s">
        <v>22</v>
      </c>
      <c r="I370" s="1" t="n">
        <v>20240430091823</v>
      </c>
      <c r="J370" s="3" t="s">
        <v>1611</v>
      </c>
      <c r="K370" s="3" t="s">
        <v>1612</v>
      </c>
      <c r="L370" s="3" t="s">
        <v>1613</v>
      </c>
      <c r="M370" s="3" t="n">
        <v>829223</v>
      </c>
      <c r="N370" s="3" t="s">
        <v>1614</v>
      </c>
      <c r="O370" s="1" t="n">
        <v>812837</v>
      </c>
      <c r="P370" s="1" t="n">
        <v>98.02</v>
      </c>
      <c r="Q370" s="1" t="s">
        <v>20</v>
      </c>
      <c r="R370" s="1" t="s">
        <v>27</v>
      </c>
      <c r="S370" s="1" t="s">
        <v>28</v>
      </c>
      <c r="T370" s="1" t="s">
        <v>29</v>
      </c>
    </row>
    <row r="371" customFormat="false" ht="18.7" hidden="false" customHeight="true" outlineLevel="0" collapsed="false">
      <c r="A371" s="1" t="n">
        <v>370</v>
      </c>
      <c r="B371" s="6" t="str">
        <f aca="false">HYPERLINK("https://mncourtfraud.com/file/MCRO_27-CR-19-12466_Order-Evaluation for Competency to Proceed (Rule 20.01)_2022-12-27_20240430091818.pdf","MCRO_27-CR-19-12466_Order-Evaluation for Competency to Proceed (Rule 20.01)_2022-12-27_20240430091818.pdf")</f>
        <v>MCRO_27-CR-19-12466_Order-Evaluation for Competency to Proceed (Rule 20.01)_2022-12-27_20240430091818.pdf</v>
      </c>
      <c r="C371" s="1" t="n">
        <v>6</v>
      </c>
      <c r="D371" s="1" t="n">
        <v>1</v>
      </c>
      <c r="E371" s="1" t="n">
        <v>1</v>
      </c>
      <c r="F371" s="3" t="s">
        <v>20</v>
      </c>
      <c r="G371" s="3" t="s">
        <v>1615</v>
      </c>
      <c r="H371" s="1" t="s">
        <v>22</v>
      </c>
      <c r="I371" s="1" t="n">
        <v>20240430091818</v>
      </c>
      <c r="J371" s="3" t="s">
        <v>1616</v>
      </c>
      <c r="K371" s="3" t="s">
        <v>1617</v>
      </c>
      <c r="L371" s="3" t="s">
        <v>1618</v>
      </c>
      <c r="M371" s="3" t="n">
        <v>823503</v>
      </c>
      <c r="N371" s="3" t="s">
        <v>1619</v>
      </c>
      <c r="O371" s="1" t="n">
        <v>807117</v>
      </c>
      <c r="P371" s="1" t="n">
        <v>98.01</v>
      </c>
      <c r="Q371" s="1" t="s">
        <v>20</v>
      </c>
      <c r="R371" s="1" t="s">
        <v>27</v>
      </c>
      <c r="S371" s="1" t="s">
        <v>28</v>
      </c>
      <c r="T371" s="1" t="s">
        <v>29</v>
      </c>
    </row>
    <row r="372" customFormat="false" ht="18.7" hidden="false" customHeight="true" outlineLevel="0" collapsed="false">
      <c r="A372" s="1" t="n">
        <v>371</v>
      </c>
      <c r="B372" s="6" t="str">
        <f aca="false">HYPERLINK("https://mncourtfraud.com/file/MCRO_27-CR-19-12466_Order-Evaluation for Competency to Proceed (Rule 20.01)_2023-01-11_20240430091817.pdf","MCRO_27-CR-19-12466_Order-Evaluation for Competency to Proceed (Rule 20.01)_2023-01-11_20240430091817.pdf")</f>
        <v>MCRO_27-CR-19-12466_Order-Evaluation for Competency to Proceed (Rule 20.01)_2023-01-11_20240430091817.pdf</v>
      </c>
      <c r="C372" s="1" t="n">
        <v>6</v>
      </c>
      <c r="D372" s="1" t="n">
        <v>2</v>
      </c>
      <c r="E372" s="1" t="n">
        <v>2</v>
      </c>
      <c r="F372" s="3" t="s">
        <v>27</v>
      </c>
      <c r="G372" s="3" t="s">
        <v>1620</v>
      </c>
      <c r="H372" s="1" t="s">
        <v>22</v>
      </c>
      <c r="I372" s="1" t="n">
        <v>20240430091817</v>
      </c>
      <c r="J372" s="3" t="s">
        <v>1621</v>
      </c>
      <c r="K372" s="3" t="s">
        <v>1622</v>
      </c>
      <c r="L372" s="3" t="s">
        <v>1623</v>
      </c>
      <c r="M372" s="3" t="n">
        <v>913099</v>
      </c>
      <c r="N372" s="3" t="s">
        <v>1624</v>
      </c>
      <c r="O372" s="1" t="n">
        <v>896713</v>
      </c>
      <c r="P372" s="1" t="n">
        <v>98.21</v>
      </c>
      <c r="Q372" s="1" t="s">
        <v>20</v>
      </c>
      <c r="R372" s="1" t="s">
        <v>27</v>
      </c>
      <c r="S372" s="1" t="s">
        <v>28</v>
      </c>
      <c r="T372" s="1" t="s">
        <v>29</v>
      </c>
    </row>
    <row r="373" customFormat="false" ht="18.7" hidden="false" customHeight="true" outlineLevel="0" collapsed="false">
      <c r="A373" s="1" t="n">
        <v>372</v>
      </c>
      <c r="B373" s="6" t="str">
        <f aca="false">HYPERLINK("https://mncourtfraud.com/file/MCRO_27-CR-19-12466_Order-Evaluation for Competency to Proceed (Rule 20.01)_2023-12-22_20240430091814.pdf","MCRO_27-CR-19-12466_Order-Evaluation for Competency to Proceed (Rule 20.01)_2023-12-22_20240430091814.pdf")</f>
        <v>MCRO_27-CR-19-12466_Order-Evaluation for Competency to Proceed (Rule 20.01)_2023-12-22_20240430091814.pdf</v>
      </c>
      <c r="C373" s="1" t="n">
        <v>5</v>
      </c>
      <c r="D373" s="1" t="n">
        <v>1</v>
      </c>
      <c r="E373" s="1" t="n">
        <v>1</v>
      </c>
      <c r="F373" s="3" t="s">
        <v>20</v>
      </c>
      <c r="G373" s="3" t="s">
        <v>1625</v>
      </c>
      <c r="H373" s="1" t="s">
        <v>22</v>
      </c>
      <c r="I373" s="1" t="n">
        <v>20240430091814</v>
      </c>
      <c r="J373" s="3" t="s">
        <v>1576</v>
      </c>
      <c r="K373" s="3" t="s">
        <v>1577</v>
      </c>
      <c r="L373" s="3" t="s">
        <v>1626</v>
      </c>
      <c r="M373" s="3" t="n">
        <v>761664</v>
      </c>
      <c r="N373" s="3" t="s">
        <v>1091</v>
      </c>
      <c r="O373" s="1" t="n">
        <v>745278</v>
      </c>
      <c r="P373" s="1" t="n">
        <v>97.85</v>
      </c>
      <c r="Q373" s="1" t="s">
        <v>20</v>
      </c>
      <c r="R373" s="1" t="s">
        <v>27</v>
      </c>
      <c r="S373" s="1" t="s">
        <v>28</v>
      </c>
      <c r="T373" s="1" t="s">
        <v>29</v>
      </c>
    </row>
    <row r="374" customFormat="false" ht="18.7" hidden="false" customHeight="true" outlineLevel="0" collapsed="false">
      <c r="A374" s="1" t="n">
        <v>373</v>
      </c>
      <c r="B374" s="6" t="str">
        <f aca="false">HYPERLINK("https://mncourtfraud.com/file/MCRO_27-CR-19-12466_Order for Conditional Release_2020-01-24_20240430091849.pdf","MCRO_27-CR-19-12466_Order for Conditional Release_2020-01-24_20240430091849.pdf")</f>
        <v>MCRO_27-CR-19-12466_Order for Conditional Release_2020-01-24_20240430091849.pdf</v>
      </c>
      <c r="C374" s="1" t="n">
        <v>4</v>
      </c>
      <c r="D374" s="1" t="n">
        <v>1</v>
      </c>
      <c r="E374" s="1" t="n">
        <v>1</v>
      </c>
      <c r="F374" s="3" t="s">
        <v>20</v>
      </c>
      <c r="G374" s="3" t="s">
        <v>1627</v>
      </c>
      <c r="H374" s="1" t="s">
        <v>22</v>
      </c>
      <c r="I374" s="1" t="n">
        <v>20240430091849</v>
      </c>
      <c r="J374" s="3" t="s">
        <v>1628</v>
      </c>
      <c r="K374" s="3" t="s">
        <v>1629</v>
      </c>
      <c r="L374" s="3" t="s">
        <v>1630</v>
      </c>
      <c r="M374" s="3" t="n">
        <v>113847</v>
      </c>
      <c r="N374" s="3" t="s">
        <v>137</v>
      </c>
      <c r="O374" s="1" t="n">
        <v>97461</v>
      </c>
      <c r="P374" s="1" t="n">
        <v>85.61</v>
      </c>
      <c r="Q374" s="1" t="s">
        <v>20</v>
      </c>
      <c r="R374" s="1" t="s">
        <v>27</v>
      </c>
      <c r="S374" s="1" t="s">
        <v>28</v>
      </c>
      <c r="T374" s="1" t="s">
        <v>29</v>
      </c>
    </row>
    <row r="375" customFormat="false" ht="18.7" hidden="false" customHeight="true" outlineLevel="0" collapsed="false">
      <c r="A375" s="1" t="n">
        <v>374</v>
      </c>
      <c r="B375" s="6" t="str">
        <f aca="false">HYPERLINK("https://mncourtfraud.com/file/MCRO_27-CR-19-12466_Order for Conditional Release_2020-02-06_20240430091848.pdf","MCRO_27-CR-19-12466_Order for Conditional Release_2020-02-06_20240430091848.pdf")</f>
        <v>MCRO_27-CR-19-12466_Order for Conditional Release_2020-02-06_20240430091848.pdf</v>
      </c>
      <c r="C375" s="1" t="n">
        <v>4</v>
      </c>
      <c r="D375" s="1" t="n">
        <v>1</v>
      </c>
      <c r="E375" s="1" t="n">
        <v>1</v>
      </c>
      <c r="F375" s="3" t="s">
        <v>20</v>
      </c>
      <c r="G375" s="3" t="s">
        <v>1631</v>
      </c>
      <c r="H375" s="1" t="s">
        <v>22</v>
      </c>
      <c r="I375" s="1" t="n">
        <v>20240430091848</v>
      </c>
      <c r="J375" s="3" t="s">
        <v>1632</v>
      </c>
      <c r="K375" s="3" t="s">
        <v>1633</v>
      </c>
      <c r="L375" s="3" t="s">
        <v>1634</v>
      </c>
      <c r="M375" s="3" t="n">
        <v>89362</v>
      </c>
      <c r="N375" s="3" t="s">
        <v>137</v>
      </c>
      <c r="O375" s="1" t="n">
        <v>72976</v>
      </c>
      <c r="P375" s="1" t="n">
        <v>81.66</v>
      </c>
      <c r="Q375" s="1" t="s">
        <v>20</v>
      </c>
      <c r="R375" s="1" t="s">
        <v>27</v>
      </c>
      <c r="S375" s="1" t="s">
        <v>28</v>
      </c>
      <c r="T375" s="1" t="s">
        <v>29</v>
      </c>
    </row>
    <row r="376" customFormat="false" ht="18.7" hidden="false" customHeight="true" outlineLevel="0" collapsed="false">
      <c r="A376" s="1" t="n">
        <v>375</v>
      </c>
      <c r="B376" s="6" t="str">
        <f aca="false">HYPERLINK("https://mncourtfraud.com/file/MCRO_27-CR-19-12466_Order for Conditional Release_2020-03-25_20240430091847.pdf","MCRO_27-CR-19-12466_Order for Conditional Release_2020-03-25_20240430091847.pdf")</f>
        <v>MCRO_27-CR-19-12466_Order for Conditional Release_2020-03-25_20240430091847.pdf</v>
      </c>
      <c r="C376" s="1" t="n">
        <v>4</v>
      </c>
      <c r="D376" s="1" t="n">
        <v>1</v>
      </c>
      <c r="E376" s="1" t="n">
        <v>1</v>
      </c>
      <c r="F376" s="3" t="s">
        <v>20</v>
      </c>
      <c r="G376" s="3" t="s">
        <v>1635</v>
      </c>
      <c r="H376" s="1" t="s">
        <v>22</v>
      </c>
      <c r="I376" s="1" t="n">
        <v>20240430091847</v>
      </c>
      <c r="J376" s="3" t="s">
        <v>1636</v>
      </c>
      <c r="K376" s="3" t="s">
        <v>1637</v>
      </c>
      <c r="L376" s="3" t="s">
        <v>1638</v>
      </c>
      <c r="M376" s="3" t="n">
        <v>113604</v>
      </c>
      <c r="N376" s="3" t="s">
        <v>137</v>
      </c>
      <c r="O376" s="1" t="n">
        <v>97218</v>
      </c>
      <c r="P376" s="1" t="n">
        <v>85.58</v>
      </c>
      <c r="Q376" s="1" t="s">
        <v>20</v>
      </c>
      <c r="R376" s="1" t="s">
        <v>27</v>
      </c>
      <c r="S376" s="1" t="s">
        <v>28</v>
      </c>
      <c r="T376" s="1" t="s">
        <v>29</v>
      </c>
    </row>
    <row r="377" customFormat="false" ht="18.7" hidden="false" customHeight="true" outlineLevel="0" collapsed="false">
      <c r="A377" s="1" t="n">
        <v>376</v>
      </c>
      <c r="B377" s="6" t="str">
        <f aca="false">HYPERLINK("https://mncourtfraud.com/file/MCRO_27-CR-19-12466_Order for Conditional Release_2021-12-20_20240430091831.pdf","MCRO_27-CR-19-12466_Order for Conditional Release_2021-12-20_20240430091831.pdf")</f>
        <v>MCRO_27-CR-19-12466_Order for Conditional Release_2021-12-20_20240430091831.pdf</v>
      </c>
      <c r="C377" s="1" t="n">
        <v>4</v>
      </c>
      <c r="D377" s="1" t="n">
        <v>1</v>
      </c>
      <c r="E377" s="1" t="n">
        <v>1</v>
      </c>
      <c r="F377" s="3" t="s">
        <v>20</v>
      </c>
      <c r="G377" s="3" t="s">
        <v>1639</v>
      </c>
      <c r="H377" s="1" t="s">
        <v>22</v>
      </c>
      <c r="I377" s="1" t="n">
        <v>20240430091831</v>
      </c>
      <c r="J377" s="3" t="s">
        <v>1640</v>
      </c>
      <c r="K377" s="3" t="s">
        <v>1641</v>
      </c>
      <c r="L377" s="3" t="s">
        <v>1642</v>
      </c>
      <c r="M377" s="3" t="n">
        <v>159037</v>
      </c>
      <c r="N377" s="3" t="s">
        <v>1065</v>
      </c>
      <c r="O377" s="1" t="n">
        <v>142651</v>
      </c>
      <c r="P377" s="1" t="n">
        <v>89.7</v>
      </c>
      <c r="Q377" s="1" t="s">
        <v>20</v>
      </c>
      <c r="R377" s="1" t="s">
        <v>27</v>
      </c>
      <c r="S377" s="1" t="s">
        <v>28</v>
      </c>
      <c r="T377" s="1" t="s">
        <v>29</v>
      </c>
    </row>
    <row r="378" customFormat="false" ht="18.7" hidden="false" customHeight="true" outlineLevel="0" collapsed="false">
      <c r="A378" s="1" t="n">
        <v>377</v>
      </c>
      <c r="B378" s="6" t="str">
        <f aca="false">HYPERLINK("https://mncourtfraud.com/file/MCRO_27-CR-19-12466_Order for Conditional Release_2022-02-16_20240430091829.pdf","MCRO_27-CR-19-12466_Order for Conditional Release_2022-02-16_20240430091829.pdf")</f>
        <v>MCRO_27-CR-19-12466_Order for Conditional Release_2022-02-16_20240430091829.pdf</v>
      </c>
      <c r="C378" s="1" t="n">
        <v>10</v>
      </c>
      <c r="D378" s="1" t="n">
        <v>2</v>
      </c>
      <c r="E378" s="1" t="n">
        <v>2</v>
      </c>
      <c r="F378" s="3" t="s">
        <v>20</v>
      </c>
      <c r="G378" s="3" t="s">
        <v>1643</v>
      </c>
      <c r="H378" s="1" t="s">
        <v>22</v>
      </c>
      <c r="I378" s="1" t="n">
        <v>20240430091829</v>
      </c>
      <c r="J378" s="3" t="s">
        <v>1607</v>
      </c>
      <c r="K378" s="3" t="s">
        <v>1608</v>
      </c>
      <c r="L378" s="3" t="s">
        <v>1644</v>
      </c>
      <c r="M378" s="3" t="n">
        <v>1167055</v>
      </c>
      <c r="N378" s="3" t="s">
        <v>1645</v>
      </c>
      <c r="O378" s="1" t="n">
        <v>1150669</v>
      </c>
      <c r="P378" s="1" t="n">
        <v>98.6</v>
      </c>
      <c r="Q378" s="1" t="s">
        <v>20</v>
      </c>
      <c r="R378" s="1" t="s">
        <v>27</v>
      </c>
      <c r="S378" s="1" t="s">
        <v>28</v>
      </c>
      <c r="T378" s="1" t="s">
        <v>29</v>
      </c>
    </row>
    <row r="379" customFormat="false" ht="18.7" hidden="false" customHeight="true" outlineLevel="0" collapsed="false">
      <c r="A379" s="1" t="n">
        <v>378</v>
      </c>
      <c r="B379" s="6" t="str">
        <f aca="false">HYPERLINK("https://mncourtfraud.com/file/MCRO_27-CR-19-12466_Order for Conditional Release_2022-03-11_20240430091825.pdf","MCRO_27-CR-19-12466_Order for Conditional Release_2022-03-11_20240430091825.pdf")</f>
        <v>MCRO_27-CR-19-12466_Order for Conditional Release_2022-03-11_20240430091825.pdf</v>
      </c>
      <c r="C379" s="1" t="n">
        <v>3</v>
      </c>
      <c r="D379" s="1" t="n">
        <v>1</v>
      </c>
      <c r="E379" s="1" t="n">
        <v>1</v>
      </c>
      <c r="F379" s="3" t="s">
        <v>20</v>
      </c>
      <c r="G379" s="3" t="s">
        <v>1646</v>
      </c>
      <c r="H379" s="1" t="s">
        <v>22</v>
      </c>
      <c r="I379" s="1" t="n">
        <v>20240430091825</v>
      </c>
      <c r="J379" s="3" t="s">
        <v>1647</v>
      </c>
      <c r="K379" s="3" t="s">
        <v>1648</v>
      </c>
      <c r="L379" s="3" t="s">
        <v>1649</v>
      </c>
      <c r="M379" s="3" t="n">
        <v>194382</v>
      </c>
      <c r="N379" s="3" t="s">
        <v>1316</v>
      </c>
      <c r="O379" s="1" t="n">
        <v>177996</v>
      </c>
      <c r="P379" s="1" t="n">
        <v>91.57</v>
      </c>
      <c r="Q379" s="1" t="s">
        <v>20</v>
      </c>
      <c r="R379" s="1" t="s">
        <v>27</v>
      </c>
      <c r="S379" s="1" t="s">
        <v>28</v>
      </c>
      <c r="T379" s="1" t="s">
        <v>29</v>
      </c>
    </row>
    <row r="380" customFormat="false" ht="18.7" hidden="false" customHeight="true" outlineLevel="0" collapsed="false">
      <c r="A380" s="1" t="n">
        <v>379</v>
      </c>
      <c r="B380" s="6" t="str">
        <f aca="false">HYPERLINK("https://mncourtfraud.com/file/MCRO_27-CR-19-12466_Order-Other_2019-07-31_20240430091856.pdf","MCRO_27-CR-19-12466_Order-Other_2019-07-31_20240430091856.pdf")</f>
        <v>MCRO_27-CR-19-12466_Order-Other_2019-07-31_20240430091856.pdf</v>
      </c>
      <c r="C380" s="1" t="n">
        <v>5</v>
      </c>
      <c r="D380" s="1" t="n">
        <v>7</v>
      </c>
      <c r="E380" s="1" t="n">
        <v>7</v>
      </c>
      <c r="F380" s="3" t="s">
        <v>20</v>
      </c>
      <c r="G380" s="3" t="s">
        <v>1650</v>
      </c>
      <c r="H380" s="1" t="s">
        <v>22</v>
      </c>
      <c r="I380" s="1" t="n">
        <v>20240430091856</v>
      </c>
      <c r="J380" s="3" t="s">
        <v>1651</v>
      </c>
      <c r="K380" s="3" t="s">
        <v>1652</v>
      </c>
      <c r="L380" s="3" t="s">
        <v>1653</v>
      </c>
      <c r="M380" s="3" t="n">
        <v>341687</v>
      </c>
      <c r="N380" s="3" t="s">
        <v>1654</v>
      </c>
      <c r="O380" s="1" t="n">
        <v>325301</v>
      </c>
      <c r="P380" s="1" t="n">
        <v>95.2</v>
      </c>
      <c r="Q380" s="1" t="s">
        <v>20</v>
      </c>
      <c r="R380" s="1" t="s">
        <v>27</v>
      </c>
      <c r="S380" s="1" t="s">
        <v>28</v>
      </c>
      <c r="T380" s="1" t="s">
        <v>29</v>
      </c>
    </row>
    <row r="381" customFormat="false" ht="18.7" hidden="false" customHeight="true" outlineLevel="0" collapsed="false">
      <c r="A381" s="1" t="n">
        <v>380</v>
      </c>
      <c r="B381" s="6" t="str">
        <f aca="false">HYPERLINK("https://mncourtfraud.com/file/MCRO_27-CR-19-12466_Order-Other_2020-03-25_20240430091846.pdf","MCRO_27-CR-19-12466_Order-Other_2020-03-25_20240430091846.pdf")</f>
        <v>MCRO_27-CR-19-12466_Order-Other_2020-03-25_20240430091846.pdf</v>
      </c>
      <c r="C381" s="1" t="n">
        <v>4</v>
      </c>
      <c r="D381" s="1" t="n">
        <v>1</v>
      </c>
      <c r="E381" s="1" t="n">
        <v>1</v>
      </c>
      <c r="F381" s="3" t="s">
        <v>20</v>
      </c>
      <c r="G381" s="3" t="s">
        <v>1655</v>
      </c>
      <c r="H381" s="1" t="s">
        <v>22</v>
      </c>
      <c r="I381" s="1" t="n">
        <v>20240430091846</v>
      </c>
      <c r="J381" s="3" t="s">
        <v>1656</v>
      </c>
      <c r="K381" s="3" t="s">
        <v>1657</v>
      </c>
      <c r="L381" s="3" t="s">
        <v>1658</v>
      </c>
      <c r="M381" s="3" t="n">
        <v>302747</v>
      </c>
      <c r="N381" s="3" t="s">
        <v>1659</v>
      </c>
      <c r="O381" s="1" t="n">
        <v>286361</v>
      </c>
      <c r="P381" s="1" t="n">
        <v>94.59</v>
      </c>
      <c r="Q381" s="1" t="s">
        <v>20</v>
      </c>
      <c r="R381" s="1" t="s">
        <v>27</v>
      </c>
      <c r="S381" s="1" t="s">
        <v>28</v>
      </c>
      <c r="T381" s="1" t="s">
        <v>29</v>
      </c>
    </row>
    <row r="382" customFormat="false" ht="18.7" hidden="false" customHeight="true" outlineLevel="0" collapsed="false">
      <c r="A382" s="1" t="n">
        <v>381</v>
      </c>
      <c r="B382" s="6" t="str">
        <f aca="false">HYPERLINK("https://mncourtfraud.com/file/MCRO_27-CR-19-12466_Order to Transport_2019-10-07_20240430091853.pdf","MCRO_27-CR-19-12466_Order to Transport_2019-10-07_20240430091853.pdf")</f>
        <v>MCRO_27-CR-19-12466_Order to Transport_2019-10-07_20240430091853.pdf</v>
      </c>
      <c r="C382" s="1" t="n">
        <v>4</v>
      </c>
      <c r="D382" s="1" t="n">
        <v>1</v>
      </c>
      <c r="E382" s="1" t="n">
        <v>1</v>
      </c>
      <c r="F382" s="3" t="s">
        <v>20</v>
      </c>
      <c r="G382" s="3" t="s">
        <v>1660</v>
      </c>
      <c r="H382" s="1" t="s">
        <v>22</v>
      </c>
      <c r="I382" s="1" t="n">
        <v>20240430091853</v>
      </c>
      <c r="J382" s="3" t="s">
        <v>1661</v>
      </c>
      <c r="K382" s="3" t="s">
        <v>1662</v>
      </c>
      <c r="L382" s="3" t="s">
        <v>1663</v>
      </c>
      <c r="M382" s="3" t="n">
        <v>89243</v>
      </c>
      <c r="N382" s="3" t="s">
        <v>137</v>
      </c>
      <c r="O382" s="1" t="n">
        <v>72857</v>
      </c>
      <c r="P382" s="1" t="n">
        <v>81.64</v>
      </c>
      <c r="Q382" s="1" t="s">
        <v>20</v>
      </c>
      <c r="R382" s="1" t="s">
        <v>27</v>
      </c>
      <c r="S382" s="1" t="s">
        <v>28</v>
      </c>
      <c r="T382" s="1" t="s">
        <v>29</v>
      </c>
    </row>
    <row r="383" customFormat="false" ht="18.7" hidden="false" customHeight="true" outlineLevel="0" collapsed="false">
      <c r="A383" s="1" t="n">
        <v>382</v>
      </c>
      <c r="B383" s="6" t="str">
        <f aca="false">HYPERLINK("https://mncourtfraud.com/file/MCRO_27-CR-19-12466_Petition to Proceed as ProSe Counsel_2020-09-09_20240430091840.pdf","MCRO_27-CR-19-12466_Petition to Proceed as ProSe Counsel_2020-09-09_20240430091840.pdf")</f>
        <v>MCRO_27-CR-19-12466_Petition to Proceed as ProSe Counsel_2020-09-09_20240430091840.pdf</v>
      </c>
      <c r="C383" s="1" t="n">
        <v>4</v>
      </c>
      <c r="D383" s="1" t="n">
        <v>1</v>
      </c>
      <c r="E383" s="1" t="n">
        <v>1</v>
      </c>
      <c r="F383" s="3" t="s">
        <v>20</v>
      </c>
      <c r="G383" s="3" t="s">
        <v>1664</v>
      </c>
      <c r="H383" s="1" t="s">
        <v>22</v>
      </c>
      <c r="I383" s="1" t="n">
        <v>20240430091840</v>
      </c>
      <c r="J383" s="3" t="s">
        <v>1665</v>
      </c>
      <c r="K383" s="3" t="s">
        <v>1666</v>
      </c>
      <c r="L383" s="3" t="s">
        <v>1667</v>
      </c>
      <c r="M383" s="3" t="n">
        <v>369189</v>
      </c>
      <c r="N383" s="3" t="s">
        <v>1668</v>
      </c>
      <c r="O383" s="1" t="n">
        <v>352803</v>
      </c>
      <c r="P383" s="1" t="n">
        <v>95.56</v>
      </c>
      <c r="Q383" s="1" t="s">
        <v>20</v>
      </c>
      <c r="R383" s="1" t="s">
        <v>27</v>
      </c>
      <c r="S383" s="1" t="s">
        <v>28</v>
      </c>
      <c r="T383" s="1" t="s">
        <v>29</v>
      </c>
    </row>
    <row r="384" customFormat="false" ht="18.7" hidden="false" customHeight="true" outlineLevel="0" collapsed="false">
      <c r="A384" s="1" t="n">
        <v>383</v>
      </c>
      <c r="B384" s="6" t="str">
        <f aca="false">HYPERLINK("https://mncourtfraud.com/file/MCRO_27-CR-19-12466_Proposed Order or Document_2022-11-07_20240430091821.pdf","MCRO_27-CR-19-12466_Proposed Order or Document_2022-11-07_20240430091821.pdf")</f>
        <v>MCRO_27-CR-19-12466_Proposed Order or Document_2022-11-07_20240430091821.pdf</v>
      </c>
      <c r="C384" s="1" t="n">
        <v>3</v>
      </c>
      <c r="D384" s="1" t="n">
        <v>1</v>
      </c>
      <c r="E384" s="1" t="n">
        <v>1</v>
      </c>
      <c r="F384" s="3" t="s">
        <v>20</v>
      </c>
      <c r="G384" s="3" t="s">
        <v>1669</v>
      </c>
      <c r="H384" s="1" t="s">
        <v>22</v>
      </c>
      <c r="I384" s="1" t="n">
        <v>20240430091821</v>
      </c>
      <c r="J384" s="3" t="s">
        <v>1670</v>
      </c>
      <c r="K384" s="3" t="s">
        <v>1671</v>
      </c>
      <c r="L384" s="3" t="s">
        <v>1672</v>
      </c>
      <c r="M384" s="3" t="n">
        <v>178722</v>
      </c>
      <c r="N384" s="3" t="s">
        <v>1673</v>
      </c>
      <c r="O384" s="1" t="n">
        <v>162336</v>
      </c>
      <c r="P384" s="1" t="n">
        <v>90.83</v>
      </c>
      <c r="Q384" s="1" t="s">
        <v>20</v>
      </c>
      <c r="R384" s="1" t="s">
        <v>27</v>
      </c>
      <c r="S384" s="1" t="s">
        <v>28</v>
      </c>
      <c r="T384" s="1" t="s">
        <v>29</v>
      </c>
    </row>
    <row r="385" customFormat="false" ht="18.7" hidden="false" customHeight="true" outlineLevel="0" collapsed="false">
      <c r="A385" s="1" t="n">
        <v>384</v>
      </c>
      <c r="B385" s="6" t="str">
        <f aca="false">HYPERLINK("https://mncourtfraud.com/file/MCRO_27-CR-19-12466_Returned Mail_2021-07-29_20240430091832.pdf","MCRO_27-CR-19-12466_Returned Mail_2021-07-29_20240430091832.pdf")</f>
        <v>MCRO_27-CR-19-12466_Returned Mail_2021-07-29_20240430091832.pdf</v>
      </c>
      <c r="C385" s="1" t="n">
        <v>4</v>
      </c>
      <c r="D385" s="1" t="n">
        <v>1</v>
      </c>
      <c r="E385" s="1" t="n">
        <v>1</v>
      </c>
      <c r="F385" s="3" t="s">
        <v>20</v>
      </c>
      <c r="G385" s="3" t="s">
        <v>1674</v>
      </c>
      <c r="H385" s="1" t="s">
        <v>22</v>
      </c>
      <c r="I385" s="1" t="n">
        <v>20240430091832</v>
      </c>
      <c r="J385" s="3" t="s">
        <v>1675</v>
      </c>
      <c r="K385" s="3" t="s">
        <v>1676</v>
      </c>
      <c r="L385" s="3" t="s">
        <v>1677</v>
      </c>
      <c r="M385" s="3" t="n">
        <v>165136</v>
      </c>
      <c r="N385" s="3" t="s">
        <v>456</v>
      </c>
      <c r="O385" s="1" t="n">
        <v>148750</v>
      </c>
      <c r="P385" s="1" t="n">
        <v>90.08</v>
      </c>
      <c r="Q385" s="1" t="s">
        <v>20</v>
      </c>
      <c r="R385" s="1" t="s">
        <v>27</v>
      </c>
      <c r="S385" s="1" t="s">
        <v>28</v>
      </c>
      <c r="T385" s="1" t="s">
        <v>29</v>
      </c>
    </row>
    <row r="386" customFormat="false" ht="18.7" hidden="false" customHeight="true" outlineLevel="0" collapsed="false">
      <c r="A386" s="1" t="n">
        <v>385</v>
      </c>
      <c r="B386" s="6" t="str">
        <f aca="false">HYPERLINK("https://mncourtfraud.com/file/MCRO_27-CR-19-12466_Returned Mail_2024-03-19_20240430091806.pdf","MCRO_27-CR-19-12466_Returned Mail_2024-03-19_20240430091806.pdf")</f>
        <v>MCRO_27-CR-19-12466_Returned Mail_2024-03-19_20240430091806.pdf</v>
      </c>
      <c r="C386" s="1" t="n">
        <v>4</v>
      </c>
      <c r="D386" s="1" t="n">
        <v>1</v>
      </c>
      <c r="E386" s="1" t="n">
        <v>1</v>
      </c>
      <c r="F386" s="3" t="s">
        <v>20</v>
      </c>
      <c r="G386" s="3" t="s">
        <v>1678</v>
      </c>
      <c r="H386" s="1" t="s">
        <v>22</v>
      </c>
      <c r="I386" s="1" t="n">
        <v>20240430091806</v>
      </c>
      <c r="J386" s="3" t="s">
        <v>1679</v>
      </c>
      <c r="K386" s="3" t="s">
        <v>1680</v>
      </c>
      <c r="L386" s="3" t="s">
        <v>1681</v>
      </c>
      <c r="M386" s="3" t="n">
        <v>88415</v>
      </c>
      <c r="N386" s="3" t="s">
        <v>435</v>
      </c>
      <c r="O386" s="1" t="n">
        <v>72029</v>
      </c>
      <c r="P386" s="1" t="n">
        <v>81.47</v>
      </c>
      <c r="Q386" s="1" t="s">
        <v>20</v>
      </c>
      <c r="R386" s="1" t="s">
        <v>27</v>
      </c>
      <c r="S386" s="1" t="s">
        <v>28</v>
      </c>
      <c r="T386" s="1" t="s">
        <v>29</v>
      </c>
    </row>
    <row r="387" customFormat="false" ht="18.7" hidden="false" customHeight="true" outlineLevel="0" collapsed="false">
      <c r="A387" s="1" t="n">
        <v>386</v>
      </c>
      <c r="B387" s="6" t="str">
        <f aca="false">HYPERLINK("https://mncourtfraud.com/file/MCRO_27-CR-19-12466_Witness List_2020-05-28_20240430091844.pdf","MCRO_27-CR-19-12466_Witness List_2020-05-28_20240430091844.pdf")</f>
        <v>MCRO_27-CR-19-12466_Witness List_2020-05-28_20240430091844.pdf</v>
      </c>
      <c r="C387" s="1" t="n">
        <v>3</v>
      </c>
      <c r="D387" s="1" t="n">
        <v>1</v>
      </c>
      <c r="E387" s="1" t="n">
        <v>1</v>
      </c>
      <c r="F387" s="3" t="s">
        <v>20</v>
      </c>
      <c r="G387" s="3" t="s">
        <v>1682</v>
      </c>
      <c r="H387" s="1" t="s">
        <v>22</v>
      </c>
      <c r="I387" s="1" t="n">
        <v>20240430091844</v>
      </c>
      <c r="J387" s="3" t="s">
        <v>1683</v>
      </c>
      <c r="K387" s="3" t="s">
        <v>1684</v>
      </c>
      <c r="L387" s="3" t="s">
        <v>1685</v>
      </c>
      <c r="M387" s="3" t="n">
        <v>140862</v>
      </c>
      <c r="N387" s="3" t="s">
        <v>660</v>
      </c>
      <c r="O387" s="1" t="n">
        <v>124476</v>
      </c>
      <c r="P387" s="1" t="n">
        <v>88.37</v>
      </c>
      <c r="Q387" s="1" t="s">
        <v>20</v>
      </c>
      <c r="R387" s="1" t="s">
        <v>27</v>
      </c>
      <c r="S387" s="1" t="s">
        <v>28</v>
      </c>
      <c r="T387" s="1" t="s">
        <v>29</v>
      </c>
    </row>
    <row r="388" customFormat="false" ht="18.7" hidden="false" customHeight="true" outlineLevel="0" collapsed="false">
      <c r="A388" s="1" t="n">
        <v>387</v>
      </c>
      <c r="B388" s="6" t="str">
        <f aca="false">HYPERLINK("https://mncourtfraud.com/file/MCRO_27-CR-19-12466_Witness List_2021-04-29_20240430091835.pdf","MCRO_27-CR-19-12466_Witness List_2021-04-29_20240430091835.pdf")</f>
        <v>MCRO_27-CR-19-12466_Witness List_2021-04-29_20240430091835.pdf</v>
      </c>
      <c r="C388" s="1" t="n">
        <v>3</v>
      </c>
      <c r="D388" s="1" t="n">
        <v>1</v>
      </c>
      <c r="E388" s="1" t="n">
        <v>1</v>
      </c>
      <c r="F388" s="3" t="s">
        <v>20</v>
      </c>
      <c r="G388" s="3" t="s">
        <v>1686</v>
      </c>
      <c r="H388" s="1" t="s">
        <v>22</v>
      </c>
      <c r="I388" s="1" t="n">
        <v>20240430091835</v>
      </c>
      <c r="J388" s="3" t="s">
        <v>1687</v>
      </c>
      <c r="K388" s="3" t="s">
        <v>1688</v>
      </c>
      <c r="L388" s="3" t="s">
        <v>1689</v>
      </c>
      <c r="M388" s="3" t="n">
        <v>142074</v>
      </c>
      <c r="N388" s="3" t="s">
        <v>1690</v>
      </c>
      <c r="O388" s="1" t="n">
        <v>125688</v>
      </c>
      <c r="P388" s="1" t="n">
        <v>88.47</v>
      </c>
      <c r="Q388" s="1" t="s">
        <v>20</v>
      </c>
      <c r="R388" s="1" t="s">
        <v>27</v>
      </c>
      <c r="S388" s="1" t="s">
        <v>28</v>
      </c>
      <c r="T388" s="1" t="s">
        <v>29</v>
      </c>
    </row>
    <row r="389" customFormat="false" ht="18.7" hidden="false" customHeight="true" outlineLevel="0" collapsed="false">
      <c r="A389" s="1" t="n">
        <v>388</v>
      </c>
      <c r="B389" s="6" t="str">
        <f aca="false">HYPERLINK("https://mncourtfraud.com/file/MCRO_27-CR-19-17539_Amended Order_2019-10-04_20240430092001.pdf","MCRO_27-CR-19-17539_Amended Order_2019-10-04_20240430092001.pdf")</f>
        <v>MCRO_27-CR-19-17539_Amended Order_2019-10-04_20240430092001.pdf</v>
      </c>
      <c r="C389" s="1" t="n">
        <v>4</v>
      </c>
      <c r="D389" s="1" t="n">
        <v>1</v>
      </c>
      <c r="E389" s="1" t="n">
        <v>1</v>
      </c>
      <c r="F389" s="3" t="s">
        <v>20</v>
      </c>
      <c r="G389" s="3" t="s">
        <v>1691</v>
      </c>
      <c r="H389" s="1" t="s">
        <v>22</v>
      </c>
      <c r="I389" s="1" t="n">
        <v>20240430092001</v>
      </c>
      <c r="J389" s="3" t="s">
        <v>1692</v>
      </c>
      <c r="K389" s="3" t="s">
        <v>1693</v>
      </c>
      <c r="L389" s="3" t="s">
        <v>1694</v>
      </c>
      <c r="M389" s="3" t="n">
        <v>91714</v>
      </c>
      <c r="N389" s="3" t="s">
        <v>137</v>
      </c>
      <c r="O389" s="1" t="n">
        <v>75328</v>
      </c>
      <c r="P389" s="1" t="n">
        <v>82.13</v>
      </c>
      <c r="Q389" s="1" t="s">
        <v>20</v>
      </c>
      <c r="R389" s="1" t="s">
        <v>27</v>
      </c>
      <c r="S389" s="1" t="s">
        <v>28</v>
      </c>
      <c r="T389" s="1" t="s">
        <v>29</v>
      </c>
    </row>
    <row r="390" customFormat="false" ht="18.7" hidden="false" customHeight="true" outlineLevel="0" collapsed="false">
      <c r="A390" s="1" t="n">
        <v>389</v>
      </c>
      <c r="B390" s="6" t="str">
        <f aca="false">HYPERLINK("https://mncourtfraud.com/file/MCRO_27-CR-19-17539_Correspondence for Judicial Approval_2020-06-04_20240430091958.pdf","MCRO_27-CR-19-17539_Correspondence for Judicial Approval_2020-06-04_20240430091958.pdf")</f>
        <v>MCRO_27-CR-19-17539_Correspondence for Judicial Approval_2020-06-04_20240430091958.pdf</v>
      </c>
      <c r="C390" s="1" t="n">
        <v>4</v>
      </c>
      <c r="D390" s="1" t="n">
        <v>1</v>
      </c>
      <c r="E390" s="1" t="n">
        <v>1</v>
      </c>
      <c r="F390" s="3" t="s">
        <v>20</v>
      </c>
      <c r="G390" s="3" t="s">
        <v>1695</v>
      </c>
      <c r="H390" s="1" t="s">
        <v>22</v>
      </c>
      <c r="I390" s="1" t="n">
        <v>20240430091958</v>
      </c>
      <c r="J390" s="3" t="s">
        <v>1696</v>
      </c>
      <c r="K390" s="3" t="s">
        <v>1697</v>
      </c>
      <c r="L390" s="3" t="s">
        <v>1698</v>
      </c>
      <c r="M390" s="3" t="n">
        <v>308470</v>
      </c>
      <c r="N390" s="3" t="s">
        <v>366</v>
      </c>
      <c r="O390" s="1" t="n">
        <v>292084</v>
      </c>
      <c r="P390" s="1" t="n">
        <v>94.69</v>
      </c>
      <c r="Q390" s="1" t="s">
        <v>20</v>
      </c>
      <c r="R390" s="1" t="s">
        <v>27</v>
      </c>
      <c r="S390" s="1" t="s">
        <v>28</v>
      </c>
      <c r="T390" s="1" t="s">
        <v>29</v>
      </c>
    </row>
    <row r="391" customFormat="false" ht="18.7" hidden="false" customHeight="true" outlineLevel="0" collapsed="false">
      <c r="A391" s="1" t="n">
        <v>390</v>
      </c>
      <c r="B391" s="6" t="str">
        <f aca="false">HYPERLINK("https://mncourtfraud.com/file/MCRO_27-CR-19-17539_Correspondence for Judicial Approval_2022-07-14_20240430091942.pdf","MCRO_27-CR-19-17539_Correspondence for Judicial Approval_2022-07-14_20240430091942.pdf")</f>
        <v>MCRO_27-CR-19-17539_Correspondence for Judicial Approval_2022-07-14_20240430091942.pdf</v>
      </c>
      <c r="C391" s="1" t="n">
        <v>3</v>
      </c>
      <c r="D391" s="1" t="n">
        <v>1</v>
      </c>
      <c r="E391" s="1" t="n">
        <v>1</v>
      </c>
      <c r="F391" s="3" t="s">
        <v>20</v>
      </c>
      <c r="G391" s="3" t="s">
        <v>1699</v>
      </c>
      <c r="H391" s="1" t="s">
        <v>22</v>
      </c>
      <c r="I391" s="1" t="n">
        <v>20240430091942</v>
      </c>
      <c r="J391" s="3" t="s">
        <v>1700</v>
      </c>
      <c r="K391" s="3" t="s">
        <v>1701</v>
      </c>
      <c r="L391" s="3" t="s">
        <v>1702</v>
      </c>
      <c r="M391" s="3" t="n">
        <v>193499</v>
      </c>
      <c r="N391" s="3" t="s">
        <v>371</v>
      </c>
      <c r="O391" s="1" t="n">
        <v>177113</v>
      </c>
      <c r="P391" s="1" t="n">
        <v>91.53</v>
      </c>
      <c r="Q391" s="1" t="s">
        <v>20</v>
      </c>
      <c r="R391" s="1" t="s">
        <v>27</v>
      </c>
      <c r="S391" s="1" t="s">
        <v>28</v>
      </c>
      <c r="T391" s="1" t="s">
        <v>29</v>
      </c>
    </row>
    <row r="392" customFormat="false" ht="18.7" hidden="false" customHeight="true" outlineLevel="0" collapsed="false">
      <c r="A392" s="1" t="n">
        <v>391</v>
      </c>
      <c r="B392" s="6" t="str">
        <f aca="false">HYPERLINK("https://mncourtfraud.com/file/MCRO_27-CR-19-17539_E-filed Comp-Summons_2019-07-23_20240430092005.pdf","MCRO_27-CR-19-17539_E-filed Comp-Summons_2019-07-23_20240430092005.pdf")</f>
        <v>MCRO_27-CR-19-17539_E-filed Comp-Summons_2019-07-23_20240430092005.pdf</v>
      </c>
      <c r="C392" s="1" t="n">
        <v>4</v>
      </c>
      <c r="D392" s="1" t="n">
        <v>2</v>
      </c>
      <c r="E392" s="1" t="n">
        <v>2</v>
      </c>
      <c r="F392" s="3" t="s">
        <v>20</v>
      </c>
      <c r="G392" s="3" t="s">
        <v>1703</v>
      </c>
      <c r="H392" s="1" t="s">
        <v>22</v>
      </c>
      <c r="I392" s="1" t="n">
        <v>20240430092005</v>
      </c>
      <c r="J392" s="3" t="s">
        <v>1704</v>
      </c>
      <c r="K392" s="3" t="s">
        <v>1705</v>
      </c>
      <c r="L392" s="3" t="s">
        <v>1706</v>
      </c>
      <c r="M392" s="3" t="n">
        <v>475882</v>
      </c>
      <c r="N392" s="3" t="s">
        <v>1707</v>
      </c>
      <c r="O392" s="1" t="n">
        <v>459496</v>
      </c>
      <c r="P392" s="1" t="n">
        <v>96.56</v>
      </c>
      <c r="Q392" s="1" t="s">
        <v>20</v>
      </c>
      <c r="R392" s="1" t="s">
        <v>27</v>
      </c>
      <c r="S392" s="1" t="s">
        <v>28</v>
      </c>
      <c r="T392" s="1" t="s">
        <v>29</v>
      </c>
    </row>
    <row r="393" customFormat="false" ht="18.7" hidden="false" customHeight="true" outlineLevel="0" collapsed="false">
      <c r="A393" s="1" t="n">
        <v>392</v>
      </c>
      <c r="B393" s="6" t="str">
        <f aca="false">HYPERLINK("https://mncourtfraud.com/file/MCRO_27-CR-19-17539_Finding of Incompetency and Order_2023-06-06_20240430091932.pdf","MCRO_27-CR-19-17539_Finding of Incompetency and Order_2023-06-06_20240430091932.pdf")</f>
        <v>MCRO_27-CR-19-17539_Finding of Incompetency and Order_2023-06-06_20240430091932.pdf</v>
      </c>
      <c r="C393" s="1" t="n">
        <v>9</v>
      </c>
      <c r="D393" s="1" t="n">
        <v>3</v>
      </c>
      <c r="E393" s="1" t="n">
        <v>3</v>
      </c>
      <c r="F393" s="3" t="s">
        <v>27</v>
      </c>
      <c r="G393" s="3" t="s">
        <v>1708</v>
      </c>
      <c r="H393" s="1" t="s">
        <v>22</v>
      </c>
      <c r="I393" s="1" t="n">
        <v>20240430091932</v>
      </c>
      <c r="J393" s="3" t="s">
        <v>1709</v>
      </c>
      <c r="K393" s="3" t="s">
        <v>1710</v>
      </c>
      <c r="L393" s="3" t="s">
        <v>1711</v>
      </c>
      <c r="M393" s="3" t="n">
        <v>963637</v>
      </c>
      <c r="N393" s="3" t="s">
        <v>385</v>
      </c>
      <c r="O393" s="1" t="n">
        <v>947251</v>
      </c>
      <c r="P393" s="1" t="n">
        <v>98.3</v>
      </c>
      <c r="Q393" s="1" t="s">
        <v>20</v>
      </c>
      <c r="R393" s="1" t="s">
        <v>27</v>
      </c>
      <c r="S393" s="1" t="s">
        <v>28</v>
      </c>
      <c r="T393" s="1" t="s">
        <v>29</v>
      </c>
    </row>
    <row r="394" customFormat="false" ht="18.7" hidden="false" customHeight="true" outlineLevel="0" collapsed="false">
      <c r="A394" s="1" t="n">
        <v>393</v>
      </c>
      <c r="B394" s="6" t="str">
        <f aca="false">HYPERLINK("https://mncourtfraud.com/file/MCRO_27-CR-19-17539_Finding of Incompetency and Order_2024-03-20_20240430091924.pdf","MCRO_27-CR-19-17539_Finding of Incompetency and Order_2024-03-20_20240430091924.pdf")</f>
        <v>MCRO_27-CR-19-17539_Finding of Incompetency and Order_2024-03-20_20240430091924.pdf</v>
      </c>
      <c r="C394" s="1" t="n">
        <v>9</v>
      </c>
      <c r="D394" s="1" t="n">
        <v>3</v>
      </c>
      <c r="E394" s="1" t="n">
        <v>3</v>
      </c>
      <c r="F394" s="3" t="s">
        <v>20</v>
      </c>
      <c r="G394" s="3" t="s">
        <v>1712</v>
      </c>
      <c r="H394" s="1" t="s">
        <v>22</v>
      </c>
      <c r="I394" s="1" t="n">
        <v>20240430091924</v>
      </c>
      <c r="J394" s="3" t="s">
        <v>1713</v>
      </c>
      <c r="K394" s="3" t="s">
        <v>1714</v>
      </c>
      <c r="L394" s="3" t="s">
        <v>1715</v>
      </c>
      <c r="M394" s="3" t="n">
        <v>959867</v>
      </c>
      <c r="N394" s="3" t="s">
        <v>390</v>
      </c>
      <c r="O394" s="1" t="n">
        <v>943481</v>
      </c>
      <c r="P394" s="1" t="n">
        <v>98.29</v>
      </c>
      <c r="Q394" s="1" t="s">
        <v>20</v>
      </c>
      <c r="R394" s="1" t="s">
        <v>27</v>
      </c>
      <c r="S394" s="1" t="s">
        <v>28</v>
      </c>
      <c r="T394" s="1" t="s">
        <v>29</v>
      </c>
    </row>
    <row r="395" customFormat="false" ht="18.7" hidden="false" customHeight="true" outlineLevel="0" collapsed="false">
      <c r="A395" s="1" t="n">
        <v>394</v>
      </c>
      <c r="B395" s="6" t="str">
        <f aca="false">HYPERLINK("https://mncourtfraud.com/file/MCRO_27-CR-19-17539_Find of Fact-Order, Pet Commitment-Dfd Found Incompetent_2019-08-27_20240430092003.pdf","MCRO_27-CR-19-17539_Find of Fact-Order, Pet Commitment-Dfd Found Incompetent_2019-08-27_20240430092003.pdf")</f>
        <v>MCRO_27-CR-19-17539_Find of Fact-Order, Pet Commitment-Dfd Found Incompetent_2019-08-27_20240430092003.pdf</v>
      </c>
      <c r="C395" s="1" t="n">
        <v>4</v>
      </c>
      <c r="D395" s="1" t="n">
        <v>2</v>
      </c>
      <c r="E395" s="1" t="n">
        <v>2</v>
      </c>
      <c r="F395" s="3" t="s">
        <v>20</v>
      </c>
      <c r="G395" s="3" t="s">
        <v>1716</v>
      </c>
      <c r="H395" s="1" t="s">
        <v>22</v>
      </c>
      <c r="I395" s="1" t="n">
        <v>20240430092003</v>
      </c>
      <c r="J395" s="3" t="s">
        <v>1717</v>
      </c>
      <c r="K395" s="3" t="s">
        <v>1718</v>
      </c>
      <c r="L395" s="3" t="s">
        <v>1719</v>
      </c>
      <c r="M395" s="3" t="n">
        <v>302465</v>
      </c>
      <c r="N395" s="3" t="s">
        <v>400</v>
      </c>
      <c r="O395" s="1" t="n">
        <v>286079</v>
      </c>
      <c r="P395" s="1" t="n">
        <v>94.58</v>
      </c>
      <c r="Q395" s="1" t="s">
        <v>20</v>
      </c>
      <c r="R395" s="1" t="s">
        <v>27</v>
      </c>
      <c r="S395" s="1" t="s">
        <v>28</v>
      </c>
      <c r="T395" s="1" t="s">
        <v>29</v>
      </c>
    </row>
    <row r="396" customFormat="false" ht="18.7" hidden="false" customHeight="true" outlineLevel="0" collapsed="false">
      <c r="A396" s="1" t="n">
        <v>395</v>
      </c>
      <c r="B396" s="6" t="str">
        <f aca="false">HYPERLINK("https://mncourtfraud.com/file/MCRO_27-CR-19-17539_Notice by Attorney or Party_2021-04-01_20240430091949.pdf","MCRO_27-CR-19-17539_Notice by Attorney or Party_2021-04-01_20240430091949.pdf")</f>
        <v>MCRO_27-CR-19-17539_Notice by Attorney or Party_2021-04-01_20240430091949.pdf</v>
      </c>
      <c r="C396" s="1" t="n">
        <v>4</v>
      </c>
      <c r="D396" s="1" t="n">
        <v>1</v>
      </c>
      <c r="E396" s="1" t="n">
        <v>1</v>
      </c>
      <c r="F396" s="3" t="s">
        <v>20</v>
      </c>
      <c r="G396" s="3" t="s">
        <v>1720</v>
      </c>
      <c r="H396" s="1" t="s">
        <v>22</v>
      </c>
      <c r="I396" s="1" t="n">
        <v>20240430091949</v>
      </c>
      <c r="J396" s="3" t="s">
        <v>1721</v>
      </c>
      <c r="K396" s="3" t="s">
        <v>1722</v>
      </c>
      <c r="L396" s="3" t="s">
        <v>417</v>
      </c>
      <c r="M396" s="3" t="n">
        <v>143452</v>
      </c>
      <c r="N396" s="3" t="s">
        <v>418</v>
      </c>
      <c r="O396" s="1" t="n">
        <v>127066</v>
      </c>
      <c r="P396" s="1" t="n">
        <v>88.58</v>
      </c>
      <c r="Q396" s="1" t="s">
        <v>20</v>
      </c>
      <c r="R396" s="1" t="s">
        <v>27</v>
      </c>
      <c r="S396" s="1" t="s">
        <v>28</v>
      </c>
      <c r="T396" s="1" t="s">
        <v>29</v>
      </c>
    </row>
    <row r="397" customFormat="false" ht="18.7" hidden="false" customHeight="true" outlineLevel="0" collapsed="false">
      <c r="A397" s="1" t="n">
        <v>396</v>
      </c>
      <c r="B397" s="6" t="str">
        <f aca="false">HYPERLINK("https://mncourtfraud.com/file/MCRO_27-CR-19-17539_Notice of Appearance_2020-02-25_20240430091959.pdf","MCRO_27-CR-19-17539_Notice of Appearance_2020-02-25_20240430091959.pdf")</f>
        <v>MCRO_27-CR-19-17539_Notice of Appearance_2020-02-25_20240430091959.pdf</v>
      </c>
      <c r="C397" s="1" t="n">
        <v>4</v>
      </c>
      <c r="D397" s="1" t="n">
        <v>1</v>
      </c>
      <c r="E397" s="1" t="n">
        <v>1</v>
      </c>
      <c r="F397" s="3" t="s">
        <v>20</v>
      </c>
      <c r="G397" s="3" t="s">
        <v>1723</v>
      </c>
      <c r="H397" s="1" t="s">
        <v>22</v>
      </c>
      <c r="I397" s="1" t="n">
        <v>20240430091959</v>
      </c>
      <c r="J397" s="3" t="s">
        <v>1724</v>
      </c>
      <c r="K397" s="3" t="s">
        <v>1725</v>
      </c>
      <c r="L397" s="3" t="s">
        <v>1726</v>
      </c>
      <c r="M397" s="3" t="n">
        <v>519445</v>
      </c>
      <c r="N397" s="3" t="s">
        <v>137</v>
      </c>
      <c r="O397" s="1" t="n">
        <v>503059</v>
      </c>
      <c r="P397" s="1" t="n">
        <v>96.85</v>
      </c>
      <c r="Q397" s="1" t="s">
        <v>20</v>
      </c>
      <c r="R397" s="1" t="s">
        <v>27</v>
      </c>
      <c r="S397" s="1" t="s">
        <v>28</v>
      </c>
      <c r="T397" s="1" t="s">
        <v>29</v>
      </c>
    </row>
    <row r="398" customFormat="false" ht="18.7" hidden="false" customHeight="true" outlineLevel="0" collapsed="false">
      <c r="A398" s="1" t="n">
        <v>397</v>
      </c>
      <c r="B398" s="6" t="str">
        <f aca="false">HYPERLINK("https://mncourtfraud.com/file/MCRO_27-CR-19-17539_Notice of Hearing_2020-09-02_20240430091955.pdf","MCRO_27-CR-19-17539_Notice of Hearing_2020-09-02_20240430091955.pdf")</f>
        <v>MCRO_27-CR-19-17539_Notice of Hearing_2020-09-02_20240430091955.pdf</v>
      </c>
      <c r="C398" s="1" t="n">
        <v>4</v>
      </c>
      <c r="D398" s="1" t="n">
        <v>1</v>
      </c>
      <c r="E398" s="1" t="n">
        <v>1</v>
      </c>
      <c r="F398" s="3" t="s">
        <v>20</v>
      </c>
      <c r="G398" s="3" t="s">
        <v>1727</v>
      </c>
      <c r="H398" s="1" t="s">
        <v>22</v>
      </c>
      <c r="I398" s="1" t="n">
        <v>20240430091955</v>
      </c>
      <c r="J398" s="3" t="s">
        <v>1728</v>
      </c>
      <c r="K398" s="3" t="s">
        <v>1729</v>
      </c>
      <c r="L398" s="3" t="s">
        <v>1730</v>
      </c>
      <c r="M398" s="3" t="n">
        <v>99829</v>
      </c>
      <c r="N398" s="3" t="s">
        <v>137</v>
      </c>
      <c r="O398" s="1" t="n">
        <v>83443</v>
      </c>
      <c r="P398" s="1" t="n">
        <v>83.59</v>
      </c>
      <c r="Q398" s="1" t="s">
        <v>20</v>
      </c>
      <c r="R398" s="1" t="s">
        <v>27</v>
      </c>
      <c r="S398" s="1" t="s">
        <v>28</v>
      </c>
      <c r="T398" s="1" t="s">
        <v>29</v>
      </c>
    </row>
    <row r="399" customFormat="false" ht="18.7" hidden="false" customHeight="true" outlineLevel="0" collapsed="false">
      <c r="A399" s="1" t="n">
        <v>398</v>
      </c>
      <c r="B399" s="6" t="str">
        <f aca="false">HYPERLINK("https://mncourtfraud.com/file/MCRO_27-CR-19-17539_Notice of Hearing_2020-09-23_20240430091954.pdf","MCRO_27-CR-19-17539_Notice of Hearing_2020-09-23_20240430091954.pdf")</f>
        <v>MCRO_27-CR-19-17539_Notice of Hearing_2020-09-23_20240430091954.pdf</v>
      </c>
      <c r="C399" s="1" t="n">
        <v>4</v>
      </c>
      <c r="D399" s="1" t="n">
        <v>1</v>
      </c>
      <c r="E399" s="1" t="n">
        <v>1</v>
      </c>
      <c r="F399" s="3" t="s">
        <v>20</v>
      </c>
      <c r="G399" s="3" t="s">
        <v>1731</v>
      </c>
      <c r="H399" s="1" t="s">
        <v>22</v>
      </c>
      <c r="I399" s="1" t="n">
        <v>20240430091954</v>
      </c>
      <c r="J399" s="3" t="s">
        <v>1732</v>
      </c>
      <c r="K399" s="3" t="s">
        <v>1733</v>
      </c>
      <c r="L399" s="3" t="s">
        <v>1734</v>
      </c>
      <c r="M399" s="3" t="n">
        <v>89590</v>
      </c>
      <c r="N399" s="3" t="s">
        <v>137</v>
      </c>
      <c r="O399" s="1" t="n">
        <v>73204</v>
      </c>
      <c r="P399" s="1" t="n">
        <v>81.71</v>
      </c>
      <c r="Q399" s="1" t="s">
        <v>20</v>
      </c>
      <c r="R399" s="1" t="s">
        <v>27</v>
      </c>
      <c r="S399" s="1" t="s">
        <v>28</v>
      </c>
      <c r="T399" s="1" t="s">
        <v>29</v>
      </c>
    </row>
    <row r="400" customFormat="false" ht="18.7" hidden="false" customHeight="true" outlineLevel="0" collapsed="false">
      <c r="A400" s="1" t="n">
        <v>399</v>
      </c>
      <c r="B400" s="6" t="str">
        <f aca="false">HYPERLINK("https://mncourtfraud.com/file/MCRO_27-CR-19-17539_Notice of Hearing_2020-10-27_20240430091953.pdf","MCRO_27-CR-19-17539_Notice of Hearing_2020-10-27_20240430091953.pdf")</f>
        <v>MCRO_27-CR-19-17539_Notice of Hearing_2020-10-27_20240430091953.pdf</v>
      </c>
      <c r="C400" s="1" t="n">
        <v>4</v>
      </c>
      <c r="D400" s="1" t="n">
        <v>1</v>
      </c>
      <c r="E400" s="1" t="n">
        <v>1</v>
      </c>
      <c r="F400" s="3" t="s">
        <v>20</v>
      </c>
      <c r="G400" s="3" t="s">
        <v>1735</v>
      </c>
      <c r="H400" s="1" t="s">
        <v>22</v>
      </c>
      <c r="I400" s="1" t="n">
        <v>20240430091953</v>
      </c>
      <c r="J400" s="3" t="s">
        <v>1736</v>
      </c>
      <c r="K400" s="3" t="s">
        <v>1737</v>
      </c>
      <c r="L400" s="3" t="s">
        <v>1738</v>
      </c>
      <c r="M400" s="3" t="n">
        <v>89775</v>
      </c>
      <c r="N400" s="3" t="s">
        <v>137</v>
      </c>
      <c r="O400" s="1" t="n">
        <v>73389</v>
      </c>
      <c r="P400" s="1" t="n">
        <v>81.75</v>
      </c>
      <c r="Q400" s="1" t="s">
        <v>20</v>
      </c>
      <c r="R400" s="1" t="s">
        <v>27</v>
      </c>
      <c r="S400" s="1" t="s">
        <v>28</v>
      </c>
      <c r="T400" s="1" t="s">
        <v>29</v>
      </c>
    </row>
    <row r="401" customFormat="false" ht="18.7" hidden="false" customHeight="true" outlineLevel="0" collapsed="false">
      <c r="A401" s="1" t="n">
        <v>400</v>
      </c>
      <c r="B401" s="6" t="str">
        <f aca="false">HYPERLINK("https://mncourtfraud.com/file/MCRO_27-CR-19-17539_Notice of Hearing_2020-11-17_20240430091951.pdf","MCRO_27-CR-19-17539_Notice of Hearing_2020-11-17_20240430091951.pdf")</f>
        <v>MCRO_27-CR-19-17539_Notice of Hearing_2020-11-17_20240430091951.pdf</v>
      </c>
      <c r="C401" s="1" t="n">
        <v>4</v>
      </c>
      <c r="D401" s="1" t="n">
        <v>1</v>
      </c>
      <c r="E401" s="1" t="n">
        <v>1</v>
      </c>
      <c r="F401" s="3" t="s">
        <v>20</v>
      </c>
      <c r="G401" s="3" t="s">
        <v>1739</v>
      </c>
      <c r="H401" s="1" t="s">
        <v>22</v>
      </c>
      <c r="I401" s="1" t="n">
        <v>20240430091951</v>
      </c>
      <c r="J401" s="3" t="s">
        <v>1740</v>
      </c>
      <c r="K401" s="3" t="s">
        <v>1741</v>
      </c>
      <c r="L401" s="3" t="s">
        <v>1742</v>
      </c>
      <c r="M401" s="3" t="n">
        <v>92114</v>
      </c>
      <c r="N401" s="3" t="s">
        <v>456</v>
      </c>
      <c r="O401" s="1" t="n">
        <v>75728</v>
      </c>
      <c r="P401" s="1" t="n">
        <v>82.21</v>
      </c>
      <c r="Q401" s="1" t="s">
        <v>20</v>
      </c>
      <c r="R401" s="1" t="s">
        <v>27</v>
      </c>
      <c r="S401" s="1" t="s">
        <v>28</v>
      </c>
      <c r="T401" s="1" t="s">
        <v>29</v>
      </c>
    </row>
    <row r="402" customFormat="false" ht="18.7" hidden="false" customHeight="true" outlineLevel="0" collapsed="false">
      <c r="A402" s="1" t="n">
        <v>401</v>
      </c>
      <c r="B402" s="6" t="str">
        <f aca="false">HYPERLINK("https://mncourtfraud.com/file/MCRO_27-CR-19-17539_Notice of Hearing_2021-01-13_20240430091950.pdf","MCRO_27-CR-19-17539_Notice of Hearing_2021-01-13_20240430091950.pdf")</f>
        <v>MCRO_27-CR-19-17539_Notice of Hearing_2021-01-13_20240430091950.pdf</v>
      </c>
      <c r="C402" s="1" t="n">
        <v>4</v>
      </c>
      <c r="D402" s="1" t="n">
        <v>1</v>
      </c>
      <c r="E402" s="1" t="n">
        <v>1</v>
      </c>
      <c r="F402" s="3" t="s">
        <v>20</v>
      </c>
      <c r="G402" s="3" t="s">
        <v>1743</v>
      </c>
      <c r="H402" s="1" t="s">
        <v>22</v>
      </c>
      <c r="I402" s="1" t="n">
        <v>20240430091950</v>
      </c>
      <c r="J402" s="3" t="s">
        <v>1744</v>
      </c>
      <c r="K402" s="3" t="s">
        <v>1745</v>
      </c>
      <c r="L402" s="3" t="s">
        <v>458</v>
      </c>
      <c r="M402" s="3" t="n">
        <v>96982</v>
      </c>
      <c r="N402" s="3" t="s">
        <v>456</v>
      </c>
      <c r="O402" s="1" t="n">
        <v>80596</v>
      </c>
      <c r="P402" s="1" t="n">
        <v>83.1</v>
      </c>
      <c r="Q402" s="1" t="s">
        <v>20</v>
      </c>
      <c r="R402" s="1" t="s">
        <v>27</v>
      </c>
      <c r="S402" s="1" t="s">
        <v>28</v>
      </c>
      <c r="T402" s="1" t="s">
        <v>29</v>
      </c>
    </row>
    <row r="403" customFormat="false" ht="18.7" hidden="false" customHeight="true" outlineLevel="0" collapsed="false">
      <c r="A403" s="1" t="n">
        <v>402</v>
      </c>
      <c r="B403" s="6" t="str">
        <f aca="false">HYPERLINK("https://mncourtfraud.com/file/MCRO_27-CR-19-17539_Notice of Hearing_2021-07-14_20240430091946.pdf","MCRO_27-CR-19-17539_Notice of Hearing_2021-07-14_20240430091946.pdf")</f>
        <v>MCRO_27-CR-19-17539_Notice of Hearing_2021-07-14_20240430091946.pdf</v>
      </c>
      <c r="C403" s="1" t="n">
        <v>4</v>
      </c>
      <c r="D403" s="1" t="n">
        <v>1</v>
      </c>
      <c r="E403" s="1" t="n">
        <v>1</v>
      </c>
      <c r="F403" s="3" t="s">
        <v>20</v>
      </c>
      <c r="G403" s="3" t="s">
        <v>1746</v>
      </c>
      <c r="H403" s="1" t="s">
        <v>22</v>
      </c>
      <c r="I403" s="1" t="n">
        <v>20240430091946</v>
      </c>
      <c r="J403" s="3" t="s">
        <v>1747</v>
      </c>
      <c r="K403" s="3" t="s">
        <v>1748</v>
      </c>
      <c r="L403" s="3" t="s">
        <v>1749</v>
      </c>
      <c r="M403" s="3" t="n">
        <v>98420</v>
      </c>
      <c r="N403" s="3" t="s">
        <v>456</v>
      </c>
      <c r="O403" s="1" t="n">
        <v>82034</v>
      </c>
      <c r="P403" s="1" t="n">
        <v>83.35</v>
      </c>
      <c r="Q403" s="1" t="s">
        <v>20</v>
      </c>
      <c r="R403" s="1" t="s">
        <v>27</v>
      </c>
      <c r="S403" s="1" t="s">
        <v>28</v>
      </c>
      <c r="T403" s="1" t="s">
        <v>29</v>
      </c>
    </row>
    <row r="404" customFormat="false" ht="18.7" hidden="false" customHeight="true" outlineLevel="0" collapsed="false">
      <c r="A404" s="1" t="n">
        <v>403</v>
      </c>
      <c r="B404" s="6" t="str">
        <f aca="false">HYPERLINK("https://mncourtfraud.com/file/MCRO_27-CR-19-17539_Notice of Hearing_2022-08-29_20240430091940.pdf","MCRO_27-CR-19-17539_Notice of Hearing_2022-08-29_20240430091940.pdf")</f>
        <v>MCRO_27-CR-19-17539_Notice of Hearing_2022-08-29_20240430091940.pdf</v>
      </c>
      <c r="C404" s="1" t="n">
        <v>5</v>
      </c>
      <c r="D404" s="1" t="n">
        <v>1</v>
      </c>
      <c r="E404" s="1" t="n">
        <v>1</v>
      </c>
      <c r="F404" s="3" t="s">
        <v>20</v>
      </c>
      <c r="G404" s="3" t="s">
        <v>1750</v>
      </c>
      <c r="H404" s="1" t="s">
        <v>22</v>
      </c>
      <c r="I404" s="1" t="n">
        <v>20240430091940</v>
      </c>
      <c r="J404" s="3" t="s">
        <v>1751</v>
      </c>
      <c r="K404" s="3" t="s">
        <v>1752</v>
      </c>
      <c r="L404" s="3" t="s">
        <v>1753</v>
      </c>
      <c r="M404" s="3" t="n">
        <v>191506</v>
      </c>
      <c r="N404" s="3" t="s">
        <v>467</v>
      </c>
      <c r="O404" s="1" t="n">
        <v>175120</v>
      </c>
      <c r="P404" s="1" t="n">
        <v>91.44</v>
      </c>
      <c r="Q404" s="1" t="s">
        <v>20</v>
      </c>
      <c r="R404" s="1" t="s">
        <v>27</v>
      </c>
      <c r="S404" s="1" t="s">
        <v>28</v>
      </c>
      <c r="T404" s="1" t="s">
        <v>29</v>
      </c>
    </row>
    <row r="405" customFormat="false" ht="18.7" hidden="false" customHeight="true" outlineLevel="0" collapsed="false">
      <c r="A405" s="1" t="n">
        <v>404</v>
      </c>
      <c r="B405" s="6" t="str">
        <f aca="false">HYPERLINK("https://mncourtfraud.com/file/MCRO_27-CR-19-17539_Notice of Hearing_2022-09-15_20240430091939.pdf","MCRO_27-CR-19-17539_Notice of Hearing_2022-09-15_20240430091939.pdf")</f>
        <v>MCRO_27-CR-19-17539_Notice of Hearing_2022-09-15_20240430091939.pdf</v>
      </c>
      <c r="C405" s="1" t="n">
        <v>5</v>
      </c>
      <c r="D405" s="1" t="n">
        <v>1</v>
      </c>
      <c r="E405" s="1" t="n">
        <v>1</v>
      </c>
      <c r="F405" s="3" t="s">
        <v>20</v>
      </c>
      <c r="G405" s="3" t="s">
        <v>1754</v>
      </c>
      <c r="H405" s="1" t="s">
        <v>22</v>
      </c>
      <c r="I405" s="1" t="n">
        <v>20240430091939</v>
      </c>
      <c r="J405" s="3" t="s">
        <v>1755</v>
      </c>
      <c r="K405" s="3" t="s">
        <v>1756</v>
      </c>
      <c r="L405" s="3" t="s">
        <v>1757</v>
      </c>
      <c r="M405" s="3" t="n">
        <v>191924</v>
      </c>
      <c r="N405" s="3" t="s">
        <v>467</v>
      </c>
      <c r="O405" s="1" t="n">
        <v>175538</v>
      </c>
      <c r="P405" s="1" t="n">
        <v>91.46</v>
      </c>
      <c r="Q405" s="1" t="s">
        <v>20</v>
      </c>
      <c r="R405" s="1" t="s">
        <v>27</v>
      </c>
      <c r="S405" s="1" t="s">
        <v>28</v>
      </c>
      <c r="T405" s="1" t="s">
        <v>29</v>
      </c>
    </row>
    <row r="406" customFormat="false" ht="18.7" hidden="false" customHeight="true" outlineLevel="0" collapsed="false">
      <c r="A406" s="1" t="n">
        <v>405</v>
      </c>
      <c r="B406" s="6" t="str">
        <f aca="false">HYPERLINK("https://mncourtfraud.com/file/MCRO_27-CR-19-17539_Notice of Hearing_2022-09-21_20240430091937.pdf","MCRO_27-CR-19-17539_Notice of Hearing_2022-09-21_20240430091937.pdf")</f>
        <v>MCRO_27-CR-19-17539_Notice of Hearing_2022-09-21_20240430091937.pdf</v>
      </c>
      <c r="C406" s="1" t="n">
        <v>5</v>
      </c>
      <c r="D406" s="1" t="n">
        <v>1</v>
      </c>
      <c r="E406" s="1" t="n">
        <v>1</v>
      </c>
      <c r="F406" s="3" t="s">
        <v>20</v>
      </c>
      <c r="G406" s="3" t="s">
        <v>1758</v>
      </c>
      <c r="H406" s="1" t="s">
        <v>22</v>
      </c>
      <c r="I406" s="1" t="n">
        <v>20240430091937</v>
      </c>
      <c r="J406" s="3" t="s">
        <v>1759</v>
      </c>
      <c r="K406" s="3" t="s">
        <v>1760</v>
      </c>
      <c r="L406" s="3" t="s">
        <v>1761</v>
      </c>
      <c r="M406" s="3" t="n">
        <v>191649</v>
      </c>
      <c r="N406" s="3" t="s">
        <v>476</v>
      </c>
      <c r="O406" s="1" t="n">
        <v>175263</v>
      </c>
      <c r="P406" s="1" t="n">
        <v>91.45</v>
      </c>
      <c r="Q406" s="1" t="s">
        <v>20</v>
      </c>
      <c r="R406" s="1" t="s">
        <v>27</v>
      </c>
      <c r="S406" s="1" t="s">
        <v>28</v>
      </c>
      <c r="T406" s="1" t="s">
        <v>29</v>
      </c>
    </row>
    <row r="407" customFormat="false" ht="18.7" hidden="false" customHeight="true" outlineLevel="0" collapsed="false">
      <c r="A407" s="1" t="n">
        <v>406</v>
      </c>
      <c r="B407" s="6" t="str">
        <f aca="false">HYPERLINK("https://mncourtfraud.com/file/MCRO_27-CR-19-17539_Notice of Remote Hearing with Instructions_2022-01-10_20240430091945.pdf","MCRO_27-CR-19-17539_Notice of Remote Hearing with Instructions_2022-01-10_20240430091945.pdf")</f>
        <v>MCRO_27-CR-19-17539_Notice of Remote Hearing with Instructions_2022-01-10_20240430091945.pdf</v>
      </c>
      <c r="C407" s="1" t="n">
        <v>5</v>
      </c>
      <c r="D407" s="1" t="n">
        <v>1</v>
      </c>
      <c r="E407" s="1" t="n">
        <v>1</v>
      </c>
      <c r="F407" s="3" t="s">
        <v>20</v>
      </c>
      <c r="G407" s="3" t="s">
        <v>1762</v>
      </c>
      <c r="H407" s="1" t="s">
        <v>22</v>
      </c>
      <c r="I407" s="1" t="n">
        <v>20240430091945</v>
      </c>
      <c r="J407" s="3" t="s">
        <v>1763</v>
      </c>
      <c r="K407" s="3" t="s">
        <v>1764</v>
      </c>
      <c r="L407" s="3" t="s">
        <v>1765</v>
      </c>
      <c r="M407" s="3" t="n">
        <v>311900</v>
      </c>
      <c r="N407" s="3" t="s">
        <v>491</v>
      </c>
      <c r="O407" s="1" t="n">
        <v>295514</v>
      </c>
      <c r="P407" s="1" t="n">
        <v>94.75</v>
      </c>
      <c r="Q407" s="1" t="s">
        <v>20</v>
      </c>
      <c r="R407" s="1" t="s">
        <v>27</v>
      </c>
      <c r="S407" s="1" t="s">
        <v>28</v>
      </c>
      <c r="T407" s="1" t="s">
        <v>29</v>
      </c>
    </row>
    <row r="408" customFormat="false" ht="18.7" hidden="false" customHeight="true" outlineLevel="0" collapsed="false">
      <c r="A408" s="1" t="n">
        <v>407</v>
      </c>
      <c r="B408" s="6" t="str">
        <f aca="false">HYPERLINK("https://mncourtfraud.com/file/MCRO_27-CR-19-17539_Notice of Remote Hearing with Instructions_2022-01-25_20240430091944.pdf","MCRO_27-CR-19-17539_Notice of Remote Hearing with Instructions_2022-01-25_20240430091944.pdf")</f>
        <v>MCRO_27-CR-19-17539_Notice of Remote Hearing with Instructions_2022-01-25_20240430091944.pdf</v>
      </c>
      <c r="C408" s="1" t="n">
        <v>4</v>
      </c>
      <c r="D408" s="1" t="n">
        <v>1</v>
      </c>
      <c r="E408" s="1" t="n">
        <v>1</v>
      </c>
      <c r="F408" s="3" t="s">
        <v>20</v>
      </c>
      <c r="G408" s="3" t="s">
        <v>1766</v>
      </c>
      <c r="H408" s="1" t="s">
        <v>22</v>
      </c>
      <c r="I408" s="1" t="n">
        <v>20240430091944</v>
      </c>
      <c r="J408" s="3" t="s">
        <v>1767</v>
      </c>
      <c r="K408" s="3" t="s">
        <v>1768</v>
      </c>
      <c r="L408" s="3" t="s">
        <v>495</v>
      </c>
      <c r="M408" s="3" t="n">
        <v>142891</v>
      </c>
      <c r="N408" s="3" t="s">
        <v>361</v>
      </c>
      <c r="O408" s="1" t="n">
        <v>126505</v>
      </c>
      <c r="P408" s="1" t="n">
        <v>88.53</v>
      </c>
      <c r="Q408" s="1" t="s">
        <v>20</v>
      </c>
      <c r="R408" s="1" t="s">
        <v>27</v>
      </c>
      <c r="S408" s="1" t="s">
        <v>28</v>
      </c>
      <c r="T408" s="1" t="s">
        <v>29</v>
      </c>
    </row>
    <row r="409" customFormat="false" ht="18.7" hidden="false" customHeight="true" outlineLevel="0" collapsed="false">
      <c r="A409" s="1" t="n">
        <v>408</v>
      </c>
      <c r="B409" s="6" t="str">
        <f aca="false">HYPERLINK("https://mncourtfraud.com/file/MCRO_27-CR-19-17539_Notice of Remote Hearing with Instructions_2023-02-08_20240430091935.pdf","MCRO_27-CR-19-17539_Notice of Remote Hearing with Instructions_2023-02-08_20240430091935.pdf")</f>
        <v>MCRO_27-CR-19-17539_Notice of Remote Hearing with Instructions_2023-02-08_20240430091935.pdf</v>
      </c>
      <c r="C409" s="1" t="n">
        <v>5</v>
      </c>
      <c r="D409" s="1" t="n">
        <v>1</v>
      </c>
      <c r="E409" s="1" t="n">
        <v>1</v>
      </c>
      <c r="F409" s="3" t="s">
        <v>20</v>
      </c>
      <c r="G409" s="3" t="s">
        <v>1769</v>
      </c>
      <c r="H409" s="1" t="s">
        <v>22</v>
      </c>
      <c r="I409" s="1" t="n">
        <v>20240430091935</v>
      </c>
      <c r="J409" s="3" t="s">
        <v>1770</v>
      </c>
      <c r="K409" s="3" t="s">
        <v>1771</v>
      </c>
      <c r="L409" s="3" t="s">
        <v>1772</v>
      </c>
      <c r="M409" s="3" t="n">
        <v>848937</v>
      </c>
      <c r="N409" s="3" t="s">
        <v>500</v>
      </c>
      <c r="O409" s="1" t="n">
        <v>832551</v>
      </c>
      <c r="P409" s="1" t="n">
        <v>98.07</v>
      </c>
      <c r="Q409" s="1" t="s">
        <v>20</v>
      </c>
      <c r="R409" s="1" t="s">
        <v>27</v>
      </c>
      <c r="S409" s="1" t="s">
        <v>28</v>
      </c>
      <c r="T409" s="1" t="s">
        <v>29</v>
      </c>
    </row>
    <row r="410" customFormat="false" ht="18.7" hidden="false" customHeight="true" outlineLevel="0" collapsed="false">
      <c r="A410" s="1" t="n">
        <v>409</v>
      </c>
      <c r="B410" s="6" t="str">
        <f aca="false">HYPERLINK("https://mncourtfraud.com/file/MCRO_27-CR-19-17539_Notice of Remote Hearing with Instructions_2023-04-05_20240430091934.pdf","MCRO_27-CR-19-17539_Notice of Remote Hearing with Instructions_2023-04-05_20240430091934.pdf")</f>
        <v>MCRO_27-CR-19-17539_Notice of Remote Hearing with Instructions_2023-04-05_20240430091934.pdf</v>
      </c>
      <c r="C410" s="1" t="n">
        <v>5</v>
      </c>
      <c r="D410" s="1" t="n">
        <v>1</v>
      </c>
      <c r="E410" s="1" t="n">
        <v>1</v>
      </c>
      <c r="F410" s="3" t="s">
        <v>20</v>
      </c>
      <c r="G410" s="3" t="s">
        <v>1773</v>
      </c>
      <c r="H410" s="1" t="s">
        <v>22</v>
      </c>
      <c r="I410" s="1" t="n">
        <v>20240430091934</v>
      </c>
      <c r="J410" s="3" t="s">
        <v>1774</v>
      </c>
      <c r="K410" s="3" t="s">
        <v>1775</v>
      </c>
      <c r="L410" s="3" t="s">
        <v>1776</v>
      </c>
      <c r="M410" s="3" t="n">
        <v>849818</v>
      </c>
      <c r="N410" s="3" t="s">
        <v>505</v>
      </c>
      <c r="O410" s="1" t="n">
        <v>833432</v>
      </c>
      <c r="P410" s="1" t="n">
        <v>98.07</v>
      </c>
      <c r="Q410" s="1" t="s">
        <v>20</v>
      </c>
      <c r="R410" s="1" t="s">
        <v>27</v>
      </c>
      <c r="S410" s="1" t="s">
        <v>28</v>
      </c>
      <c r="T410" s="1" t="s">
        <v>29</v>
      </c>
    </row>
    <row r="411" customFormat="false" ht="18.7" hidden="false" customHeight="true" outlineLevel="0" collapsed="false">
      <c r="A411" s="1" t="n">
        <v>410</v>
      </c>
      <c r="B411" s="6" t="str">
        <f aca="false">HYPERLINK("https://mncourtfraud.com/file/MCRO_27-CR-19-17539_Notice of Remote Hearing with Instructions_2023-06-12_20240430091931.pdf","MCRO_27-CR-19-17539_Notice of Remote Hearing with Instructions_2023-06-12_20240430091931.pdf")</f>
        <v>MCRO_27-CR-19-17539_Notice of Remote Hearing with Instructions_2023-06-12_20240430091931.pdf</v>
      </c>
      <c r="C411" s="1" t="n">
        <v>5</v>
      </c>
      <c r="D411" s="1" t="n">
        <v>1</v>
      </c>
      <c r="E411" s="1" t="n">
        <v>1</v>
      </c>
      <c r="F411" s="3" t="s">
        <v>20</v>
      </c>
      <c r="G411" s="3" t="s">
        <v>1777</v>
      </c>
      <c r="H411" s="1" t="s">
        <v>22</v>
      </c>
      <c r="I411" s="1" t="n">
        <v>20240430091931</v>
      </c>
      <c r="J411" s="3" t="s">
        <v>1778</v>
      </c>
      <c r="K411" s="3" t="s">
        <v>1779</v>
      </c>
      <c r="L411" s="3" t="s">
        <v>1780</v>
      </c>
      <c r="M411" s="3" t="n">
        <v>843736</v>
      </c>
      <c r="N411" s="3" t="s">
        <v>510</v>
      </c>
      <c r="O411" s="1" t="n">
        <v>827350</v>
      </c>
      <c r="P411" s="1" t="n">
        <v>98.06</v>
      </c>
      <c r="Q411" s="1" t="s">
        <v>20</v>
      </c>
      <c r="R411" s="1" t="s">
        <v>27</v>
      </c>
      <c r="S411" s="1" t="s">
        <v>28</v>
      </c>
      <c r="T411" s="1" t="s">
        <v>29</v>
      </c>
    </row>
    <row r="412" customFormat="false" ht="18.7" hidden="false" customHeight="true" outlineLevel="0" collapsed="false">
      <c r="A412" s="1" t="n">
        <v>411</v>
      </c>
      <c r="B412" s="6" t="str">
        <f aca="false">HYPERLINK("https://mncourtfraud.com/file/MCRO_27-CR-19-17539_Notice of Remote Hearing with Instructions_2024-01-02_20240430091928.pdf","MCRO_27-CR-19-17539_Notice of Remote Hearing with Instructions_2024-01-02_20240430091928.pdf")</f>
        <v>MCRO_27-CR-19-17539_Notice of Remote Hearing with Instructions_2024-01-02_20240430091928.pdf</v>
      </c>
      <c r="C412" s="1" t="n">
        <v>4</v>
      </c>
      <c r="D412" s="1" t="n">
        <v>1</v>
      </c>
      <c r="E412" s="1" t="n">
        <v>1</v>
      </c>
      <c r="F412" s="3" t="s">
        <v>20</v>
      </c>
      <c r="G412" s="3" t="s">
        <v>1781</v>
      </c>
      <c r="H412" s="1" t="s">
        <v>22</v>
      </c>
      <c r="I412" s="1" t="n">
        <v>20240430091928</v>
      </c>
      <c r="J412" s="3" t="s">
        <v>1782</v>
      </c>
      <c r="K412" s="3" t="s">
        <v>1783</v>
      </c>
      <c r="L412" s="3" t="s">
        <v>1784</v>
      </c>
      <c r="M412" s="3" t="n">
        <v>269829</v>
      </c>
      <c r="N412" s="3" t="s">
        <v>74</v>
      </c>
      <c r="O412" s="1" t="n">
        <v>253443</v>
      </c>
      <c r="P412" s="1" t="n">
        <v>93.93</v>
      </c>
      <c r="Q412" s="1" t="s">
        <v>20</v>
      </c>
      <c r="R412" s="1" t="s">
        <v>27</v>
      </c>
      <c r="S412" s="1" t="s">
        <v>28</v>
      </c>
      <c r="T412" s="1" t="s">
        <v>29</v>
      </c>
    </row>
    <row r="413" customFormat="false" ht="18.7" hidden="false" customHeight="true" outlineLevel="0" collapsed="false">
      <c r="A413" s="1" t="n">
        <v>412</v>
      </c>
      <c r="B413" s="6" t="str">
        <f aca="false">HYPERLINK("https://mncourtfraud.com/file/MCRO_27-CR-19-17539_Notice of Remote Hearing with Instructions_2024-03-12_20240430091925.pdf","MCRO_27-CR-19-17539_Notice of Remote Hearing with Instructions_2024-03-12_20240430091925.pdf")</f>
        <v>MCRO_27-CR-19-17539_Notice of Remote Hearing with Instructions_2024-03-12_20240430091925.pdf</v>
      </c>
      <c r="C413" s="1" t="n">
        <v>4</v>
      </c>
      <c r="D413" s="1" t="n">
        <v>1</v>
      </c>
      <c r="E413" s="1" t="n">
        <v>1</v>
      </c>
      <c r="F413" s="3" t="s">
        <v>20</v>
      </c>
      <c r="G413" s="3" t="s">
        <v>1785</v>
      </c>
      <c r="H413" s="1" t="s">
        <v>22</v>
      </c>
      <c r="I413" s="1" t="n">
        <v>20240430091925</v>
      </c>
      <c r="J413" s="3" t="s">
        <v>1786</v>
      </c>
      <c r="K413" s="3" t="s">
        <v>1787</v>
      </c>
      <c r="L413" s="3" t="s">
        <v>1788</v>
      </c>
      <c r="M413" s="3" t="n">
        <v>254783</v>
      </c>
      <c r="N413" s="3" t="s">
        <v>74</v>
      </c>
      <c r="O413" s="1" t="n">
        <v>238397</v>
      </c>
      <c r="P413" s="1" t="n">
        <v>93.57</v>
      </c>
      <c r="Q413" s="1" t="s">
        <v>20</v>
      </c>
      <c r="R413" s="1" t="s">
        <v>27</v>
      </c>
      <c r="S413" s="1" t="s">
        <v>28</v>
      </c>
      <c r="T413" s="1" t="s">
        <v>29</v>
      </c>
    </row>
    <row r="414" customFormat="false" ht="18.7" hidden="false" customHeight="true" outlineLevel="0" collapsed="false">
      <c r="A414" s="1" t="n">
        <v>413</v>
      </c>
      <c r="B414" s="6" t="str">
        <f aca="false">HYPERLINK("https://mncourtfraud.com/file/MCRO_27-CR-19-17539_Order-Evaluation for Competency to Proceed (Rule 20.01)_2020-11-13_20240430091952.pdf","MCRO_27-CR-19-17539_Order-Evaluation for Competency to Proceed (Rule 20.01)_2020-11-13_20240430091952.pdf")</f>
        <v>MCRO_27-CR-19-17539_Order-Evaluation for Competency to Proceed (Rule 20.01)_2020-11-13_20240430091952.pdf</v>
      </c>
      <c r="C414" s="1" t="n">
        <v>3</v>
      </c>
      <c r="D414" s="1" t="n">
        <v>1</v>
      </c>
      <c r="E414" s="1" t="n">
        <v>1</v>
      </c>
      <c r="F414" s="3" t="s">
        <v>20</v>
      </c>
      <c r="G414" s="3" t="s">
        <v>1789</v>
      </c>
      <c r="H414" s="1" t="s">
        <v>22</v>
      </c>
      <c r="I414" s="1" t="n">
        <v>20240430091952</v>
      </c>
      <c r="J414" s="3" t="s">
        <v>1790</v>
      </c>
      <c r="K414" s="3" t="s">
        <v>1791</v>
      </c>
      <c r="L414" s="3" t="s">
        <v>1792</v>
      </c>
      <c r="M414" s="3" t="n">
        <v>455241</v>
      </c>
      <c r="N414" s="3" t="s">
        <v>549</v>
      </c>
      <c r="O414" s="1" t="n">
        <v>438855</v>
      </c>
      <c r="P414" s="1" t="n">
        <v>96.4</v>
      </c>
      <c r="Q414" s="1" t="s">
        <v>20</v>
      </c>
      <c r="R414" s="1" t="s">
        <v>27</v>
      </c>
      <c r="S414" s="1" t="s">
        <v>28</v>
      </c>
      <c r="T414" s="1" t="s">
        <v>29</v>
      </c>
    </row>
    <row r="415" customFormat="false" ht="18.7" hidden="false" customHeight="true" outlineLevel="0" collapsed="false">
      <c r="A415" s="1" t="n">
        <v>414</v>
      </c>
      <c r="B415" s="6" t="str">
        <f aca="false">HYPERLINK("https://mncourtfraud.com/file/MCRO_27-CR-19-17539_Order-Evaluation for Competency to Proceed (Rule 20.01)_2021-04-29_20240430091948.pdf","MCRO_27-CR-19-17539_Order-Evaluation for Competency to Proceed (Rule 20.01)_2021-04-29_20240430091948.pdf")</f>
        <v>MCRO_27-CR-19-17539_Order-Evaluation for Competency to Proceed (Rule 20.01)_2021-04-29_20240430091948.pdf</v>
      </c>
      <c r="C415" s="1" t="n">
        <v>3</v>
      </c>
      <c r="D415" s="1" t="n">
        <v>1</v>
      </c>
      <c r="E415" s="1" t="n">
        <v>1</v>
      </c>
      <c r="F415" s="3" t="s">
        <v>20</v>
      </c>
      <c r="G415" s="3" t="s">
        <v>1793</v>
      </c>
      <c r="H415" s="1" t="s">
        <v>22</v>
      </c>
      <c r="I415" s="1" t="n">
        <v>20240430091948</v>
      </c>
      <c r="J415" s="3" t="s">
        <v>1794</v>
      </c>
      <c r="K415" s="3" t="s">
        <v>1795</v>
      </c>
      <c r="L415" s="3" t="s">
        <v>1796</v>
      </c>
      <c r="M415" s="3" t="n">
        <v>454698</v>
      </c>
      <c r="N415" s="3" t="s">
        <v>554</v>
      </c>
      <c r="O415" s="1" t="n">
        <v>438312</v>
      </c>
      <c r="P415" s="1" t="n">
        <v>96.4</v>
      </c>
      <c r="Q415" s="1" t="s">
        <v>20</v>
      </c>
      <c r="R415" s="1" t="s">
        <v>27</v>
      </c>
      <c r="S415" s="1" t="s">
        <v>28</v>
      </c>
      <c r="T415" s="1" t="s">
        <v>29</v>
      </c>
    </row>
    <row r="416" customFormat="false" ht="18.7" hidden="false" customHeight="true" outlineLevel="0" collapsed="false">
      <c r="A416" s="1" t="n">
        <v>415</v>
      </c>
      <c r="B416" s="6" t="str">
        <f aca="false">HYPERLINK("https://mncourtfraud.com/file/MCRO_27-CR-19-17539_Order-Evaluation for Competency to Proceed (Rule 20.01)_2023-04-04_20240430091934.pdf","MCRO_27-CR-19-17539_Order-Evaluation for Competency to Proceed (Rule 20.01)_2023-04-04_20240430091934.pdf")</f>
        <v>MCRO_27-CR-19-17539_Order-Evaluation for Competency to Proceed (Rule 20.01)_2023-04-04_20240430091934.pdf</v>
      </c>
      <c r="C416" s="1" t="n">
        <v>6</v>
      </c>
      <c r="D416" s="1" t="n">
        <v>2</v>
      </c>
      <c r="E416" s="1" t="n">
        <v>2</v>
      </c>
      <c r="F416" s="3" t="s">
        <v>27</v>
      </c>
      <c r="G416" s="3" t="s">
        <v>1797</v>
      </c>
      <c r="H416" s="1" t="s">
        <v>22</v>
      </c>
      <c r="I416" s="1" t="n">
        <v>20240430091934</v>
      </c>
      <c r="J416" s="3" t="s">
        <v>1798</v>
      </c>
      <c r="K416" s="3" t="s">
        <v>1799</v>
      </c>
      <c r="L416" s="3" t="s">
        <v>1800</v>
      </c>
      <c r="M416" s="3" t="n">
        <v>887461</v>
      </c>
      <c r="N416" s="3" t="s">
        <v>559</v>
      </c>
      <c r="O416" s="1" t="n">
        <v>871075</v>
      </c>
      <c r="P416" s="1" t="n">
        <v>98.15</v>
      </c>
      <c r="Q416" s="1" t="s">
        <v>20</v>
      </c>
      <c r="R416" s="1" t="s">
        <v>27</v>
      </c>
      <c r="S416" s="1" t="s">
        <v>28</v>
      </c>
      <c r="T416" s="1" t="s">
        <v>29</v>
      </c>
    </row>
    <row r="417" customFormat="false" ht="18.7" hidden="false" customHeight="true" outlineLevel="0" collapsed="false">
      <c r="A417" s="1" t="n">
        <v>416</v>
      </c>
      <c r="B417" s="6" t="str">
        <f aca="false">HYPERLINK("https://mncourtfraud.com/file/MCRO_27-CR-19-17539_Order-Evaluation for Competency to Proceed (Rule 20.01)_2023-09-28_20240430091930.pdf","MCRO_27-CR-19-17539_Order-Evaluation for Competency to Proceed (Rule 20.01)_2023-09-28_20240430091930.pdf")</f>
        <v>MCRO_27-CR-19-17539_Order-Evaluation for Competency to Proceed (Rule 20.01)_2023-09-28_20240430091930.pdf</v>
      </c>
      <c r="C417" s="1" t="n">
        <v>6</v>
      </c>
      <c r="D417" s="1" t="n">
        <v>2</v>
      </c>
      <c r="E417" s="1" t="n">
        <v>2</v>
      </c>
      <c r="F417" s="3" t="s">
        <v>27</v>
      </c>
      <c r="G417" s="3" t="s">
        <v>1801</v>
      </c>
      <c r="H417" s="1" t="s">
        <v>22</v>
      </c>
      <c r="I417" s="1" t="n">
        <v>20240430091930</v>
      </c>
      <c r="J417" s="3" t="s">
        <v>1802</v>
      </c>
      <c r="K417" s="3" t="s">
        <v>1803</v>
      </c>
      <c r="L417" s="3" t="s">
        <v>1804</v>
      </c>
      <c r="M417" s="3" t="n">
        <v>867382</v>
      </c>
      <c r="N417" s="3" t="s">
        <v>564</v>
      </c>
      <c r="O417" s="1" t="n">
        <v>850996</v>
      </c>
      <c r="P417" s="1" t="n">
        <v>98.11</v>
      </c>
      <c r="Q417" s="1" t="s">
        <v>20</v>
      </c>
      <c r="R417" s="1" t="s">
        <v>27</v>
      </c>
      <c r="S417" s="1" t="s">
        <v>28</v>
      </c>
      <c r="T417" s="1" t="s">
        <v>29</v>
      </c>
    </row>
    <row r="418" customFormat="false" ht="18.7" hidden="false" customHeight="true" outlineLevel="0" collapsed="false">
      <c r="A418" s="1" t="n">
        <v>417</v>
      </c>
      <c r="B418" s="6" t="str">
        <f aca="false">HYPERLINK("https://mncourtfraud.com/file/MCRO_27-CR-19-17539_Order for Production of Medical Records_2020-06-04_20240430091956.pdf","MCRO_27-CR-19-17539_Order for Production of Medical Records_2020-06-04_20240430091956.pdf")</f>
        <v>MCRO_27-CR-19-17539_Order for Production of Medical Records_2020-06-04_20240430091956.pdf</v>
      </c>
      <c r="C418" s="1" t="n">
        <v>3</v>
      </c>
      <c r="D418" s="1" t="n">
        <v>1</v>
      </c>
      <c r="E418" s="1" t="n">
        <v>1</v>
      </c>
      <c r="F418" s="3" t="s">
        <v>20</v>
      </c>
      <c r="G418" s="3" t="s">
        <v>1805</v>
      </c>
      <c r="H418" s="1" t="s">
        <v>22</v>
      </c>
      <c r="I418" s="1" t="n">
        <v>20240430091956</v>
      </c>
      <c r="J418" s="3" t="s">
        <v>1806</v>
      </c>
      <c r="K418" s="3" t="s">
        <v>1807</v>
      </c>
      <c r="L418" s="3" t="s">
        <v>1808</v>
      </c>
      <c r="M418" s="3" t="n">
        <v>257677</v>
      </c>
      <c r="N418" s="3" t="s">
        <v>577</v>
      </c>
      <c r="O418" s="1" t="n">
        <v>241291</v>
      </c>
      <c r="P418" s="1" t="n">
        <v>93.64</v>
      </c>
      <c r="Q418" s="1" t="s">
        <v>20</v>
      </c>
      <c r="R418" s="1" t="s">
        <v>27</v>
      </c>
      <c r="S418" s="1" t="s">
        <v>28</v>
      </c>
      <c r="T418" s="1" t="s">
        <v>29</v>
      </c>
    </row>
    <row r="419" customFormat="false" ht="18.7" hidden="false" customHeight="true" outlineLevel="0" collapsed="false">
      <c r="A419" s="1" t="n">
        <v>418</v>
      </c>
      <c r="B419" s="6" t="str">
        <f aca="false">HYPERLINK("https://mncourtfraud.com/file/MCRO_27-CR-19-17539_Order-Other_2019-10-09_20240430092000.pdf","MCRO_27-CR-19-17539_Order-Other_2019-10-09_20240430092000.pdf")</f>
        <v>MCRO_27-CR-19-17539_Order-Other_2019-10-09_20240430092000.pdf</v>
      </c>
      <c r="C419" s="1" t="n">
        <v>5</v>
      </c>
      <c r="D419" s="1" t="n">
        <v>7</v>
      </c>
      <c r="E419" s="1" t="n">
        <v>7</v>
      </c>
      <c r="F419" s="3" t="s">
        <v>20</v>
      </c>
      <c r="G419" s="3" t="s">
        <v>1809</v>
      </c>
      <c r="H419" s="1" t="s">
        <v>22</v>
      </c>
      <c r="I419" s="1" t="n">
        <v>20240430092000</v>
      </c>
      <c r="J419" s="3" t="s">
        <v>1810</v>
      </c>
      <c r="K419" s="3" t="s">
        <v>1811</v>
      </c>
      <c r="L419" s="3" t="s">
        <v>1812</v>
      </c>
      <c r="M419" s="3" t="n">
        <v>342157</v>
      </c>
      <c r="N419" s="3" t="s">
        <v>476</v>
      </c>
      <c r="O419" s="1" t="n">
        <v>325771</v>
      </c>
      <c r="P419" s="1" t="n">
        <v>95.21</v>
      </c>
      <c r="Q419" s="1" t="s">
        <v>20</v>
      </c>
      <c r="R419" s="1" t="s">
        <v>27</v>
      </c>
      <c r="S419" s="1" t="s">
        <v>28</v>
      </c>
      <c r="T419" s="1" t="s">
        <v>29</v>
      </c>
    </row>
    <row r="420" customFormat="false" ht="18.7" hidden="false" customHeight="true" outlineLevel="0" collapsed="false">
      <c r="A420" s="1" t="n">
        <v>419</v>
      </c>
      <c r="B420" s="6" t="str">
        <f aca="false">HYPERLINK("https://mncourtfraud.com/file/MCRO_27-CR-19-17539_Order Regarding Access to Confidential or Sealed Record_2022-09-28_20240430091936.pdf","MCRO_27-CR-19-17539_Order Regarding Access to Confidential or Sealed Record_2022-09-28_20240430091936.pdf")</f>
        <v>MCRO_27-CR-19-17539_Order Regarding Access to Confidential or Sealed Record_2022-09-28_20240430091936.pdf</v>
      </c>
      <c r="C420" s="1" t="n">
        <v>3</v>
      </c>
      <c r="D420" s="1" t="n">
        <v>1</v>
      </c>
      <c r="E420" s="1" t="n">
        <v>1</v>
      </c>
      <c r="F420" s="3" t="s">
        <v>20</v>
      </c>
      <c r="G420" s="3" t="s">
        <v>1813</v>
      </c>
      <c r="H420" s="1" t="s">
        <v>22</v>
      </c>
      <c r="I420" s="1" t="n">
        <v>20240430091936</v>
      </c>
      <c r="J420" s="3" t="s">
        <v>1814</v>
      </c>
      <c r="K420" s="3" t="s">
        <v>1815</v>
      </c>
      <c r="L420" s="3" t="s">
        <v>1816</v>
      </c>
      <c r="M420" s="3" t="n">
        <v>143432</v>
      </c>
      <c r="N420" s="3" t="s">
        <v>593</v>
      </c>
      <c r="O420" s="1" t="n">
        <v>127046</v>
      </c>
      <c r="P420" s="1" t="n">
        <v>88.58</v>
      </c>
      <c r="Q420" s="1" t="s">
        <v>20</v>
      </c>
      <c r="R420" s="1" t="s">
        <v>27</v>
      </c>
      <c r="S420" s="1" t="s">
        <v>28</v>
      </c>
      <c r="T420" s="1" t="s">
        <v>29</v>
      </c>
    </row>
    <row r="421" customFormat="false" ht="18.7" hidden="false" customHeight="true" outlineLevel="0" collapsed="false">
      <c r="A421" s="1" t="n">
        <v>420</v>
      </c>
      <c r="B421" s="6" t="str">
        <f aca="false">HYPERLINK("https://mncourtfraud.com/file/MCRO_27-CR-19-17539_Order to Transport_2024-02-02_20240430091927.pdf","MCRO_27-CR-19-17539_Order to Transport_2024-02-02_20240430091927.pdf")</f>
        <v>MCRO_27-CR-19-17539_Order to Transport_2024-02-02_20240430091927.pdf</v>
      </c>
      <c r="C421" s="1" t="n">
        <v>5</v>
      </c>
      <c r="D421" s="1" t="n">
        <v>3</v>
      </c>
      <c r="E421" s="1" t="n">
        <v>3</v>
      </c>
      <c r="F421" s="3" t="s">
        <v>20</v>
      </c>
      <c r="G421" s="3" t="s">
        <v>1817</v>
      </c>
      <c r="H421" s="1" t="s">
        <v>22</v>
      </c>
      <c r="I421" s="1" t="n">
        <v>20240430091927</v>
      </c>
      <c r="J421" s="3" t="s">
        <v>1818</v>
      </c>
      <c r="K421" s="3" t="s">
        <v>1819</v>
      </c>
      <c r="L421" s="3" t="s">
        <v>1820</v>
      </c>
      <c r="M421" s="3" t="n">
        <v>216847</v>
      </c>
      <c r="N421" s="3" t="s">
        <v>602</v>
      </c>
      <c r="O421" s="1" t="n">
        <v>200461</v>
      </c>
      <c r="P421" s="1" t="n">
        <v>92.44</v>
      </c>
      <c r="Q421" s="1" t="s">
        <v>20</v>
      </c>
      <c r="R421" s="1" t="s">
        <v>27</v>
      </c>
      <c r="S421" s="1" t="s">
        <v>28</v>
      </c>
      <c r="T421" s="1" t="s">
        <v>29</v>
      </c>
    </row>
    <row r="422" customFormat="false" ht="18.7" hidden="false" customHeight="true" outlineLevel="0" collapsed="false">
      <c r="A422" s="1" t="n">
        <v>421</v>
      </c>
      <c r="B422" s="6" t="str">
        <f aca="false">HYPERLINK("https://mncourtfraud.com/file/MCRO_27-CR-19-17539_Proposed Order or Document_2020-06-04_20240430091957.pdf","MCRO_27-CR-19-17539_Proposed Order or Document_2020-06-04_20240430091957.pdf")</f>
        <v>MCRO_27-CR-19-17539_Proposed Order or Document_2020-06-04_20240430091957.pdf</v>
      </c>
      <c r="C422" s="1" t="n">
        <v>3</v>
      </c>
      <c r="D422" s="1" t="n">
        <v>1</v>
      </c>
      <c r="E422" s="1" t="n">
        <v>1</v>
      </c>
      <c r="F422" s="3" t="s">
        <v>20</v>
      </c>
      <c r="G422" s="3" t="s">
        <v>1821</v>
      </c>
      <c r="H422" s="1" t="s">
        <v>22</v>
      </c>
      <c r="I422" s="1" t="n">
        <v>20240430091957</v>
      </c>
      <c r="J422" s="3" t="s">
        <v>1822</v>
      </c>
      <c r="K422" s="3" t="s">
        <v>1823</v>
      </c>
      <c r="L422" s="3" t="s">
        <v>1824</v>
      </c>
      <c r="M422" s="3" t="n">
        <v>194693</v>
      </c>
      <c r="N422" s="3" t="s">
        <v>624</v>
      </c>
      <c r="O422" s="1" t="n">
        <v>178307</v>
      </c>
      <c r="P422" s="1" t="n">
        <v>91.58</v>
      </c>
      <c r="Q422" s="1" t="s">
        <v>20</v>
      </c>
      <c r="R422" s="1" t="s">
        <v>27</v>
      </c>
      <c r="S422" s="1" t="s">
        <v>28</v>
      </c>
      <c r="T422" s="1" t="s">
        <v>29</v>
      </c>
    </row>
    <row r="423" customFormat="false" ht="18.7" hidden="false" customHeight="true" outlineLevel="0" collapsed="false">
      <c r="A423" s="1" t="n">
        <v>422</v>
      </c>
      <c r="B423" s="6" t="str">
        <f aca="false">HYPERLINK("https://mncourtfraud.com/file/MCRO_27-CR-19-17539_Proposed Order or Document_2022-07-14_20240430091941.pdf","MCRO_27-CR-19-17539_Proposed Order or Document_2022-07-14_20240430091941.pdf")</f>
        <v>MCRO_27-CR-19-17539_Proposed Order or Document_2022-07-14_20240430091941.pdf</v>
      </c>
      <c r="C423" s="1" t="n">
        <v>3</v>
      </c>
      <c r="D423" s="1" t="n">
        <v>1</v>
      </c>
      <c r="E423" s="1" t="n">
        <v>1</v>
      </c>
      <c r="F423" s="3" t="s">
        <v>20</v>
      </c>
      <c r="G423" s="3" t="s">
        <v>1825</v>
      </c>
      <c r="H423" s="1" t="s">
        <v>22</v>
      </c>
      <c r="I423" s="1" t="n">
        <v>20240430091941</v>
      </c>
      <c r="J423" s="3" t="s">
        <v>1826</v>
      </c>
      <c r="K423" s="3" t="s">
        <v>1827</v>
      </c>
      <c r="L423" s="3" t="s">
        <v>1828</v>
      </c>
      <c r="M423" s="3" t="n">
        <v>141838</v>
      </c>
      <c r="N423" s="3" t="s">
        <v>629</v>
      </c>
      <c r="O423" s="1" t="n">
        <v>125452</v>
      </c>
      <c r="P423" s="1" t="n">
        <v>88.45</v>
      </c>
      <c r="Q423" s="1" t="s">
        <v>20</v>
      </c>
      <c r="R423" s="1" t="s">
        <v>27</v>
      </c>
      <c r="S423" s="1" t="s">
        <v>28</v>
      </c>
      <c r="T423" s="1" t="s">
        <v>29</v>
      </c>
    </row>
    <row r="424" customFormat="false" ht="18.7" hidden="false" customHeight="true" outlineLevel="0" collapsed="false">
      <c r="A424" s="1" t="n">
        <v>423</v>
      </c>
      <c r="B424" s="6" t="str">
        <f aca="false">HYPERLINK("https://mncourtfraud.com/file/MCRO_27-CR-19-17539_Returned Mail_2022-02-28_20240430091943.pdf","MCRO_27-CR-19-17539_Returned Mail_2022-02-28_20240430091943.pdf")</f>
        <v>MCRO_27-CR-19-17539_Returned Mail_2022-02-28_20240430091943.pdf</v>
      </c>
      <c r="C424" s="1" t="n">
        <v>4</v>
      </c>
      <c r="D424" s="1" t="n">
        <v>1</v>
      </c>
      <c r="E424" s="1" t="n">
        <v>1</v>
      </c>
      <c r="F424" s="3" t="s">
        <v>20</v>
      </c>
      <c r="G424" s="3" t="s">
        <v>1829</v>
      </c>
      <c r="H424" s="1" t="s">
        <v>22</v>
      </c>
      <c r="I424" s="1" t="n">
        <v>20240430091943</v>
      </c>
      <c r="J424" s="3" t="s">
        <v>1830</v>
      </c>
      <c r="K424" s="3" t="s">
        <v>1831</v>
      </c>
      <c r="L424" s="3" t="s">
        <v>1832</v>
      </c>
      <c r="M424" s="3" t="n">
        <v>93728</v>
      </c>
      <c r="N424" s="3" t="s">
        <v>456</v>
      </c>
      <c r="O424" s="1" t="n">
        <v>77342</v>
      </c>
      <c r="P424" s="1" t="n">
        <v>82.52</v>
      </c>
      <c r="Q424" s="1" t="s">
        <v>20</v>
      </c>
      <c r="R424" s="1" t="s">
        <v>27</v>
      </c>
      <c r="S424" s="1" t="s">
        <v>28</v>
      </c>
      <c r="T424" s="1" t="s">
        <v>29</v>
      </c>
    </row>
    <row r="425" customFormat="false" ht="18.7" hidden="false" customHeight="true" outlineLevel="0" collapsed="false">
      <c r="A425" s="1" t="n">
        <v>424</v>
      </c>
      <c r="B425" s="6" t="str">
        <f aca="false">HYPERLINK("https://mncourtfraud.com/file/MCRO_27-CR-19-17539_Returned Mail_2022-09-20_20240430091938.pdf","MCRO_27-CR-19-17539_Returned Mail_2022-09-20_20240430091938.pdf")</f>
        <v>MCRO_27-CR-19-17539_Returned Mail_2022-09-20_20240430091938.pdf</v>
      </c>
      <c r="C425" s="1" t="n">
        <v>4</v>
      </c>
      <c r="D425" s="1" t="n">
        <v>1</v>
      </c>
      <c r="E425" s="1" t="n">
        <v>1</v>
      </c>
      <c r="F425" s="3" t="s">
        <v>20</v>
      </c>
      <c r="G425" s="3" t="s">
        <v>1833</v>
      </c>
      <c r="H425" s="1" t="s">
        <v>22</v>
      </c>
      <c r="I425" s="1" t="n">
        <v>20240430091938</v>
      </c>
      <c r="J425" s="3" t="s">
        <v>1834</v>
      </c>
      <c r="K425" s="3" t="s">
        <v>1835</v>
      </c>
      <c r="L425" s="3" t="s">
        <v>1836</v>
      </c>
      <c r="M425" s="3" t="n">
        <v>308851</v>
      </c>
      <c r="N425" s="3" t="s">
        <v>119</v>
      </c>
      <c r="O425" s="1" t="n">
        <v>292465</v>
      </c>
      <c r="P425" s="1" t="n">
        <v>94.69</v>
      </c>
      <c r="Q425" s="1" t="s">
        <v>20</v>
      </c>
      <c r="R425" s="1" t="s">
        <v>27</v>
      </c>
      <c r="S425" s="1" t="s">
        <v>28</v>
      </c>
      <c r="T425" s="1" t="s">
        <v>29</v>
      </c>
    </row>
    <row r="426" customFormat="false" ht="18.7" hidden="false" customHeight="true" outlineLevel="0" collapsed="false">
      <c r="A426" s="1" t="n">
        <v>425</v>
      </c>
      <c r="B426" s="6" t="str">
        <f aca="false">HYPERLINK("https://mncourtfraud.com/file/MCRO_27-CR-19-17539_Returned Mail_2024-02-26_20240430091926.pdf","MCRO_27-CR-19-17539_Returned Mail_2024-02-26_20240430091926.pdf")</f>
        <v>MCRO_27-CR-19-17539_Returned Mail_2024-02-26_20240430091926.pdf</v>
      </c>
      <c r="C426" s="1" t="n">
        <v>4</v>
      </c>
      <c r="D426" s="1" t="n">
        <v>1</v>
      </c>
      <c r="E426" s="1" t="n">
        <v>1</v>
      </c>
      <c r="F426" s="3" t="s">
        <v>20</v>
      </c>
      <c r="G426" s="3" t="s">
        <v>1837</v>
      </c>
      <c r="H426" s="1" t="s">
        <v>22</v>
      </c>
      <c r="I426" s="1" t="n">
        <v>20240430091926</v>
      </c>
      <c r="J426" s="3" t="s">
        <v>1838</v>
      </c>
      <c r="K426" s="3" t="s">
        <v>1839</v>
      </c>
      <c r="L426" s="3" t="s">
        <v>1840</v>
      </c>
      <c r="M426" s="3" t="n">
        <v>112139</v>
      </c>
      <c r="N426" s="3" t="s">
        <v>1159</v>
      </c>
      <c r="O426" s="1" t="n">
        <v>95753</v>
      </c>
      <c r="P426" s="1" t="n">
        <v>85.39</v>
      </c>
      <c r="Q426" s="1" t="s">
        <v>20</v>
      </c>
      <c r="R426" s="1" t="s">
        <v>27</v>
      </c>
      <c r="S426" s="1" t="s">
        <v>28</v>
      </c>
      <c r="T426" s="1" t="s">
        <v>29</v>
      </c>
    </row>
    <row r="427" customFormat="false" ht="18.7" hidden="false" customHeight="true" outlineLevel="0" collapsed="false">
      <c r="A427" s="1" t="n">
        <v>426</v>
      </c>
      <c r="B427" s="6" t="str">
        <f aca="false">HYPERLINK("https://mncourtfraud.com/file/MCRO_27-CR-19-17539_Summons_2019-07-23_20240430092004.pdf","MCRO_27-CR-19-17539_Summons_2019-07-23_20240430092004.pdf")</f>
        <v>MCRO_27-CR-19-17539_Summons_2019-07-23_20240430092004.pdf</v>
      </c>
      <c r="C427" s="1" t="n">
        <v>3</v>
      </c>
      <c r="D427" s="1" t="n">
        <v>1</v>
      </c>
      <c r="E427" s="1" t="n">
        <v>1</v>
      </c>
      <c r="F427" s="3" t="s">
        <v>20</v>
      </c>
      <c r="G427" s="3" t="s">
        <v>1841</v>
      </c>
      <c r="H427" s="1" t="s">
        <v>22</v>
      </c>
      <c r="I427" s="1" t="n">
        <v>20240430092004</v>
      </c>
      <c r="J427" s="3" t="s">
        <v>1842</v>
      </c>
      <c r="K427" s="3" t="s">
        <v>1843</v>
      </c>
      <c r="L427" s="3" t="s">
        <v>1844</v>
      </c>
      <c r="M427" s="3" t="n">
        <v>273485</v>
      </c>
      <c r="N427" s="3" t="s">
        <v>395</v>
      </c>
      <c r="O427" s="1" t="n">
        <v>257099</v>
      </c>
      <c r="P427" s="1" t="n">
        <v>94.01</v>
      </c>
      <c r="Q427" s="1" t="s">
        <v>20</v>
      </c>
      <c r="R427" s="1" t="s">
        <v>27</v>
      </c>
      <c r="S427" s="1" t="s">
        <v>28</v>
      </c>
      <c r="T427" s="1" t="s">
        <v>29</v>
      </c>
    </row>
    <row r="428" customFormat="false" ht="18.7" hidden="false" customHeight="true" outlineLevel="0" collapsed="false">
      <c r="A428" s="1" t="n">
        <v>427</v>
      </c>
      <c r="B428" s="6" t="str">
        <f aca="false">HYPERLINK("https://mncourtfraud.com/file/MCRO_27-CR-19-1916_Amended Order_2019-10-04_20240430091244.pdf","MCRO_27-CR-19-1916_Amended Order_2019-10-04_20240430091244.pdf")</f>
        <v>MCRO_27-CR-19-1916_Amended Order_2019-10-04_20240430091244.pdf</v>
      </c>
      <c r="C428" s="1" t="n">
        <v>4</v>
      </c>
      <c r="D428" s="1" t="n">
        <v>1</v>
      </c>
      <c r="E428" s="1" t="n">
        <v>1</v>
      </c>
      <c r="F428" s="3" t="s">
        <v>20</v>
      </c>
      <c r="G428" s="3" t="s">
        <v>1845</v>
      </c>
      <c r="H428" s="1" t="s">
        <v>22</v>
      </c>
      <c r="I428" s="1" t="n">
        <v>20240430091244</v>
      </c>
      <c r="J428" s="3" t="s">
        <v>1846</v>
      </c>
      <c r="K428" s="3" t="s">
        <v>1847</v>
      </c>
      <c r="L428" s="3" t="s">
        <v>1848</v>
      </c>
      <c r="M428" s="3" t="n">
        <v>91713</v>
      </c>
      <c r="N428" s="3" t="s">
        <v>137</v>
      </c>
      <c r="O428" s="1" t="n">
        <v>75327</v>
      </c>
      <c r="P428" s="1" t="n">
        <v>82.13</v>
      </c>
      <c r="Q428" s="1" t="s">
        <v>20</v>
      </c>
      <c r="R428" s="1" t="s">
        <v>27</v>
      </c>
      <c r="S428" s="1" t="s">
        <v>28</v>
      </c>
      <c r="T428" s="1" t="s">
        <v>29</v>
      </c>
    </row>
    <row r="429" customFormat="false" ht="18.7" hidden="false" customHeight="true" outlineLevel="0" collapsed="false">
      <c r="A429" s="1" t="n">
        <v>428</v>
      </c>
      <c r="B429" s="6" t="str">
        <f aca="false">HYPERLINK("https://mncourtfraud.com/file/MCRO_27-CR-19-1916_Correspondence for Judicial Approval_2020-06-04_20240430091240.pdf","MCRO_27-CR-19-1916_Correspondence for Judicial Approval_2020-06-04_20240430091240.pdf")</f>
        <v>MCRO_27-CR-19-1916_Correspondence for Judicial Approval_2020-06-04_20240430091240.pdf</v>
      </c>
      <c r="C429" s="1" t="n">
        <v>4</v>
      </c>
      <c r="D429" s="1" t="n">
        <v>1</v>
      </c>
      <c r="E429" s="1" t="n">
        <v>1</v>
      </c>
      <c r="F429" s="3" t="s">
        <v>20</v>
      </c>
      <c r="G429" s="3" t="s">
        <v>1849</v>
      </c>
      <c r="H429" s="1" t="s">
        <v>22</v>
      </c>
      <c r="I429" s="1" t="n">
        <v>20240430091240</v>
      </c>
      <c r="J429" s="3" t="s">
        <v>1850</v>
      </c>
      <c r="K429" s="3" t="s">
        <v>1851</v>
      </c>
      <c r="L429" s="3" t="s">
        <v>1852</v>
      </c>
      <c r="M429" s="3" t="n">
        <v>308465</v>
      </c>
      <c r="N429" s="3" t="s">
        <v>366</v>
      </c>
      <c r="O429" s="1" t="n">
        <v>292079</v>
      </c>
      <c r="P429" s="1" t="n">
        <v>94.69</v>
      </c>
      <c r="Q429" s="1" t="s">
        <v>20</v>
      </c>
      <c r="R429" s="1" t="s">
        <v>27</v>
      </c>
      <c r="S429" s="1" t="s">
        <v>28</v>
      </c>
      <c r="T429" s="1" t="s">
        <v>29</v>
      </c>
    </row>
    <row r="430" customFormat="false" ht="18.7" hidden="false" customHeight="true" outlineLevel="0" collapsed="false">
      <c r="A430" s="1" t="n">
        <v>429</v>
      </c>
      <c r="B430" s="6" t="str">
        <f aca="false">HYPERLINK("https://mncourtfraud.com/file/MCRO_27-CR-19-1916_Correspondence for Judicial Approval_2022-07-14_20240430091224.pdf","MCRO_27-CR-19-1916_Correspondence for Judicial Approval_2022-07-14_20240430091224.pdf")</f>
        <v>MCRO_27-CR-19-1916_Correspondence for Judicial Approval_2022-07-14_20240430091224.pdf</v>
      </c>
      <c r="C430" s="1" t="n">
        <v>3</v>
      </c>
      <c r="D430" s="1" t="n">
        <v>1</v>
      </c>
      <c r="E430" s="1" t="n">
        <v>1</v>
      </c>
      <c r="F430" s="3" t="s">
        <v>20</v>
      </c>
      <c r="G430" s="3" t="s">
        <v>1853</v>
      </c>
      <c r="H430" s="1" t="s">
        <v>22</v>
      </c>
      <c r="I430" s="1" t="n">
        <v>20240430091224</v>
      </c>
      <c r="J430" s="3" t="s">
        <v>1854</v>
      </c>
      <c r="K430" s="3" t="s">
        <v>1855</v>
      </c>
      <c r="L430" s="3" t="s">
        <v>1856</v>
      </c>
      <c r="M430" s="3" t="n">
        <v>193493</v>
      </c>
      <c r="N430" s="3" t="s">
        <v>371</v>
      </c>
      <c r="O430" s="1" t="n">
        <v>177107</v>
      </c>
      <c r="P430" s="1" t="n">
        <v>91.53</v>
      </c>
      <c r="Q430" s="1" t="s">
        <v>20</v>
      </c>
      <c r="R430" s="1" t="s">
        <v>27</v>
      </c>
      <c r="S430" s="1" t="s">
        <v>28</v>
      </c>
      <c r="T430" s="1" t="s">
        <v>29</v>
      </c>
    </row>
    <row r="431" customFormat="false" ht="18.7" hidden="false" customHeight="true" outlineLevel="0" collapsed="false">
      <c r="A431" s="1" t="n">
        <v>430</v>
      </c>
      <c r="B431" s="6" t="str">
        <f aca="false">HYPERLINK("https://mncourtfraud.com/file/MCRO_27-CR-19-1916_Demand or Request for Discovery_2019-01-24_20240430091252.pdf","MCRO_27-CR-19-1916_Demand or Request for Discovery_2019-01-24_20240430091252.pdf")</f>
        <v>MCRO_27-CR-19-1916_Demand or Request for Discovery_2019-01-24_20240430091252.pdf</v>
      </c>
      <c r="C431" s="1" t="n">
        <v>3</v>
      </c>
      <c r="D431" s="1" t="n">
        <v>1</v>
      </c>
      <c r="E431" s="1" t="n">
        <v>1</v>
      </c>
      <c r="F431" s="3" t="s">
        <v>20</v>
      </c>
      <c r="G431" s="3" t="s">
        <v>1857</v>
      </c>
      <c r="H431" s="1" t="s">
        <v>22</v>
      </c>
      <c r="I431" s="1" t="n">
        <v>20240430091252</v>
      </c>
      <c r="J431" s="3" t="s">
        <v>1858</v>
      </c>
      <c r="K431" s="3" t="s">
        <v>1859</v>
      </c>
      <c r="L431" s="3" t="s">
        <v>1860</v>
      </c>
      <c r="M431" s="3" t="n">
        <v>545644</v>
      </c>
      <c r="N431" s="3" t="s">
        <v>796</v>
      </c>
      <c r="O431" s="1" t="n">
        <v>529258</v>
      </c>
      <c r="P431" s="1" t="n">
        <v>97</v>
      </c>
      <c r="Q431" s="1" t="s">
        <v>20</v>
      </c>
      <c r="R431" s="1" t="s">
        <v>27</v>
      </c>
      <c r="S431" s="1" t="s">
        <v>28</v>
      </c>
      <c r="T431" s="1" t="s">
        <v>29</v>
      </c>
    </row>
    <row r="432" customFormat="false" ht="18.7" hidden="false" customHeight="true" outlineLevel="0" collapsed="false">
      <c r="A432" s="1" t="n">
        <v>431</v>
      </c>
      <c r="B432" s="6" t="str">
        <f aca="false">HYPERLINK("https://mncourtfraud.com/file/MCRO_27-CR-19-1916_E-filed Comp-Order for Detention_2019-01-22_20240430091253.pdf","MCRO_27-CR-19-1916_E-filed Comp-Order for Detention_2019-01-22_20240430091253.pdf")</f>
        <v>MCRO_27-CR-19-1916_E-filed Comp-Order for Detention_2019-01-22_20240430091253.pdf</v>
      </c>
      <c r="C432" s="1" t="n">
        <v>4</v>
      </c>
      <c r="D432" s="1" t="n">
        <v>2</v>
      </c>
      <c r="E432" s="1" t="n">
        <v>2</v>
      </c>
      <c r="F432" s="3" t="s">
        <v>20</v>
      </c>
      <c r="G432" s="3" t="s">
        <v>1861</v>
      </c>
      <c r="H432" s="1" t="s">
        <v>22</v>
      </c>
      <c r="I432" s="1" t="n">
        <v>20240430091253</v>
      </c>
      <c r="J432" s="3" t="s">
        <v>1862</v>
      </c>
      <c r="K432" s="3" t="s">
        <v>1863</v>
      </c>
      <c r="L432" s="3" t="s">
        <v>1864</v>
      </c>
      <c r="M432" s="3" t="n">
        <v>483555</v>
      </c>
      <c r="N432" s="3" t="s">
        <v>559</v>
      </c>
      <c r="O432" s="1" t="n">
        <v>467169</v>
      </c>
      <c r="P432" s="1" t="n">
        <v>96.61</v>
      </c>
      <c r="Q432" s="1" t="s">
        <v>20</v>
      </c>
      <c r="R432" s="1" t="s">
        <v>27</v>
      </c>
      <c r="S432" s="1" t="s">
        <v>28</v>
      </c>
      <c r="T432" s="1" t="s">
        <v>29</v>
      </c>
    </row>
    <row r="433" customFormat="false" ht="18.7" hidden="false" customHeight="true" outlineLevel="0" collapsed="false">
      <c r="A433" s="1" t="n">
        <v>432</v>
      </c>
      <c r="B433" s="6" t="str">
        <f aca="false">HYPERLINK("https://mncourtfraud.com/file/MCRO_27-CR-19-1916_Finding of Incompetency and Order_2023-06-06_20240430091213.pdf","MCRO_27-CR-19-1916_Finding of Incompetency and Order_2023-06-06_20240430091213.pdf")</f>
        <v>MCRO_27-CR-19-1916_Finding of Incompetency and Order_2023-06-06_20240430091213.pdf</v>
      </c>
      <c r="C433" s="1" t="n">
        <v>9</v>
      </c>
      <c r="D433" s="1" t="n">
        <v>3</v>
      </c>
      <c r="E433" s="1" t="n">
        <v>3</v>
      </c>
      <c r="F433" s="3" t="s">
        <v>27</v>
      </c>
      <c r="G433" s="3" t="s">
        <v>1865</v>
      </c>
      <c r="H433" s="1" t="s">
        <v>22</v>
      </c>
      <c r="I433" s="1" t="n">
        <v>20240430091213</v>
      </c>
      <c r="J433" s="3" t="s">
        <v>1866</v>
      </c>
      <c r="K433" s="3" t="s">
        <v>1867</v>
      </c>
      <c r="L433" s="3" t="s">
        <v>1868</v>
      </c>
      <c r="M433" s="3" t="n">
        <v>963637</v>
      </c>
      <c r="N433" s="3" t="s">
        <v>385</v>
      </c>
      <c r="O433" s="1" t="n">
        <v>947251</v>
      </c>
      <c r="P433" s="1" t="n">
        <v>98.3</v>
      </c>
      <c r="Q433" s="1" t="s">
        <v>20</v>
      </c>
      <c r="R433" s="1" t="s">
        <v>27</v>
      </c>
      <c r="S433" s="1" t="s">
        <v>28</v>
      </c>
      <c r="T433" s="1" t="s">
        <v>29</v>
      </c>
    </row>
    <row r="434" customFormat="false" ht="18.7" hidden="false" customHeight="true" outlineLevel="0" collapsed="false">
      <c r="A434" s="1" t="n">
        <v>433</v>
      </c>
      <c r="B434" s="6" t="str">
        <f aca="false">HYPERLINK("https://mncourtfraud.com/file/MCRO_27-CR-19-1916_Finding of Incompetency and Order_2024-03-20_20240430091206.pdf","MCRO_27-CR-19-1916_Finding of Incompetency and Order_2024-03-20_20240430091206.pdf")</f>
        <v>MCRO_27-CR-19-1916_Finding of Incompetency and Order_2024-03-20_20240430091206.pdf</v>
      </c>
      <c r="C434" s="1" t="n">
        <v>9</v>
      </c>
      <c r="D434" s="1" t="n">
        <v>3</v>
      </c>
      <c r="E434" s="1" t="n">
        <v>3</v>
      </c>
      <c r="F434" s="3" t="s">
        <v>20</v>
      </c>
      <c r="G434" s="3" t="s">
        <v>1869</v>
      </c>
      <c r="H434" s="1" t="s">
        <v>22</v>
      </c>
      <c r="I434" s="1" t="n">
        <v>20240430091206</v>
      </c>
      <c r="J434" s="3" t="s">
        <v>1870</v>
      </c>
      <c r="K434" s="3" t="s">
        <v>1871</v>
      </c>
      <c r="L434" s="3" t="s">
        <v>1872</v>
      </c>
      <c r="M434" s="3" t="n">
        <v>959871</v>
      </c>
      <c r="N434" s="3" t="s">
        <v>390</v>
      </c>
      <c r="O434" s="1" t="n">
        <v>943485</v>
      </c>
      <c r="P434" s="1" t="n">
        <v>98.29</v>
      </c>
      <c r="Q434" s="1" t="s">
        <v>20</v>
      </c>
      <c r="R434" s="1" t="s">
        <v>27</v>
      </c>
      <c r="S434" s="1" t="s">
        <v>28</v>
      </c>
      <c r="T434" s="1" t="s">
        <v>29</v>
      </c>
    </row>
    <row r="435" customFormat="false" ht="18.7" hidden="false" customHeight="true" outlineLevel="0" collapsed="false">
      <c r="A435" s="1" t="n">
        <v>434</v>
      </c>
      <c r="B435" s="6" t="str">
        <f aca="false">HYPERLINK("https://mncourtfraud.com/file/MCRO_27-CR-19-1916_Find of Fact-Order, Pet Commitment-Dfd Found Incompetent_2019-02-26_20240430091248.pdf","MCRO_27-CR-19-1916_Find of Fact-Order, Pet Commitment-Dfd Found Incompetent_2019-02-26_20240430091248.pdf")</f>
        <v>MCRO_27-CR-19-1916_Find of Fact-Order, Pet Commitment-Dfd Found Incompetent_2019-02-26_20240430091248.pdf</v>
      </c>
      <c r="C435" s="1" t="n">
        <v>4</v>
      </c>
      <c r="D435" s="1" t="n">
        <v>2</v>
      </c>
      <c r="E435" s="1" t="n">
        <v>2</v>
      </c>
      <c r="F435" s="3" t="s">
        <v>20</v>
      </c>
      <c r="G435" s="3" t="s">
        <v>1873</v>
      </c>
      <c r="H435" s="1" t="s">
        <v>22</v>
      </c>
      <c r="I435" s="1" t="n">
        <v>20240430091248</v>
      </c>
      <c r="J435" s="3" t="s">
        <v>1874</v>
      </c>
      <c r="K435" s="3" t="s">
        <v>1875</v>
      </c>
      <c r="L435" s="3" t="s">
        <v>1876</v>
      </c>
      <c r="M435" s="3" t="n">
        <v>277274</v>
      </c>
      <c r="N435" s="3" t="s">
        <v>395</v>
      </c>
      <c r="O435" s="1" t="n">
        <v>260888</v>
      </c>
      <c r="P435" s="1" t="n">
        <v>94.09</v>
      </c>
      <c r="Q435" s="1" t="s">
        <v>20</v>
      </c>
      <c r="R435" s="1" t="s">
        <v>27</v>
      </c>
      <c r="S435" s="1" t="s">
        <v>28</v>
      </c>
      <c r="T435" s="1" t="s">
        <v>29</v>
      </c>
    </row>
    <row r="436" customFormat="false" ht="18.7" hidden="false" customHeight="true" outlineLevel="0" collapsed="false">
      <c r="A436" s="1" t="n">
        <v>435</v>
      </c>
      <c r="B436" s="6" t="str">
        <f aca="false">HYPERLINK("https://mncourtfraud.com/file/MCRO_27-CR-19-1916_Find of Fact-Order, Pet Commitment-Dfd Found Incompetent_2019-08-27_20240430091245.pdf","MCRO_27-CR-19-1916_Find of Fact-Order, Pet Commitment-Dfd Found Incompetent_2019-08-27_20240430091245.pdf")</f>
        <v>MCRO_27-CR-19-1916_Find of Fact-Order, Pet Commitment-Dfd Found Incompetent_2019-08-27_20240430091245.pdf</v>
      </c>
      <c r="C436" s="1" t="n">
        <v>4</v>
      </c>
      <c r="D436" s="1" t="n">
        <v>2</v>
      </c>
      <c r="E436" s="1" t="n">
        <v>2</v>
      </c>
      <c r="F436" s="3" t="s">
        <v>20</v>
      </c>
      <c r="G436" s="3" t="s">
        <v>1877</v>
      </c>
      <c r="H436" s="1" t="s">
        <v>22</v>
      </c>
      <c r="I436" s="1" t="n">
        <v>20240430091245</v>
      </c>
      <c r="J436" s="3" t="s">
        <v>1878</v>
      </c>
      <c r="K436" s="3" t="s">
        <v>1879</v>
      </c>
      <c r="L436" s="3" t="s">
        <v>1880</v>
      </c>
      <c r="M436" s="3" t="n">
        <v>302468</v>
      </c>
      <c r="N436" s="3" t="s">
        <v>400</v>
      </c>
      <c r="O436" s="1" t="n">
        <v>286082</v>
      </c>
      <c r="P436" s="1" t="n">
        <v>94.58</v>
      </c>
      <c r="Q436" s="1" t="s">
        <v>20</v>
      </c>
      <c r="R436" s="1" t="s">
        <v>27</v>
      </c>
      <c r="S436" s="1" t="s">
        <v>28</v>
      </c>
      <c r="T436" s="1" t="s">
        <v>29</v>
      </c>
    </row>
    <row r="437" customFormat="false" ht="18.7" hidden="false" customHeight="true" outlineLevel="0" collapsed="false">
      <c r="A437" s="1" t="n">
        <v>436</v>
      </c>
      <c r="B437" s="6" t="str">
        <f aca="false">HYPERLINK("https://mncourtfraud.com/file/MCRO_27-CR-19-1916_Notice by Attorney or Party_2021-04-01_20240430091230.pdf","MCRO_27-CR-19-1916_Notice by Attorney or Party_2021-04-01_20240430091230.pdf")</f>
        <v>MCRO_27-CR-19-1916_Notice by Attorney or Party_2021-04-01_20240430091230.pdf</v>
      </c>
      <c r="C437" s="1" t="n">
        <v>4</v>
      </c>
      <c r="D437" s="1" t="n">
        <v>1</v>
      </c>
      <c r="E437" s="1" t="n">
        <v>1</v>
      </c>
      <c r="F437" s="3" t="s">
        <v>20</v>
      </c>
      <c r="G437" s="3" t="s">
        <v>1881</v>
      </c>
      <c r="H437" s="1" t="s">
        <v>22</v>
      </c>
      <c r="I437" s="1" t="n">
        <v>20240430091230</v>
      </c>
      <c r="J437" s="3" t="s">
        <v>1882</v>
      </c>
      <c r="K437" s="3" t="s">
        <v>1883</v>
      </c>
      <c r="L437" s="3" t="s">
        <v>1884</v>
      </c>
      <c r="M437" s="3" t="n">
        <v>143450</v>
      </c>
      <c r="N437" s="3" t="s">
        <v>418</v>
      </c>
      <c r="O437" s="1" t="n">
        <v>127064</v>
      </c>
      <c r="P437" s="1" t="n">
        <v>88.58</v>
      </c>
      <c r="Q437" s="1" t="s">
        <v>20</v>
      </c>
      <c r="R437" s="1" t="s">
        <v>27</v>
      </c>
      <c r="S437" s="1" t="s">
        <v>28</v>
      </c>
      <c r="T437" s="1" t="s">
        <v>29</v>
      </c>
    </row>
    <row r="438" customFormat="false" ht="18.7" hidden="false" customHeight="true" outlineLevel="0" collapsed="false">
      <c r="A438" s="1" t="n">
        <v>437</v>
      </c>
      <c r="B438" s="6" t="str">
        <f aca="false">HYPERLINK("https://mncourtfraud.com/file/MCRO_27-CR-19-1916_Notice of Appearance_2020-02-25_20240430091242.pdf","MCRO_27-CR-19-1916_Notice of Appearance_2020-02-25_20240430091242.pdf")</f>
        <v>MCRO_27-CR-19-1916_Notice of Appearance_2020-02-25_20240430091242.pdf</v>
      </c>
      <c r="C438" s="1" t="n">
        <v>4</v>
      </c>
      <c r="D438" s="1" t="n">
        <v>1</v>
      </c>
      <c r="E438" s="1" t="n">
        <v>1</v>
      </c>
      <c r="F438" s="3" t="s">
        <v>20</v>
      </c>
      <c r="G438" s="3" t="s">
        <v>1885</v>
      </c>
      <c r="H438" s="1" t="s">
        <v>22</v>
      </c>
      <c r="I438" s="1" t="n">
        <v>20240430091242</v>
      </c>
      <c r="J438" s="3" t="s">
        <v>1886</v>
      </c>
      <c r="K438" s="3" t="s">
        <v>1887</v>
      </c>
      <c r="L438" s="3" t="s">
        <v>1888</v>
      </c>
      <c r="M438" s="3" t="n">
        <v>523082</v>
      </c>
      <c r="N438" s="3" t="s">
        <v>137</v>
      </c>
      <c r="O438" s="1" t="n">
        <v>506696</v>
      </c>
      <c r="P438" s="1" t="n">
        <v>96.87</v>
      </c>
      <c r="Q438" s="1" t="s">
        <v>20</v>
      </c>
      <c r="R438" s="1" t="s">
        <v>27</v>
      </c>
      <c r="S438" s="1" t="s">
        <v>28</v>
      </c>
      <c r="T438" s="1" t="s">
        <v>29</v>
      </c>
    </row>
    <row r="439" customFormat="false" ht="18.7" hidden="false" customHeight="true" outlineLevel="0" collapsed="false">
      <c r="A439" s="1" t="n">
        <v>438</v>
      </c>
      <c r="B439" s="6" t="str">
        <f aca="false">HYPERLINK("https://mncourtfraud.com/file/MCRO_27-CR-19-1916_Notice of Case Reassignment_2020-03-04_20240430091241.pdf","MCRO_27-CR-19-1916_Notice of Case Reassignment_2020-03-04_20240430091241.pdf")</f>
        <v>MCRO_27-CR-19-1916_Notice of Case Reassignment_2020-03-04_20240430091241.pdf</v>
      </c>
      <c r="C439" s="1" t="n">
        <v>4</v>
      </c>
      <c r="D439" s="1" t="n">
        <v>1</v>
      </c>
      <c r="E439" s="1" t="n">
        <v>1</v>
      </c>
      <c r="F439" s="3" t="s">
        <v>20</v>
      </c>
      <c r="G439" s="3" t="s">
        <v>1889</v>
      </c>
      <c r="H439" s="1" t="s">
        <v>22</v>
      </c>
      <c r="I439" s="1" t="n">
        <v>20240430091241</v>
      </c>
      <c r="J439" s="3" t="s">
        <v>1890</v>
      </c>
      <c r="K439" s="3" t="s">
        <v>1891</v>
      </c>
      <c r="L439" s="3" t="s">
        <v>1892</v>
      </c>
      <c r="M439" s="3" t="n">
        <v>286646</v>
      </c>
      <c r="N439" s="3" t="s">
        <v>137</v>
      </c>
      <c r="O439" s="1" t="n">
        <v>270260</v>
      </c>
      <c r="P439" s="1" t="n">
        <v>94.28</v>
      </c>
      <c r="Q439" s="1" t="s">
        <v>20</v>
      </c>
      <c r="R439" s="1" t="s">
        <v>27</v>
      </c>
      <c r="S439" s="1" t="s">
        <v>28</v>
      </c>
      <c r="T439" s="1" t="s">
        <v>29</v>
      </c>
    </row>
    <row r="440" customFormat="false" ht="18.7" hidden="false" customHeight="true" outlineLevel="0" collapsed="false">
      <c r="A440" s="1" t="n">
        <v>439</v>
      </c>
      <c r="B440" s="6" t="str">
        <f aca="false">HYPERLINK("https://mncourtfraud.com/file/MCRO_27-CR-19-1916_Notice of Hearing_2020-09-02_20240430091236.pdf","MCRO_27-CR-19-1916_Notice of Hearing_2020-09-02_20240430091236.pdf")</f>
        <v>MCRO_27-CR-19-1916_Notice of Hearing_2020-09-02_20240430091236.pdf</v>
      </c>
      <c r="C440" s="1" t="n">
        <v>4</v>
      </c>
      <c r="D440" s="1" t="n">
        <v>1</v>
      </c>
      <c r="E440" s="1" t="n">
        <v>1</v>
      </c>
      <c r="F440" s="3" t="s">
        <v>20</v>
      </c>
      <c r="G440" s="3" t="s">
        <v>1893</v>
      </c>
      <c r="H440" s="1" t="s">
        <v>22</v>
      </c>
      <c r="I440" s="1" t="n">
        <v>20240430091236</v>
      </c>
      <c r="J440" s="3" t="s">
        <v>1894</v>
      </c>
      <c r="K440" s="3" t="s">
        <v>1895</v>
      </c>
      <c r="L440" s="3" t="s">
        <v>1896</v>
      </c>
      <c r="M440" s="3" t="n">
        <v>101108</v>
      </c>
      <c r="N440" s="3" t="s">
        <v>137</v>
      </c>
      <c r="O440" s="1" t="n">
        <v>84722</v>
      </c>
      <c r="P440" s="1" t="n">
        <v>83.79</v>
      </c>
      <c r="Q440" s="1" t="s">
        <v>20</v>
      </c>
      <c r="R440" s="1" t="s">
        <v>27</v>
      </c>
      <c r="S440" s="1" t="s">
        <v>28</v>
      </c>
      <c r="T440" s="1" t="s">
        <v>29</v>
      </c>
    </row>
    <row r="441" customFormat="false" ht="18.7" hidden="false" customHeight="true" outlineLevel="0" collapsed="false">
      <c r="A441" s="1" t="n">
        <v>440</v>
      </c>
      <c r="B441" s="6" t="str">
        <f aca="false">HYPERLINK("https://mncourtfraud.com/file/MCRO_27-CR-19-1916_Notice of Hearing_2020-09-23_20240430091235.pdf","MCRO_27-CR-19-1916_Notice of Hearing_2020-09-23_20240430091235.pdf")</f>
        <v>MCRO_27-CR-19-1916_Notice of Hearing_2020-09-23_20240430091235.pdf</v>
      </c>
      <c r="C441" s="1" t="n">
        <v>4</v>
      </c>
      <c r="D441" s="1" t="n">
        <v>1</v>
      </c>
      <c r="E441" s="1" t="n">
        <v>1</v>
      </c>
      <c r="F441" s="3" t="s">
        <v>20</v>
      </c>
      <c r="G441" s="3" t="s">
        <v>1897</v>
      </c>
      <c r="H441" s="1" t="s">
        <v>22</v>
      </c>
      <c r="I441" s="1" t="n">
        <v>20240430091235</v>
      </c>
      <c r="J441" s="3" t="s">
        <v>1898</v>
      </c>
      <c r="K441" s="3" t="s">
        <v>1899</v>
      </c>
      <c r="L441" s="3" t="s">
        <v>1900</v>
      </c>
      <c r="M441" s="3" t="n">
        <v>89589</v>
      </c>
      <c r="N441" s="3" t="s">
        <v>137</v>
      </c>
      <c r="O441" s="1" t="n">
        <v>73203</v>
      </c>
      <c r="P441" s="1" t="n">
        <v>81.71</v>
      </c>
      <c r="Q441" s="1" t="s">
        <v>20</v>
      </c>
      <c r="R441" s="1" t="s">
        <v>27</v>
      </c>
      <c r="S441" s="1" t="s">
        <v>28</v>
      </c>
      <c r="T441" s="1" t="s">
        <v>29</v>
      </c>
    </row>
    <row r="442" customFormat="false" ht="18.7" hidden="false" customHeight="true" outlineLevel="0" collapsed="false">
      <c r="A442" s="1" t="n">
        <v>441</v>
      </c>
      <c r="B442" s="6" t="str">
        <f aca="false">HYPERLINK("https://mncourtfraud.com/file/MCRO_27-CR-19-1916_Notice of Hearing_2020-10-27_20240430091234.pdf","MCRO_27-CR-19-1916_Notice of Hearing_2020-10-27_20240430091234.pdf")</f>
        <v>MCRO_27-CR-19-1916_Notice of Hearing_2020-10-27_20240430091234.pdf</v>
      </c>
      <c r="C442" s="1" t="n">
        <v>4</v>
      </c>
      <c r="D442" s="1" t="n">
        <v>1</v>
      </c>
      <c r="E442" s="1" t="n">
        <v>1</v>
      </c>
      <c r="F442" s="3" t="s">
        <v>20</v>
      </c>
      <c r="G442" s="3" t="s">
        <v>1901</v>
      </c>
      <c r="H442" s="1" t="s">
        <v>22</v>
      </c>
      <c r="I442" s="1" t="n">
        <v>20240430091234</v>
      </c>
      <c r="J442" s="3" t="s">
        <v>1902</v>
      </c>
      <c r="K442" s="3" t="s">
        <v>1903</v>
      </c>
      <c r="L442" s="3" t="s">
        <v>1904</v>
      </c>
      <c r="M442" s="3" t="n">
        <v>89771</v>
      </c>
      <c r="N442" s="3" t="s">
        <v>137</v>
      </c>
      <c r="O442" s="1" t="n">
        <v>73385</v>
      </c>
      <c r="P442" s="1" t="n">
        <v>81.75</v>
      </c>
      <c r="Q442" s="1" t="s">
        <v>20</v>
      </c>
      <c r="R442" s="1" t="s">
        <v>27</v>
      </c>
      <c r="S442" s="1" t="s">
        <v>28</v>
      </c>
      <c r="T442" s="1" t="s">
        <v>29</v>
      </c>
    </row>
    <row r="443" customFormat="false" ht="18.7" hidden="false" customHeight="true" outlineLevel="0" collapsed="false">
      <c r="A443" s="1" t="n">
        <v>442</v>
      </c>
      <c r="B443" s="6" t="str">
        <f aca="false">HYPERLINK("https://mncourtfraud.com/file/MCRO_27-CR-19-1916_Notice of Hearing_2020-11-17_20240430091232.pdf","MCRO_27-CR-19-1916_Notice of Hearing_2020-11-17_20240430091232.pdf")</f>
        <v>MCRO_27-CR-19-1916_Notice of Hearing_2020-11-17_20240430091232.pdf</v>
      </c>
      <c r="C443" s="1" t="n">
        <v>4</v>
      </c>
      <c r="D443" s="1" t="n">
        <v>1</v>
      </c>
      <c r="E443" s="1" t="n">
        <v>1</v>
      </c>
      <c r="F443" s="3" t="s">
        <v>20</v>
      </c>
      <c r="G443" s="3" t="s">
        <v>1905</v>
      </c>
      <c r="H443" s="1" t="s">
        <v>22</v>
      </c>
      <c r="I443" s="1" t="n">
        <v>20240430091232</v>
      </c>
      <c r="J443" s="3" t="s">
        <v>1906</v>
      </c>
      <c r="K443" s="3" t="s">
        <v>1907</v>
      </c>
      <c r="L443" s="3" t="s">
        <v>1908</v>
      </c>
      <c r="M443" s="3" t="n">
        <v>92110</v>
      </c>
      <c r="N443" s="3" t="s">
        <v>456</v>
      </c>
      <c r="O443" s="1" t="n">
        <v>75724</v>
      </c>
      <c r="P443" s="1" t="n">
        <v>82.21</v>
      </c>
      <c r="Q443" s="1" t="s">
        <v>20</v>
      </c>
      <c r="R443" s="1" t="s">
        <v>27</v>
      </c>
      <c r="S443" s="1" t="s">
        <v>28</v>
      </c>
      <c r="T443" s="1" t="s">
        <v>29</v>
      </c>
    </row>
    <row r="444" customFormat="false" ht="18.7" hidden="false" customHeight="true" outlineLevel="0" collapsed="false">
      <c r="A444" s="1" t="n">
        <v>443</v>
      </c>
      <c r="B444" s="6" t="str">
        <f aca="false">HYPERLINK("https://mncourtfraud.com/file/MCRO_27-CR-19-1916_Notice of Hearing_2021-01-13_20240430091231.pdf","MCRO_27-CR-19-1916_Notice of Hearing_2021-01-13_20240430091231.pdf")</f>
        <v>MCRO_27-CR-19-1916_Notice of Hearing_2021-01-13_20240430091231.pdf</v>
      </c>
      <c r="C444" s="1" t="n">
        <v>4</v>
      </c>
      <c r="D444" s="1" t="n">
        <v>1</v>
      </c>
      <c r="E444" s="1" t="n">
        <v>1</v>
      </c>
      <c r="F444" s="3" t="s">
        <v>20</v>
      </c>
      <c r="G444" s="3" t="s">
        <v>1909</v>
      </c>
      <c r="H444" s="1" t="s">
        <v>22</v>
      </c>
      <c r="I444" s="1" t="n">
        <v>20240430091231</v>
      </c>
      <c r="J444" s="3" t="s">
        <v>1910</v>
      </c>
      <c r="K444" s="3" t="s">
        <v>1911</v>
      </c>
      <c r="L444" s="3" t="s">
        <v>1912</v>
      </c>
      <c r="M444" s="3" t="n">
        <v>96979</v>
      </c>
      <c r="N444" s="3" t="s">
        <v>456</v>
      </c>
      <c r="O444" s="1" t="n">
        <v>80593</v>
      </c>
      <c r="P444" s="1" t="n">
        <v>83.1</v>
      </c>
      <c r="Q444" s="1" t="s">
        <v>20</v>
      </c>
      <c r="R444" s="1" t="s">
        <v>27</v>
      </c>
      <c r="S444" s="1" t="s">
        <v>28</v>
      </c>
      <c r="T444" s="1" t="s">
        <v>29</v>
      </c>
    </row>
    <row r="445" customFormat="false" ht="18.7" hidden="false" customHeight="true" outlineLevel="0" collapsed="false">
      <c r="A445" s="1" t="n">
        <v>444</v>
      </c>
      <c r="B445" s="6" t="str">
        <f aca="false">HYPERLINK("https://mncourtfraud.com/file/MCRO_27-CR-19-1916_Notice of Hearing_2021-07-14_20240430091228.pdf","MCRO_27-CR-19-1916_Notice of Hearing_2021-07-14_20240430091228.pdf")</f>
        <v>MCRO_27-CR-19-1916_Notice of Hearing_2021-07-14_20240430091228.pdf</v>
      </c>
      <c r="C445" s="1" t="n">
        <v>4</v>
      </c>
      <c r="D445" s="1" t="n">
        <v>1</v>
      </c>
      <c r="E445" s="1" t="n">
        <v>1</v>
      </c>
      <c r="F445" s="3" t="s">
        <v>20</v>
      </c>
      <c r="G445" s="3" t="s">
        <v>1913</v>
      </c>
      <c r="H445" s="1" t="s">
        <v>22</v>
      </c>
      <c r="I445" s="1" t="n">
        <v>20240430091228</v>
      </c>
      <c r="J445" s="3" t="s">
        <v>1914</v>
      </c>
      <c r="K445" s="3" t="s">
        <v>1915</v>
      </c>
      <c r="L445" s="3" t="s">
        <v>1916</v>
      </c>
      <c r="M445" s="3" t="n">
        <v>98416</v>
      </c>
      <c r="N445" s="3" t="s">
        <v>456</v>
      </c>
      <c r="O445" s="1" t="n">
        <v>82030</v>
      </c>
      <c r="P445" s="1" t="n">
        <v>83.35</v>
      </c>
      <c r="Q445" s="1" t="s">
        <v>20</v>
      </c>
      <c r="R445" s="1" t="s">
        <v>27</v>
      </c>
      <c r="S445" s="1" t="s">
        <v>28</v>
      </c>
      <c r="T445" s="1" t="s">
        <v>29</v>
      </c>
    </row>
    <row r="446" customFormat="false" ht="18.7" hidden="false" customHeight="true" outlineLevel="0" collapsed="false">
      <c r="A446" s="1" t="n">
        <v>445</v>
      </c>
      <c r="B446" s="6" t="str">
        <f aca="false">HYPERLINK("https://mncourtfraud.com/file/MCRO_27-CR-19-1916_Notice of Hearing_2022-08-29_20240430091221.pdf","MCRO_27-CR-19-1916_Notice of Hearing_2022-08-29_20240430091221.pdf")</f>
        <v>MCRO_27-CR-19-1916_Notice of Hearing_2022-08-29_20240430091221.pdf</v>
      </c>
      <c r="C446" s="1" t="n">
        <v>5</v>
      </c>
      <c r="D446" s="1" t="n">
        <v>1</v>
      </c>
      <c r="E446" s="1" t="n">
        <v>1</v>
      </c>
      <c r="F446" s="3" t="s">
        <v>20</v>
      </c>
      <c r="G446" s="3" t="s">
        <v>1917</v>
      </c>
      <c r="H446" s="1" t="s">
        <v>22</v>
      </c>
      <c r="I446" s="1" t="n">
        <v>20240430091221</v>
      </c>
      <c r="J446" s="3" t="s">
        <v>1918</v>
      </c>
      <c r="K446" s="3" t="s">
        <v>1919</v>
      </c>
      <c r="L446" s="3" t="s">
        <v>1920</v>
      </c>
      <c r="M446" s="3" t="n">
        <v>191503</v>
      </c>
      <c r="N446" s="3" t="s">
        <v>467</v>
      </c>
      <c r="O446" s="1" t="n">
        <v>175117</v>
      </c>
      <c r="P446" s="1" t="n">
        <v>91.44</v>
      </c>
      <c r="Q446" s="1" t="s">
        <v>20</v>
      </c>
      <c r="R446" s="1" t="s">
        <v>27</v>
      </c>
      <c r="S446" s="1" t="s">
        <v>28</v>
      </c>
      <c r="T446" s="1" t="s">
        <v>29</v>
      </c>
    </row>
    <row r="447" customFormat="false" ht="18.7" hidden="false" customHeight="true" outlineLevel="0" collapsed="false">
      <c r="A447" s="1" t="n">
        <v>446</v>
      </c>
      <c r="B447" s="6" t="str">
        <f aca="false">HYPERLINK("https://mncourtfraud.com/file/MCRO_27-CR-19-1916_Notice of Hearing_2022-09-15_20240430091221.pdf","MCRO_27-CR-19-1916_Notice of Hearing_2022-09-15_20240430091221.pdf")</f>
        <v>MCRO_27-CR-19-1916_Notice of Hearing_2022-09-15_20240430091221.pdf</v>
      </c>
      <c r="C447" s="1" t="n">
        <v>5</v>
      </c>
      <c r="D447" s="1" t="n">
        <v>1</v>
      </c>
      <c r="E447" s="1" t="n">
        <v>1</v>
      </c>
      <c r="F447" s="3" t="s">
        <v>20</v>
      </c>
      <c r="G447" s="3" t="s">
        <v>1921</v>
      </c>
      <c r="H447" s="1" t="s">
        <v>22</v>
      </c>
      <c r="I447" s="1" t="n">
        <v>20240430091221</v>
      </c>
      <c r="J447" s="3" t="s">
        <v>1918</v>
      </c>
      <c r="K447" s="3" t="s">
        <v>1919</v>
      </c>
      <c r="L447" s="3" t="s">
        <v>1922</v>
      </c>
      <c r="M447" s="3" t="n">
        <v>191924</v>
      </c>
      <c r="N447" s="3" t="s">
        <v>467</v>
      </c>
      <c r="O447" s="1" t="n">
        <v>175538</v>
      </c>
      <c r="P447" s="1" t="n">
        <v>91.46</v>
      </c>
      <c r="Q447" s="1" t="s">
        <v>20</v>
      </c>
      <c r="R447" s="1" t="s">
        <v>27</v>
      </c>
      <c r="S447" s="1" t="s">
        <v>28</v>
      </c>
      <c r="T447" s="1" t="s">
        <v>29</v>
      </c>
    </row>
    <row r="448" customFormat="false" ht="18.7" hidden="false" customHeight="true" outlineLevel="0" collapsed="false">
      <c r="A448" s="1" t="n">
        <v>447</v>
      </c>
      <c r="B448" s="6" t="str">
        <f aca="false">HYPERLINK("https://mncourtfraud.com/file/MCRO_27-CR-19-1916_Notice of Hearing_2022-09-21_20240430091218.pdf","MCRO_27-CR-19-1916_Notice of Hearing_2022-09-21_20240430091218.pdf")</f>
        <v>MCRO_27-CR-19-1916_Notice of Hearing_2022-09-21_20240430091218.pdf</v>
      </c>
      <c r="C448" s="1" t="n">
        <v>5</v>
      </c>
      <c r="D448" s="1" t="n">
        <v>1</v>
      </c>
      <c r="E448" s="1" t="n">
        <v>1</v>
      </c>
      <c r="F448" s="3" t="s">
        <v>20</v>
      </c>
      <c r="G448" s="3" t="s">
        <v>1923</v>
      </c>
      <c r="H448" s="1" t="s">
        <v>22</v>
      </c>
      <c r="I448" s="1" t="n">
        <v>20240430091218</v>
      </c>
      <c r="J448" s="3" t="s">
        <v>1924</v>
      </c>
      <c r="K448" s="3" t="s">
        <v>1925</v>
      </c>
      <c r="L448" s="3" t="s">
        <v>1926</v>
      </c>
      <c r="M448" s="3" t="n">
        <v>191651</v>
      </c>
      <c r="N448" s="3" t="s">
        <v>476</v>
      </c>
      <c r="O448" s="1" t="n">
        <v>175265</v>
      </c>
      <c r="P448" s="1" t="n">
        <v>91.45</v>
      </c>
      <c r="Q448" s="1" t="s">
        <v>20</v>
      </c>
      <c r="R448" s="1" t="s">
        <v>27</v>
      </c>
      <c r="S448" s="1" t="s">
        <v>28</v>
      </c>
      <c r="T448" s="1" t="s">
        <v>29</v>
      </c>
    </row>
    <row r="449" customFormat="false" ht="18.7" hidden="false" customHeight="true" outlineLevel="0" collapsed="false">
      <c r="A449" s="1" t="n">
        <v>448</v>
      </c>
      <c r="B449" s="6" t="str">
        <f aca="false">HYPERLINK("https://mncourtfraud.com/file/MCRO_27-CR-19-1916_Notice of Motion and Motion_2019-03-06_20240430091247.pdf","MCRO_27-CR-19-1916_Notice of Motion and Motion_2019-03-06_20240430091247.pdf")</f>
        <v>MCRO_27-CR-19-1916_Notice of Motion and Motion_2019-03-06_20240430091247.pdf</v>
      </c>
      <c r="C449" s="1" t="n">
        <v>3</v>
      </c>
      <c r="D449" s="1" t="n">
        <v>1</v>
      </c>
      <c r="E449" s="1" t="n">
        <v>1</v>
      </c>
      <c r="F449" s="3" t="s">
        <v>20</v>
      </c>
      <c r="G449" s="3" t="s">
        <v>1927</v>
      </c>
      <c r="H449" s="1" t="s">
        <v>22</v>
      </c>
      <c r="I449" s="1" t="n">
        <v>20240430091247</v>
      </c>
      <c r="J449" s="3" t="s">
        <v>1928</v>
      </c>
      <c r="K449" s="3" t="s">
        <v>1929</v>
      </c>
      <c r="L449" s="3" t="s">
        <v>1930</v>
      </c>
      <c r="M449" s="3" t="n">
        <v>238944</v>
      </c>
      <c r="N449" s="3" t="s">
        <v>1278</v>
      </c>
      <c r="O449" s="1" t="n">
        <v>222558</v>
      </c>
      <c r="P449" s="1" t="n">
        <v>93.14</v>
      </c>
      <c r="Q449" s="1" t="s">
        <v>20</v>
      </c>
      <c r="R449" s="1" t="s">
        <v>27</v>
      </c>
      <c r="S449" s="1" t="s">
        <v>28</v>
      </c>
      <c r="T449" s="1" t="s">
        <v>29</v>
      </c>
    </row>
    <row r="450" customFormat="false" ht="18.7" hidden="false" customHeight="true" outlineLevel="0" collapsed="false">
      <c r="A450" s="1" t="n">
        <v>449</v>
      </c>
      <c r="B450" s="6" t="str">
        <f aca="false">HYPERLINK("https://mncourtfraud.com/file/MCRO_27-CR-19-1916_Notice of Remote Hearing with Instructions_2022-01-10_20240430091227.pdf","MCRO_27-CR-19-1916_Notice of Remote Hearing with Instructions_2022-01-10_20240430091227.pdf")</f>
        <v>MCRO_27-CR-19-1916_Notice of Remote Hearing with Instructions_2022-01-10_20240430091227.pdf</v>
      </c>
      <c r="C450" s="1" t="n">
        <v>5</v>
      </c>
      <c r="D450" s="1" t="n">
        <v>1</v>
      </c>
      <c r="E450" s="1" t="n">
        <v>1</v>
      </c>
      <c r="F450" s="3" t="s">
        <v>20</v>
      </c>
      <c r="G450" s="3" t="s">
        <v>1931</v>
      </c>
      <c r="H450" s="1" t="s">
        <v>22</v>
      </c>
      <c r="I450" s="1" t="n">
        <v>20240430091227</v>
      </c>
      <c r="J450" s="3" t="s">
        <v>1932</v>
      </c>
      <c r="K450" s="3" t="s">
        <v>1933</v>
      </c>
      <c r="L450" s="3" t="s">
        <v>1934</v>
      </c>
      <c r="M450" s="3" t="n">
        <v>311904</v>
      </c>
      <c r="N450" s="3" t="s">
        <v>491</v>
      </c>
      <c r="O450" s="1" t="n">
        <v>295518</v>
      </c>
      <c r="P450" s="1" t="n">
        <v>94.75</v>
      </c>
      <c r="Q450" s="1" t="s">
        <v>20</v>
      </c>
      <c r="R450" s="1" t="s">
        <v>27</v>
      </c>
      <c r="S450" s="1" t="s">
        <v>28</v>
      </c>
      <c r="T450" s="1" t="s">
        <v>29</v>
      </c>
    </row>
    <row r="451" customFormat="false" ht="18.7" hidden="false" customHeight="true" outlineLevel="0" collapsed="false">
      <c r="A451" s="1" t="n">
        <v>450</v>
      </c>
      <c r="B451" s="6" t="str">
        <f aca="false">HYPERLINK("https://mncourtfraud.com/file/MCRO_27-CR-19-1916_Notice of Remote Hearing with Instructions_2022-01-25_20240430091226.pdf","MCRO_27-CR-19-1916_Notice of Remote Hearing with Instructions_2022-01-25_20240430091226.pdf")</f>
        <v>MCRO_27-CR-19-1916_Notice of Remote Hearing with Instructions_2022-01-25_20240430091226.pdf</v>
      </c>
      <c r="C451" s="1" t="n">
        <v>4</v>
      </c>
      <c r="D451" s="1" t="n">
        <v>1</v>
      </c>
      <c r="E451" s="1" t="n">
        <v>1</v>
      </c>
      <c r="F451" s="3" t="s">
        <v>20</v>
      </c>
      <c r="G451" s="3" t="s">
        <v>1935</v>
      </c>
      <c r="H451" s="1" t="s">
        <v>22</v>
      </c>
      <c r="I451" s="1" t="n">
        <v>20240430091226</v>
      </c>
      <c r="J451" s="3" t="s">
        <v>1936</v>
      </c>
      <c r="K451" s="3" t="s">
        <v>1937</v>
      </c>
      <c r="L451" s="3" t="s">
        <v>495</v>
      </c>
      <c r="M451" s="3" t="n">
        <v>142891</v>
      </c>
      <c r="N451" s="3" t="s">
        <v>361</v>
      </c>
      <c r="O451" s="1" t="n">
        <v>126505</v>
      </c>
      <c r="P451" s="1" t="n">
        <v>88.53</v>
      </c>
      <c r="Q451" s="1" t="s">
        <v>20</v>
      </c>
      <c r="R451" s="1" t="s">
        <v>27</v>
      </c>
      <c r="S451" s="1" t="s">
        <v>28</v>
      </c>
      <c r="T451" s="1" t="s">
        <v>29</v>
      </c>
    </row>
    <row r="452" customFormat="false" ht="18.7" hidden="false" customHeight="true" outlineLevel="0" collapsed="false">
      <c r="A452" s="1" t="n">
        <v>451</v>
      </c>
      <c r="B452" s="6" t="str">
        <f aca="false">HYPERLINK("https://mncourtfraud.com/file/MCRO_27-CR-19-1916_Notice of Remote Hearing with Instructions_2023-02-08_20240430091216.pdf","MCRO_27-CR-19-1916_Notice of Remote Hearing with Instructions_2023-02-08_20240430091216.pdf")</f>
        <v>MCRO_27-CR-19-1916_Notice of Remote Hearing with Instructions_2023-02-08_20240430091216.pdf</v>
      </c>
      <c r="C452" s="1" t="n">
        <v>5</v>
      </c>
      <c r="D452" s="1" t="n">
        <v>1</v>
      </c>
      <c r="E452" s="1" t="n">
        <v>1</v>
      </c>
      <c r="F452" s="3" t="s">
        <v>20</v>
      </c>
      <c r="G452" s="3" t="s">
        <v>1938</v>
      </c>
      <c r="H452" s="1" t="s">
        <v>22</v>
      </c>
      <c r="I452" s="1" t="n">
        <v>20240430091216</v>
      </c>
      <c r="J452" s="3" t="s">
        <v>1939</v>
      </c>
      <c r="K452" s="3" t="s">
        <v>1940</v>
      </c>
      <c r="L452" s="3" t="s">
        <v>1941</v>
      </c>
      <c r="M452" s="3" t="n">
        <v>848939</v>
      </c>
      <c r="N452" s="3" t="s">
        <v>500</v>
      </c>
      <c r="O452" s="1" t="n">
        <v>832553</v>
      </c>
      <c r="P452" s="1" t="n">
        <v>98.07</v>
      </c>
      <c r="Q452" s="1" t="s">
        <v>20</v>
      </c>
      <c r="R452" s="1" t="s">
        <v>27</v>
      </c>
      <c r="S452" s="1" t="s">
        <v>28</v>
      </c>
      <c r="T452" s="1" t="s">
        <v>29</v>
      </c>
    </row>
    <row r="453" customFormat="false" ht="18.7" hidden="false" customHeight="true" outlineLevel="0" collapsed="false">
      <c r="A453" s="1" t="n">
        <v>452</v>
      </c>
      <c r="B453" s="6" t="str">
        <f aca="false">HYPERLINK("https://mncourtfraud.com/file/MCRO_27-CR-19-1916_Notice of Remote Hearing with Instructions_2023-04-05_20240430091214.pdf","MCRO_27-CR-19-1916_Notice of Remote Hearing with Instructions_2023-04-05_20240430091214.pdf")</f>
        <v>MCRO_27-CR-19-1916_Notice of Remote Hearing with Instructions_2023-04-05_20240430091214.pdf</v>
      </c>
      <c r="C453" s="1" t="n">
        <v>5</v>
      </c>
      <c r="D453" s="1" t="n">
        <v>1</v>
      </c>
      <c r="E453" s="1" t="n">
        <v>1</v>
      </c>
      <c r="F453" s="3" t="s">
        <v>20</v>
      </c>
      <c r="G453" s="3" t="s">
        <v>1942</v>
      </c>
      <c r="H453" s="1" t="s">
        <v>22</v>
      </c>
      <c r="I453" s="1" t="n">
        <v>20240430091214</v>
      </c>
      <c r="J453" s="3" t="s">
        <v>1943</v>
      </c>
      <c r="K453" s="3" t="s">
        <v>1944</v>
      </c>
      <c r="L453" s="3" t="s">
        <v>1776</v>
      </c>
      <c r="M453" s="3" t="n">
        <v>849818</v>
      </c>
      <c r="N453" s="3" t="s">
        <v>505</v>
      </c>
      <c r="O453" s="1" t="n">
        <v>833432</v>
      </c>
      <c r="P453" s="1" t="n">
        <v>98.07</v>
      </c>
      <c r="Q453" s="1" t="s">
        <v>20</v>
      </c>
      <c r="R453" s="1" t="s">
        <v>27</v>
      </c>
      <c r="S453" s="1" t="s">
        <v>28</v>
      </c>
      <c r="T453" s="1" t="s">
        <v>29</v>
      </c>
    </row>
    <row r="454" customFormat="false" ht="18.7" hidden="false" customHeight="true" outlineLevel="0" collapsed="false">
      <c r="A454" s="1" t="n">
        <v>453</v>
      </c>
      <c r="B454" s="6" t="str">
        <f aca="false">HYPERLINK("https://mncourtfraud.com/file/MCRO_27-CR-19-1916_Notice of Remote Hearing with Instructions_2023-06-12_20240430091212.pdf","MCRO_27-CR-19-1916_Notice of Remote Hearing with Instructions_2023-06-12_20240430091212.pdf")</f>
        <v>MCRO_27-CR-19-1916_Notice of Remote Hearing with Instructions_2023-06-12_20240430091212.pdf</v>
      </c>
      <c r="C454" s="1" t="n">
        <v>5</v>
      </c>
      <c r="D454" s="1" t="n">
        <v>1</v>
      </c>
      <c r="E454" s="1" t="n">
        <v>1</v>
      </c>
      <c r="F454" s="3" t="s">
        <v>20</v>
      </c>
      <c r="G454" s="3" t="s">
        <v>1945</v>
      </c>
      <c r="H454" s="1" t="s">
        <v>22</v>
      </c>
      <c r="I454" s="1" t="n">
        <v>20240430091212</v>
      </c>
      <c r="J454" s="3" t="s">
        <v>1946</v>
      </c>
      <c r="K454" s="3" t="s">
        <v>1947</v>
      </c>
      <c r="L454" s="3" t="s">
        <v>1780</v>
      </c>
      <c r="M454" s="3" t="n">
        <v>843736</v>
      </c>
      <c r="N454" s="3" t="s">
        <v>510</v>
      </c>
      <c r="O454" s="1" t="n">
        <v>827350</v>
      </c>
      <c r="P454" s="1" t="n">
        <v>98.06</v>
      </c>
      <c r="Q454" s="1" t="s">
        <v>20</v>
      </c>
      <c r="R454" s="1" t="s">
        <v>27</v>
      </c>
      <c r="S454" s="1" t="s">
        <v>28</v>
      </c>
      <c r="T454" s="1" t="s">
        <v>29</v>
      </c>
    </row>
    <row r="455" customFormat="false" ht="18.7" hidden="false" customHeight="true" outlineLevel="0" collapsed="false">
      <c r="A455" s="1" t="n">
        <v>454</v>
      </c>
      <c r="B455" s="6" t="str">
        <f aca="false">HYPERLINK("https://mncourtfraud.com/file/MCRO_27-CR-19-1916_Notice of Remote Hearing with Instructions_2024-01-02_20240430091210.pdf","MCRO_27-CR-19-1916_Notice of Remote Hearing with Instructions_2024-01-02_20240430091210.pdf")</f>
        <v>MCRO_27-CR-19-1916_Notice of Remote Hearing with Instructions_2024-01-02_20240430091210.pdf</v>
      </c>
      <c r="C455" s="1" t="n">
        <v>4</v>
      </c>
      <c r="D455" s="1" t="n">
        <v>1</v>
      </c>
      <c r="E455" s="1" t="n">
        <v>1</v>
      </c>
      <c r="F455" s="3" t="s">
        <v>20</v>
      </c>
      <c r="G455" s="3" t="s">
        <v>1948</v>
      </c>
      <c r="H455" s="1" t="s">
        <v>22</v>
      </c>
      <c r="I455" s="1" t="n">
        <v>20240430091210</v>
      </c>
      <c r="J455" s="3" t="s">
        <v>1949</v>
      </c>
      <c r="K455" s="3" t="s">
        <v>1950</v>
      </c>
      <c r="L455" s="3" t="s">
        <v>1951</v>
      </c>
      <c r="M455" s="3" t="n">
        <v>269828</v>
      </c>
      <c r="N455" s="3" t="s">
        <v>74</v>
      </c>
      <c r="O455" s="1" t="n">
        <v>253442</v>
      </c>
      <c r="P455" s="1" t="n">
        <v>93.93</v>
      </c>
      <c r="Q455" s="1" t="s">
        <v>20</v>
      </c>
      <c r="R455" s="1" t="s">
        <v>27</v>
      </c>
      <c r="S455" s="1" t="s">
        <v>28</v>
      </c>
      <c r="T455" s="1" t="s">
        <v>29</v>
      </c>
    </row>
    <row r="456" customFormat="false" ht="18.7" hidden="false" customHeight="true" outlineLevel="0" collapsed="false">
      <c r="A456" s="1" t="n">
        <v>455</v>
      </c>
      <c r="B456" s="6" t="str">
        <f aca="false">HYPERLINK("https://mncourtfraud.com/file/MCRO_27-CR-19-1916_Notice of Remote Hearing with Instructions_2024-03-12_20240430091207.pdf","MCRO_27-CR-19-1916_Notice of Remote Hearing with Instructions_2024-03-12_20240430091207.pdf")</f>
        <v>MCRO_27-CR-19-1916_Notice of Remote Hearing with Instructions_2024-03-12_20240430091207.pdf</v>
      </c>
      <c r="C456" s="1" t="n">
        <v>4</v>
      </c>
      <c r="D456" s="1" t="n">
        <v>1</v>
      </c>
      <c r="E456" s="1" t="n">
        <v>1</v>
      </c>
      <c r="F456" s="3" t="s">
        <v>20</v>
      </c>
      <c r="G456" s="3" t="s">
        <v>1952</v>
      </c>
      <c r="H456" s="1" t="s">
        <v>22</v>
      </c>
      <c r="I456" s="1" t="n">
        <v>20240430091207</v>
      </c>
      <c r="J456" s="3" t="s">
        <v>1870</v>
      </c>
      <c r="K456" s="3" t="s">
        <v>1871</v>
      </c>
      <c r="L456" s="3" t="s">
        <v>1953</v>
      </c>
      <c r="M456" s="3" t="n">
        <v>254783</v>
      </c>
      <c r="N456" s="3" t="s">
        <v>74</v>
      </c>
      <c r="O456" s="1" t="n">
        <v>238397</v>
      </c>
      <c r="P456" s="1" t="n">
        <v>93.57</v>
      </c>
      <c r="Q456" s="1" t="s">
        <v>20</v>
      </c>
      <c r="R456" s="1" t="s">
        <v>27</v>
      </c>
      <c r="S456" s="1" t="s">
        <v>28</v>
      </c>
      <c r="T456" s="1" t="s">
        <v>29</v>
      </c>
    </row>
    <row r="457" customFormat="false" ht="18.7" hidden="false" customHeight="true" outlineLevel="0" collapsed="false">
      <c r="A457" s="1" t="n">
        <v>456</v>
      </c>
      <c r="B457" s="6" t="str">
        <f aca="false">HYPERLINK("https://mncourtfraud.com/file/MCRO_27-CR-19-1916_Order-Evaluation for Competency to Proceed (Rule 20.01)_2019-01-28_20240430091250.pdf","MCRO_27-CR-19-1916_Order-Evaluation for Competency to Proceed (Rule 20.01)_2019-01-28_20240430091250.pdf")</f>
        <v>MCRO_27-CR-19-1916_Order-Evaluation for Competency to Proceed (Rule 20.01)_2019-01-28_20240430091250.pdf</v>
      </c>
      <c r="C457" s="1" t="n">
        <v>4</v>
      </c>
      <c r="D457" s="1" t="n">
        <v>1</v>
      </c>
      <c r="E457" s="1" t="n">
        <v>1</v>
      </c>
      <c r="F457" s="3" t="s">
        <v>20</v>
      </c>
      <c r="G457" s="3" t="s">
        <v>1954</v>
      </c>
      <c r="H457" s="1" t="s">
        <v>22</v>
      </c>
      <c r="I457" s="1" t="n">
        <v>20240430091250</v>
      </c>
      <c r="J457" s="3" t="s">
        <v>1955</v>
      </c>
      <c r="K457" s="3" t="s">
        <v>1956</v>
      </c>
      <c r="L457" s="3" t="s">
        <v>1957</v>
      </c>
      <c r="M457" s="3" t="n">
        <v>161392</v>
      </c>
      <c r="N457" s="3" t="s">
        <v>456</v>
      </c>
      <c r="O457" s="1" t="n">
        <v>145006</v>
      </c>
      <c r="P457" s="1" t="n">
        <v>89.85</v>
      </c>
      <c r="Q457" s="1" t="s">
        <v>20</v>
      </c>
      <c r="R457" s="1" t="s">
        <v>27</v>
      </c>
      <c r="S457" s="1" t="s">
        <v>28</v>
      </c>
      <c r="T457" s="1" t="s">
        <v>29</v>
      </c>
    </row>
    <row r="458" customFormat="false" ht="18.7" hidden="false" customHeight="true" outlineLevel="0" collapsed="false">
      <c r="A458" s="1" t="n">
        <v>457</v>
      </c>
      <c r="B458" s="6" t="str">
        <f aca="false">HYPERLINK("https://mncourtfraud.com/file/MCRO_27-CR-19-1916_Order-Evaluation for Competency to Proceed (Rule 20.01)_2019-02-05_20240430091249.pdf","MCRO_27-CR-19-1916_Order-Evaluation for Competency to Proceed (Rule 20.01)_2019-02-05_20240430091249.pdf")</f>
        <v>MCRO_27-CR-19-1916_Order-Evaluation for Competency to Proceed (Rule 20.01)_2019-02-05_20240430091249.pdf</v>
      </c>
      <c r="C458" s="1" t="n">
        <v>4</v>
      </c>
      <c r="D458" s="1" t="n">
        <v>1</v>
      </c>
      <c r="E458" s="1" t="n">
        <v>1</v>
      </c>
      <c r="F458" s="3" t="s">
        <v>20</v>
      </c>
      <c r="G458" s="3" t="s">
        <v>1958</v>
      </c>
      <c r="H458" s="1" t="s">
        <v>22</v>
      </c>
      <c r="I458" s="1" t="n">
        <v>20240430091249</v>
      </c>
      <c r="J458" s="3" t="s">
        <v>1959</v>
      </c>
      <c r="K458" s="3" t="s">
        <v>1960</v>
      </c>
      <c r="L458" s="3" t="s">
        <v>1961</v>
      </c>
      <c r="M458" s="3" t="n">
        <v>162701</v>
      </c>
      <c r="N458" s="3" t="s">
        <v>486</v>
      </c>
      <c r="O458" s="1" t="n">
        <v>146315</v>
      </c>
      <c r="P458" s="1" t="n">
        <v>89.93</v>
      </c>
      <c r="Q458" s="1" t="s">
        <v>20</v>
      </c>
      <c r="R458" s="1" t="s">
        <v>27</v>
      </c>
      <c r="S458" s="1" t="s">
        <v>28</v>
      </c>
      <c r="T458" s="1" t="s">
        <v>29</v>
      </c>
    </row>
    <row r="459" customFormat="false" ht="18.7" hidden="false" customHeight="true" outlineLevel="0" collapsed="false">
      <c r="A459" s="1" t="n">
        <v>458</v>
      </c>
      <c r="B459" s="6" t="str">
        <f aca="false">HYPERLINK("https://mncourtfraud.com/file/MCRO_27-CR-19-1916_Order-Evaluation for Competency to Proceed (Rule 20.01)_2020-11-13_20240430091233.pdf","MCRO_27-CR-19-1916_Order-Evaluation for Competency to Proceed (Rule 20.01)_2020-11-13_20240430091233.pdf")</f>
        <v>MCRO_27-CR-19-1916_Order-Evaluation for Competency to Proceed (Rule 20.01)_2020-11-13_20240430091233.pdf</v>
      </c>
      <c r="C459" s="1" t="n">
        <v>3</v>
      </c>
      <c r="D459" s="1" t="n">
        <v>1</v>
      </c>
      <c r="E459" s="1" t="n">
        <v>1</v>
      </c>
      <c r="F459" s="3" t="s">
        <v>20</v>
      </c>
      <c r="G459" s="3" t="s">
        <v>1962</v>
      </c>
      <c r="H459" s="1" t="s">
        <v>22</v>
      </c>
      <c r="I459" s="1" t="n">
        <v>20240430091233</v>
      </c>
      <c r="J459" s="3" t="s">
        <v>1963</v>
      </c>
      <c r="K459" s="3" t="s">
        <v>1964</v>
      </c>
      <c r="L459" s="3" t="s">
        <v>1965</v>
      </c>
      <c r="M459" s="3" t="n">
        <v>455242</v>
      </c>
      <c r="N459" s="3" t="s">
        <v>549</v>
      </c>
      <c r="O459" s="1" t="n">
        <v>438856</v>
      </c>
      <c r="P459" s="1" t="n">
        <v>96.4</v>
      </c>
      <c r="Q459" s="1" t="s">
        <v>20</v>
      </c>
      <c r="R459" s="1" t="s">
        <v>27</v>
      </c>
      <c r="S459" s="1" t="s">
        <v>28</v>
      </c>
      <c r="T459" s="1" t="s">
        <v>29</v>
      </c>
    </row>
    <row r="460" customFormat="false" ht="18.7" hidden="false" customHeight="true" outlineLevel="0" collapsed="false">
      <c r="A460" s="1" t="n">
        <v>459</v>
      </c>
      <c r="B460" s="6" t="str">
        <f aca="false">HYPERLINK("https://mncourtfraud.com/file/MCRO_27-CR-19-1916_Order-Evaluation for Competency to Proceed (Rule 20.01)_2021-04-29_20240430091229.pdf","MCRO_27-CR-19-1916_Order-Evaluation for Competency to Proceed (Rule 20.01)_2021-04-29_20240430091229.pdf")</f>
        <v>MCRO_27-CR-19-1916_Order-Evaluation for Competency to Proceed (Rule 20.01)_2021-04-29_20240430091229.pdf</v>
      </c>
      <c r="C460" s="1" t="n">
        <v>3</v>
      </c>
      <c r="D460" s="1" t="n">
        <v>1</v>
      </c>
      <c r="E460" s="1" t="n">
        <v>1</v>
      </c>
      <c r="F460" s="3" t="s">
        <v>20</v>
      </c>
      <c r="G460" s="3" t="s">
        <v>1966</v>
      </c>
      <c r="H460" s="1" t="s">
        <v>22</v>
      </c>
      <c r="I460" s="1" t="n">
        <v>20240430091229</v>
      </c>
      <c r="J460" s="3" t="s">
        <v>1967</v>
      </c>
      <c r="K460" s="3" t="s">
        <v>1968</v>
      </c>
      <c r="L460" s="3" t="s">
        <v>1969</v>
      </c>
      <c r="M460" s="3" t="n">
        <v>454687</v>
      </c>
      <c r="N460" s="3" t="s">
        <v>554</v>
      </c>
      <c r="O460" s="1" t="n">
        <v>438301</v>
      </c>
      <c r="P460" s="1" t="n">
        <v>96.4</v>
      </c>
      <c r="Q460" s="1" t="s">
        <v>20</v>
      </c>
      <c r="R460" s="1" t="s">
        <v>27</v>
      </c>
      <c r="S460" s="1" t="s">
        <v>28</v>
      </c>
      <c r="T460" s="1" t="s">
        <v>29</v>
      </c>
    </row>
    <row r="461" customFormat="false" ht="18.7" hidden="false" customHeight="true" outlineLevel="0" collapsed="false">
      <c r="A461" s="1" t="n">
        <v>460</v>
      </c>
      <c r="B461" s="6" t="str">
        <f aca="false">HYPERLINK("https://mncourtfraud.com/file/MCRO_27-CR-19-1916_Order-Evaluation for Competency to Proceed (Rule 20.01)_2023-04-04_20240430091215.pdf","MCRO_27-CR-19-1916_Order-Evaluation for Competency to Proceed (Rule 20.01)_2023-04-04_20240430091215.pdf")</f>
        <v>MCRO_27-CR-19-1916_Order-Evaluation for Competency to Proceed (Rule 20.01)_2023-04-04_20240430091215.pdf</v>
      </c>
      <c r="C461" s="1" t="n">
        <v>6</v>
      </c>
      <c r="D461" s="1" t="n">
        <v>2</v>
      </c>
      <c r="E461" s="1" t="n">
        <v>2</v>
      </c>
      <c r="F461" s="3" t="s">
        <v>27</v>
      </c>
      <c r="G461" s="3" t="s">
        <v>1970</v>
      </c>
      <c r="H461" s="1" t="s">
        <v>22</v>
      </c>
      <c r="I461" s="1" t="n">
        <v>20240430091215</v>
      </c>
      <c r="J461" s="3" t="s">
        <v>1971</v>
      </c>
      <c r="K461" s="3" t="s">
        <v>1972</v>
      </c>
      <c r="L461" s="3" t="s">
        <v>1973</v>
      </c>
      <c r="M461" s="3" t="n">
        <v>887460</v>
      </c>
      <c r="N461" s="3" t="s">
        <v>559</v>
      </c>
      <c r="O461" s="1" t="n">
        <v>871074</v>
      </c>
      <c r="P461" s="1" t="n">
        <v>98.15</v>
      </c>
      <c r="Q461" s="1" t="s">
        <v>20</v>
      </c>
      <c r="R461" s="1" t="s">
        <v>27</v>
      </c>
      <c r="S461" s="1" t="s">
        <v>28</v>
      </c>
      <c r="T461" s="1" t="s">
        <v>29</v>
      </c>
    </row>
    <row r="462" customFormat="false" ht="18.7" hidden="false" customHeight="true" outlineLevel="0" collapsed="false">
      <c r="A462" s="1" t="n">
        <v>461</v>
      </c>
      <c r="B462" s="6" t="str">
        <f aca="false">HYPERLINK("https://mncourtfraud.com/file/MCRO_27-CR-19-1916_Order-Evaluation for Competency to Proceed (Rule 20.01)_2023-09-28_20240430091211.pdf","MCRO_27-CR-19-1916_Order-Evaluation for Competency to Proceed (Rule 20.01)_2023-09-28_20240430091211.pdf")</f>
        <v>MCRO_27-CR-19-1916_Order-Evaluation for Competency to Proceed (Rule 20.01)_2023-09-28_20240430091211.pdf</v>
      </c>
      <c r="C462" s="1" t="n">
        <v>6</v>
      </c>
      <c r="D462" s="1" t="n">
        <v>2</v>
      </c>
      <c r="E462" s="1" t="n">
        <v>2</v>
      </c>
      <c r="F462" s="3" t="s">
        <v>27</v>
      </c>
      <c r="G462" s="3" t="s">
        <v>1974</v>
      </c>
      <c r="H462" s="1" t="s">
        <v>22</v>
      </c>
      <c r="I462" s="1" t="n">
        <v>20240430091211</v>
      </c>
      <c r="J462" s="3" t="s">
        <v>1975</v>
      </c>
      <c r="K462" s="3" t="s">
        <v>1976</v>
      </c>
      <c r="L462" s="3" t="s">
        <v>1977</v>
      </c>
      <c r="M462" s="3" t="n">
        <v>867385</v>
      </c>
      <c r="N462" s="3" t="s">
        <v>564</v>
      </c>
      <c r="O462" s="1" t="n">
        <v>850999</v>
      </c>
      <c r="P462" s="1" t="n">
        <v>98.11</v>
      </c>
      <c r="Q462" s="1" t="s">
        <v>20</v>
      </c>
      <c r="R462" s="1" t="s">
        <v>27</v>
      </c>
      <c r="S462" s="1" t="s">
        <v>28</v>
      </c>
      <c r="T462" s="1" t="s">
        <v>29</v>
      </c>
    </row>
    <row r="463" customFormat="false" ht="18.7" hidden="false" customHeight="true" outlineLevel="0" collapsed="false">
      <c r="A463" s="1" t="n">
        <v>462</v>
      </c>
      <c r="B463" s="6" t="str">
        <f aca="false">HYPERLINK("https://mncourtfraud.com/file/MCRO_27-CR-19-1916_Order for Production of Medical Records_2020-06-04_20240430091238.pdf","MCRO_27-CR-19-1916_Order for Production of Medical Records_2020-06-04_20240430091238.pdf")</f>
        <v>MCRO_27-CR-19-1916_Order for Production of Medical Records_2020-06-04_20240430091238.pdf</v>
      </c>
      <c r="C463" s="1" t="n">
        <v>3</v>
      </c>
      <c r="D463" s="1" t="n">
        <v>1</v>
      </c>
      <c r="E463" s="1" t="n">
        <v>1</v>
      </c>
      <c r="F463" s="3" t="s">
        <v>20</v>
      </c>
      <c r="G463" s="3" t="s">
        <v>1978</v>
      </c>
      <c r="H463" s="1" t="s">
        <v>22</v>
      </c>
      <c r="I463" s="1" t="n">
        <v>20240430091238</v>
      </c>
      <c r="J463" s="3" t="s">
        <v>1979</v>
      </c>
      <c r="K463" s="3" t="s">
        <v>1980</v>
      </c>
      <c r="L463" s="3" t="s">
        <v>1981</v>
      </c>
      <c r="M463" s="3" t="n">
        <v>257665</v>
      </c>
      <c r="N463" s="3" t="s">
        <v>577</v>
      </c>
      <c r="O463" s="1" t="n">
        <v>241279</v>
      </c>
      <c r="P463" s="1" t="n">
        <v>93.64</v>
      </c>
      <c r="Q463" s="1" t="s">
        <v>20</v>
      </c>
      <c r="R463" s="1" t="s">
        <v>27</v>
      </c>
      <c r="S463" s="1" t="s">
        <v>28</v>
      </c>
      <c r="T463" s="1" t="s">
        <v>29</v>
      </c>
    </row>
    <row r="464" customFormat="false" ht="18.7" hidden="false" customHeight="true" outlineLevel="0" collapsed="false">
      <c r="A464" s="1" t="n">
        <v>463</v>
      </c>
      <c r="B464" s="6" t="str">
        <f aca="false">HYPERLINK("https://mncourtfraud.com/file/MCRO_27-CR-19-1916_Order-Other_2019-10-09_20240430091243.pdf","MCRO_27-CR-19-1916_Order-Other_2019-10-09_20240430091243.pdf")</f>
        <v>MCRO_27-CR-19-1916_Order-Other_2019-10-09_20240430091243.pdf</v>
      </c>
      <c r="C464" s="1" t="n">
        <v>5</v>
      </c>
      <c r="D464" s="1" t="n">
        <v>7</v>
      </c>
      <c r="E464" s="1" t="n">
        <v>7</v>
      </c>
      <c r="F464" s="3" t="s">
        <v>20</v>
      </c>
      <c r="G464" s="3" t="s">
        <v>1982</v>
      </c>
      <c r="H464" s="1" t="s">
        <v>22</v>
      </c>
      <c r="I464" s="1" t="n">
        <v>20240430091243</v>
      </c>
      <c r="J464" s="3" t="s">
        <v>1983</v>
      </c>
      <c r="K464" s="3" t="s">
        <v>1984</v>
      </c>
      <c r="L464" s="3" t="s">
        <v>1985</v>
      </c>
      <c r="M464" s="3" t="n">
        <v>341827</v>
      </c>
      <c r="N464" s="3" t="s">
        <v>476</v>
      </c>
      <c r="O464" s="1" t="n">
        <v>325441</v>
      </c>
      <c r="P464" s="1" t="n">
        <v>95.21</v>
      </c>
      <c r="Q464" s="1" t="s">
        <v>20</v>
      </c>
      <c r="R464" s="1" t="s">
        <v>27</v>
      </c>
      <c r="S464" s="1" t="s">
        <v>28</v>
      </c>
      <c r="T464" s="1" t="s">
        <v>29</v>
      </c>
    </row>
    <row r="465" customFormat="false" ht="18.7" hidden="false" customHeight="true" outlineLevel="0" collapsed="false">
      <c r="A465" s="1" t="n">
        <v>464</v>
      </c>
      <c r="B465" s="6" t="str">
        <f aca="false">HYPERLINK("https://mncourtfraud.com/file/MCRO_27-CR-19-1916_Order Regarding Access to Confidential or Sealed Record_2022-09-28_20240430091217.pdf","MCRO_27-CR-19-1916_Order Regarding Access to Confidential or Sealed Record_2022-09-28_20240430091217.pdf")</f>
        <v>MCRO_27-CR-19-1916_Order Regarding Access to Confidential or Sealed Record_2022-09-28_20240430091217.pdf</v>
      </c>
      <c r="C465" s="1" t="n">
        <v>3</v>
      </c>
      <c r="D465" s="1" t="n">
        <v>1</v>
      </c>
      <c r="E465" s="1" t="n">
        <v>1</v>
      </c>
      <c r="F465" s="3" t="s">
        <v>20</v>
      </c>
      <c r="G465" s="3" t="s">
        <v>1986</v>
      </c>
      <c r="H465" s="1" t="s">
        <v>22</v>
      </c>
      <c r="I465" s="1" t="n">
        <v>20240430091217</v>
      </c>
      <c r="J465" s="3" t="s">
        <v>1987</v>
      </c>
      <c r="K465" s="3" t="s">
        <v>1988</v>
      </c>
      <c r="L465" s="3" t="s">
        <v>1989</v>
      </c>
      <c r="M465" s="3" t="n">
        <v>143429</v>
      </c>
      <c r="N465" s="3" t="s">
        <v>593</v>
      </c>
      <c r="O465" s="1" t="n">
        <v>127043</v>
      </c>
      <c r="P465" s="1" t="n">
        <v>88.58</v>
      </c>
      <c r="Q465" s="1" t="s">
        <v>20</v>
      </c>
      <c r="R465" s="1" t="s">
        <v>27</v>
      </c>
      <c r="S465" s="1" t="s">
        <v>28</v>
      </c>
      <c r="T465" s="1" t="s">
        <v>29</v>
      </c>
    </row>
    <row r="466" customFormat="false" ht="18.7" hidden="false" customHeight="true" outlineLevel="0" collapsed="false">
      <c r="A466" s="1" t="n">
        <v>465</v>
      </c>
      <c r="B466" s="6" t="str">
        <f aca="false">HYPERLINK("https://mncourtfraud.com/file/MCRO_27-CR-19-1916_Order to Transport_2019-08-19_20240430091246.pdf","MCRO_27-CR-19-1916_Order to Transport_2019-08-19_20240430091246.pdf")</f>
        <v>MCRO_27-CR-19-1916_Order to Transport_2019-08-19_20240430091246.pdf</v>
      </c>
      <c r="C466" s="1" t="n">
        <v>4</v>
      </c>
      <c r="D466" s="1" t="n">
        <v>1</v>
      </c>
      <c r="E466" s="1" t="n">
        <v>1</v>
      </c>
      <c r="F466" s="3" t="s">
        <v>20</v>
      </c>
      <c r="G466" s="3" t="s">
        <v>1990</v>
      </c>
      <c r="H466" s="1" t="s">
        <v>22</v>
      </c>
      <c r="I466" s="1" t="n">
        <v>20240430091246</v>
      </c>
      <c r="J466" s="3" t="s">
        <v>1991</v>
      </c>
      <c r="K466" s="3" t="s">
        <v>1992</v>
      </c>
      <c r="L466" s="3" t="s">
        <v>1993</v>
      </c>
      <c r="M466" s="3" t="n">
        <v>89438</v>
      </c>
      <c r="N466" s="3" t="s">
        <v>137</v>
      </c>
      <c r="O466" s="1" t="n">
        <v>73052</v>
      </c>
      <c r="P466" s="1" t="n">
        <v>81.68</v>
      </c>
      <c r="Q466" s="1" t="s">
        <v>20</v>
      </c>
      <c r="R466" s="1" t="s">
        <v>27</v>
      </c>
      <c r="S466" s="1" t="s">
        <v>28</v>
      </c>
      <c r="T466" s="1" t="s">
        <v>29</v>
      </c>
    </row>
    <row r="467" customFormat="false" ht="18.7" hidden="false" customHeight="true" outlineLevel="0" collapsed="false">
      <c r="A467" s="1" t="n">
        <v>466</v>
      </c>
      <c r="B467" s="6" t="str">
        <f aca="false">HYPERLINK("https://mncourtfraud.com/file/MCRO_27-CR-19-1916_Order to Transport_2024-02-02_20240430091209.pdf","MCRO_27-CR-19-1916_Order to Transport_2024-02-02_20240430091209.pdf")</f>
        <v>MCRO_27-CR-19-1916_Order to Transport_2024-02-02_20240430091209.pdf</v>
      </c>
      <c r="C467" s="1" t="n">
        <v>5</v>
      </c>
      <c r="D467" s="1" t="n">
        <v>3</v>
      </c>
      <c r="E467" s="1" t="n">
        <v>3</v>
      </c>
      <c r="F467" s="3" t="s">
        <v>20</v>
      </c>
      <c r="G467" s="3" t="s">
        <v>1994</v>
      </c>
      <c r="H467" s="1" t="s">
        <v>22</v>
      </c>
      <c r="I467" s="1" t="n">
        <v>20240430091209</v>
      </c>
      <c r="J467" s="3" t="s">
        <v>1995</v>
      </c>
      <c r="K467" s="3" t="s">
        <v>1996</v>
      </c>
      <c r="L467" s="3" t="s">
        <v>1997</v>
      </c>
      <c r="M467" s="3" t="n">
        <v>217264</v>
      </c>
      <c r="N467" s="3" t="s">
        <v>602</v>
      </c>
      <c r="O467" s="1" t="n">
        <v>200878</v>
      </c>
      <c r="P467" s="1" t="n">
        <v>92.46</v>
      </c>
      <c r="Q467" s="1" t="s">
        <v>20</v>
      </c>
      <c r="R467" s="1" t="s">
        <v>27</v>
      </c>
      <c r="S467" s="1" t="s">
        <v>28</v>
      </c>
      <c r="T467" s="1" t="s">
        <v>29</v>
      </c>
    </row>
    <row r="468" customFormat="false" ht="18.7" hidden="false" customHeight="true" outlineLevel="0" collapsed="false">
      <c r="A468" s="1" t="n">
        <v>467</v>
      </c>
      <c r="B468" s="6" t="str">
        <f aca="false">HYPERLINK("https://mncourtfraud.com/file/MCRO_27-CR-19-1916_Proposed Order or Document_2020-06-04_20240430091239.pdf","MCRO_27-CR-19-1916_Proposed Order or Document_2020-06-04_20240430091239.pdf")</f>
        <v>MCRO_27-CR-19-1916_Proposed Order or Document_2020-06-04_20240430091239.pdf</v>
      </c>
      <c r="C468" s="1" t="n">
        <v>3</v>
      </c>
      <c r="D468" s="1" t="n">
        <v>1</v>
      </c>
      <c r="E468" s="1" t="n">
        <v>1</v>
      </c>
      <c r="F468" s="3" t="s">
        <v>20</v>
      </c>
      <c r="G468" s="3" t="s">
        <v>1998</v>
      </c>
      <c r="H468" s="1" t="s">
        <v>22</v>
      </c>
      <c r="I468" s="1" t="n">
        <v>20240430091239</v>
      </c>
      <c r="J468" s="3" t="s">
        <v>1999</v>
      </c>
      <c r="K468" s="3" t="s">
        <v>2000</v>
      </c>
      <c r="L468" s="3" t="s">
        <v>2001</v>
      </c>
      <c r="M468" s="3" t="n">
        <v>194687</v>
      </c>
      <c r="N468" s="3" t="s">
        <v>624</v>
      </c>
      <c r="O468" s="1" t="n">
        <v>178301</v>
      </c>
      <c r="P468" s="1" t="n">
        <v>91.58</v>
      </c>
      <c r="Q468" s="1" t="s">
        <v>20</v>
      </c>
      <c r="R468" s="1" t="s">
        <v>27</v>
      </c>
      <c r="S468" s="1" t="s">
        <v>28</v>
      </c>
      <c r="T468" s="1" t="s">
        <v>29</v>
      </c>
    </row>
    <row r="469" customFormat="false" ht="18.7" hidden="false" customHeight="true" outlineLevel="0" collapsed="false">
      <c r="A469" s="1" t="n">
        <v>468</v>
      </c>
      <c r="B469" s="6" t="str">
        <f aca="false">HYPERLINK("https://mncourtfraud.com/file/MCRO_27-CR-19-1916_Proposed Order or Document_2022-07-14_20240430091223.pdf","MCRO_27-CR-19-1916_Proposed Order or Document_2022-07-14_20240430091223.pdf")</f>
        <v>MCRO_27-CR-19-1916_Proposed Order or Document_2022-07-14_20240430091223.pdf</v>
      </c>
      <c r="C469" s="1" t="n">
        <v>3</v>
      </c>
      <c r="D469" s="1" t="n">
        <v>1</v>
      </c>
      <c r="E469" s="1" t="n">
        <v>1</v>
      </c>
      <c r="F469" s="3" t="s">
        <v>20</v>
      </c>
      <c r="G469" s="3" t="s">
        <v>2002</v>
      </c>
      <c r="H469" s="1" t="s">
        <v>22</v>
      </c>
      <c r="I469" s="1" t="n">
        <v>20240430091223</v>
      </c>
      <c r="J469" s="3" t="s">
        <v>2003</v>
      </c>
      <c r="K469" s="3" t="s">
        <v>2004</v>
      </c>
      <c r="L469" s="3" t="s">
        <v>2005</v>
      </c>
      <c r="M469" s="3" t="n">
        <v>141834</v>
      </c>
      <c r="N469" s="3" t="s">
        <v>629</v>
      </c>
      <c r="O469" s="1" t="n">
        <v>125448</v>
      </c>
      <c r="P469" s="1" t="n">
        <v>88.45</v>
      </c>
      <c r="Q469" s="1" t="s">
        <v>20</v>
      </c>
      <c r="R469" s="1" t="s">
        <v>27</v>
      </c>
      <c r="S469" s="1" t="s">
        <v>28</v>
      </c>
      <c r="T469" s="1" t="s">
        <v>29</v>
      </c>
    </row>
    <row r="470" customFormat="false" ht="18.7" hidden="false" customHeight="true" outlineLevel="0" collapsed="false">
      <c r="A470" s="1" t="n">
        <v>469</v>
      </c>
      <c r="B470" s="6" t="str">
        <f aca="false">HYPERLINK("https://mncourtfraud.com/file/MCRO_27-CR-19-1916_Returned Mail_2022-02-28_20240430091225.pdf","MCRO_27-CR-19-1916_Returned Mail_2022-02-28_20240430091225.pdf")</f>
        <v>MCRO_27-CR-19-1916_Returned Mail_2022-02-28_20240430091225.pdf</v>
      </c>
      <c r="C470" s="1" t="n">
        <v>4</v>
      </c>
      <c r="D470" s="1" t="n">
        <v>1</v>
      </c>
      <c r="E470" s="1" t="n">
        <v>1</v>
      </c>
      <c r="F470" s="3" t="s">
        <v>20</v>
      </c>
      <c r="G470" s="3" t="s">
        <v>2006</v>
      </c>
      <c r="H470" s="1" t="s">
        <v>22</v>
      </c>
      <c r="I470" s="1" t="n">
        <v>20240430091225</v>
      </c>
      <c r="J470" s="3" t="s">
        <v>2007</v>
      </c>
      <c r="K470" s="3" t="s">
        <v>2008</v>
      </c>
      <c r="L470" s="3" t="s">
        <v>2009</v>
      </c>
      <c r="M470" s="3" t="n">
        <v>93836</v>
      </c>
      <c r="N470" s="3" t="s">
        <v>456</v>
      </c>
      <c r="O470" s="1" t="n">
        <v>77450</v>
      </c>
      <c r="P470" s="1" t="n">
        <v>82.54</v>
      </c>
      <c r="Q470" s="1" t="s">
        <v>20</v>
      </c>
      <c r="R470" s="1" t="s">
        <v>27</v>
      </c>
      <c r="S470" s="1" t="s">
        <v>28</v>
      </c>
      <c r="T470" s="1" t="s">
        <v>29</v>
      </c>
    </row>
    <row r="471" customFormat="false" ht="18.7" hidden="false" customHeight="true" outlineLevel="0" collapsed="false">
      <c r="A471" s="1" t="n">
        <v>470</v>
      </c>
      <c r="B471" s="6" t="str">
        <f aca="false">HYPERLINK("https://mncourtfraud.com/file/MCRO_27-CR-19-1916_Returned Mail_2022-09-20_20240430091219.pdf","MCRO_27-CR-19-1916_Returned Mail_2022-09-20_20240430091219.pdf")</f>
        <v>MCRO_27-CR-19-1916_Returned Mail_2022-09-20_20240430091219.pdf</v>
      </c>
      <c r="C471" s="1" t="n">
        <v>4</v>
      </c>
      <c r="D471" s="1" t="n">
        <v>1</v>
      </c>
      <c r="E471" s="1" t="n">
        <v>1</v>
      </c>
      <c r="F471" s="3" t="s">
        <v>20</v>
      </c>
      <c r="G471" s="3" t="s">
        <v>2010</v>
      </c>
      <c r="H471" s="1" t="s">
        <v>22</v>
      </c>
      <c r="I471" s="1" t="n">
        <v>20240430091219</v>
      </c>
      <c r="J471" s="3" t="s">
        <v>2011</v>
      </c>
      <c r="K471" s="3" t="s">
        <v>2012</v>
      </c>
      <c r="L471" s="3" t="s">
        <v>1836</v>
      </c>
      <c r="M471" s="3" t="n">
        <v>308851</v>
      </c>
      <c r="N471" s="3" t="s">
        <v>119</v>
      </c>
      <c r="O471" s="1" t="n">
        <v>292465</v>
      </c>
      <c r="P471" s="1" t="n">
        <v>94.69</v>
      </c>
      <c r="Q471" s="1" t="s">
        <v>20</v>
      </c>
      <c r="R471" s="1" t="s">
        <v>27</v>
      </c>
      <c r="S471" s="1" t="s">
        <v>28</v>
      </c>
      <c r="T471" s="1" t="s">
        <v>29</v>
      </c>
    </row>
    <row r="472" customFormat="false" ht="18.7" hidden="false" customHeight="true" outlineLevel="0" collapsed="false">
      <c r="A472" s="1" t="n">
        <v>471</v>
      </c>
      <c r="B472" s="6" t="str">
        <f aca="false">HYPERLINK("https://mncourtfraud.com/file/MCRO_27-CR-19-1916_Returned Mail_2024-02-26_20240430091208.pdf","MCRO_27-CR-19-1916_Returned Mail_2024-02-26_20240430091208.pdf")</f>
        <v>MCRO_27-CR-19-1916_Returned Mail_2024-02-26_20240430091208.pdf</v>
      </c>
      <c r="C472" s="1" t="n">
        <v>4</v>
      </c>
      <c r="D472" s="1" t="n">
        <v>1</v>
      </c>
      <c r="E472" s="1" t="n">
        <v>1</v>
      </c>
      <c r="F472" s="3" t="s">
        <v>20</v>
      </c>
      <c r="G472" s="3" t="s">
        <v>2013</v>
      </c>
      <c r="H472" s="1" t="s">
        <v>22</v>
      </c>
      <c r="I472" s="1" t="n">
        <v>20240430091208</v>
      </c>
      <c r="J472" s="3" t="s">
        <v>2014</v>
      </c>
      <c r="K472" s="3" t="s">
        <v>2015</v>
      </c>
      <c r="L472" s="3" t="s">
        <v>2016</v>
      </c>
      <c r="M472" s="3" t="n">
        <v>112940</v>
      </c>
      <c r="N472" s="3" t="s">
        <v>1159</v>
      </c>
      <c r="O472" s="1" t="n">
        <v>96554</v>
      </c>
      <c r="P472" s="1" t="n">
        <v>85.49</v>
      </c>
      <c r="Q472" s="1" t="s">
        <v>20</v>
      </c>
      <c r="R472" s="1" t="s">
        <v>27</v>
      </c>
      <c r="S472" s="1" t="s">
        <v>28</v>
      </c>
      <c r="T472" s="1" t="s">
        <v>29</v>
      </c>
    </row>
    <row r="473" customFormat="false" ht="18.7" hidden="false" customHeight="true" outlineLevel="0" collapsed="false">
      <c r="A473" s="1" t="n">
        <v>472</v>
      </c>
      <c r="B473" s="6" t="str">
        <f aca="false">HYPERLINK("https://mncourtfraud.com/file/MCRO_27-CR-19-19606_Correspondence for Judicial Approval_2022-11-07_20240430092040.pdf","MCRO_27-CR-19-19606_Correspondence for Judicial Approval_2022-11-07_20240430092040.pdf")</f>
        <v>MCRO_27-CR-19-19606_Correspondence for Judicial Approval_2022-11-07_20240430092040.pdf</v>
      </c>
      <c r="C473" s="1" t="n">
        <v>3</v>
      </c>
      <c r="D473" s="1" t="n">
        <v>1</v>
      </c>
      <c r="E473" s="1" t="n">
        <v>1</v>
      </c>
      <c r="F473" s="3" t="s">
        <v>20</v>
      </c>
      <c r="G473" s="3" t="s">
        <v>2017</v>
      </c>
      <c r="H473" s="1" t="s">
        <v>22</v>
      </c>
      <c r="I473" s="1" t="n">
        <v>20240430092040</v>
      </c>
      <c r="J473" s="3" t="s">
        <v>2018</v>
      </c>
      <c r="K473" s="3" t="s">
        <v>2019</v>
      </c>
      <c r="L473" s="3" t="s">
        <v>2020</v>
      </c>
      <c r="M473" s="3" t="n">
        <v>211260</v>
      </c>
      <c r="N473" s="3" t="s">
        <v>629</v>
      </c>
      <c r="O473" s="1" t="n">
        <v>194874</v>
      </c>
      <c r="P473" s="1" t="n">
        <v>92.24</v>
      </c>
      <c r="Q473" s="1" t="s">
        <v>20</v>
      </c>
      <c r="R473" s="1" t="s">
        <v>27</v>
      </c>
      <c r="S473" s="1" t="s">
        <v>28</v>
      </c>
      <c r="T473" s="1" t="s">
        <v>29</v>
      </c>
    </row>
    <row r="474" customFormat="false" ht="18.7" hidden="false" customHeight="true" outlineLevel="0" collapsed="false">
      <c r="A474" s="1" t="n">
        <v>473</v>
      </c>
      <c r="B474" s="6" t="str">
        <f aca="false">HYPERLINK("https://mncourtfraud.com/file/MCRO_27-CR-19-19606_Demand or Request for Discovery_2019-08-16_20240430092109.pdf","MCRO_27-CR-19-19606_Demand or Request for Discovery_2019-08-16_20240430092109.pdf")</f>
        <v>MCRO_27-CR-19-19606_Demand or Request for Discovery_2019-08-16_20240430092109.pdf</v>
      </c>
      <c r="C474" s="1" t="n">
        <v>3</v>
      </c>
      <c r="D474" s="1" t="n">
        <v>1</v>
      </c>
      <c r="E474" s="1" t="n">
        <v>1</v>
      </c>
      <c r="F474" s="3" t="s">
        <v>20</v>
      </c>
      <c r="G474" s="3" t="s">
        <v>2021</v>
      </c>
      <c r="H474" s="1" t="s">
        <v>22</v>
      </c>
      <c r="I474" s="1" t="n">
        <v>20240430092109</v>
      </c>
      <c r="J474" s="3" t="s">
        <v>2022</v>
      </c>
      <c r="K474" s="3" t="s">
        <v>2023</v>
      </c>
      <c r="L474" s="3" t="s">
        <v>2024</v>
      </c>
      <c r="M474" s="3" t="n">
        <v>796034</v>
      </c>
      <c r="N474" s="3" t="s">
        <v>2025</v>
      </c>
      <c r="O474" s="1" t="n">
        <v>779648</v>
      </c>
      <c r="P474" s="1" t="n">
        <v>97.94</v>
      </c>
      <c r="Q474" s="1" t="s">
        <v>20</v>
      </c>
      <c r="R474" s="1" t="s">
        <v>27</v>
      </c>
      <c r="S474" s="1" t="s">
        <v>28</v>
      </c>
      <c r="T474" s="1" t="s">
        <v>29</v>
      </c>
    </row>
    <row r="475" customFormat="false" ht="18.7" hidden="false" customHeight="true" outlineLevel="0" collapsed="false">
      <c r="A475" s="1" t="n">
        <v>474</v>
      </c>
      <c r="B475" s="6" t="str">
        <f aca="false">HYPERLINK("https://mncourtfraud.com/file/MCRO_27-CR-19-19606_E-filed Comp-Order for Detention_2019-08-13_20240430092113.pdf","MCRO_27-CR-19-19606_E-filed Comp-Order for Detention_2019-08-13_20240430092113.pdf")</f>
        <v>MCRO_27-CR-19-19606_E-filed Comp-Order for Detention_2019-08-13_20240430092113.pdf</v>
      </c>
      <c r="C475" s="1" t="n">
        <v>4</v>
      </c>
      <c r="D475" s="1" t="n">
        <v>2</v>
      </c>
      <c r="E475" s="1" t="n">
        <v>2</v>
      </c>
      <c r="F475" s="3" t="s">
        <v>20</v>
      </c>
      <c r="G475" s="3" t="s">
        <v>2026</v>
      </c>
      <c r="H475" s="1" t="s">
        <v>22</v>
      </c>
      <c r="I475" s="1" t="n">
        <v>20240430092113</v>
      </c>
      <c r="J475" s="3" t="s">
        <v>2027</v>
      </c>
      <c r="K475" s="3" t="s">
        <v>2028</v>
      </c>
      <c r="L475" s="3" t="s">
        <v>2029</v>
      </c>
      <c r="M475" s="3" t="n">
        <v>477198</v>
      </c>
      <c r="N475" s="3" t="s">
        <v>1480</v>
      </c>
      <c r="O475" s="1" t="n">
        <v>460812</v>
      </c>
      <c r="P475" s="1" t="n">
        <v>96.57</v>
      </c>
      <c r="Q475" s="1" t="s">
        <v>20</v>
      </c>
      <c r="R475" s="1" t="s">
        <v>27</v>
      </c>
      <c r="S475" s="1" t="s">
        <v>28</v>
      </c>
      <c r="T475" s="1" t="s">
        <v>29</v>
      </c>
    </row>
    <row r="476" customFormat="false" ht="18.7" hidden="false" customHeight="true" outlineLevel="0" collapsed="false">
      <c r="A476" s="1" t="n">
        <v>475</v>
      </c>
      <c r="B476" s="6" t="str">
        <f aca="false">HYPERLINK("https://mncourtfraud.com/file/MCRO_27-CR-19-19606_Finding of Incompetency and Order_2024-03-12_20240430092030.pdf","MCRO_27-CR-19-19606_Finding of Incompetency and Order_2024-03-12_20240430092030.pdf")</f>
        <v>MCRO_27-CR-19-19606_Finding of Incompetency and Order_2024-03-12_20240430092030.pdf</v>
      </c>
      <c r="C476" s="1" t="n">
        <v>5</v>
      </c>
      <c r="D476" s="1" t="n">
        <v>1</v>
      </c>
      <c r="E476" s="1" t="n">
        <v>1</v>
      </c>
      <c r="F476" s="3" t="s">
        <v>20</v>
      </c>
      <c r="G476" s="3" t="s">
        <v>2030</v>
      </c>
      <c r="H476" s="1" t="s">
        <v>22</v>
      </c>
      <c r="I476" s="1" t="n">
        <v>20240430092030</v>
      </c>
      <c r="J476" s="3" t="s">
        <v>2031</v>
      </c>
      <c r="K476" s="3" t="s">
        <v>2032</v>
      </c>
      <c r="L476" s="3" t="s">
        <v>2033</v>
      </c>
      <c r="M476" s="3" t="n">
        <v>832562</v>
      </c>
      <c r="N476" s="3" t="s">
        <v>1489</v>
      </c>
      <c r="O476" s="1" t="n">
        <v>816176</v>
      </c>
      <c r="P476" s="1" t="n">
        <v>98.03</v>
      </c>
      <c r="Q476" s="1" t="s">
        <v>20</v>
      </c>
      <c r="R476" s="1" t="s">
        <v>27</v>
      </c>
      <c r="S476" s="1" t="s">
        <v>28</v>
      </c>
      <c r="T476" s="1" t="s">
        <v>29</v>
      </c>
    </row>
    <row r="477" customFormat="false" ht="18.7" hidden="false" customHeight="true" outlineLevel="0" collapsed="false">
      <c r="A477" s="1" t="n">
        <v>476</v>
      </c>
      <c r="B477" s="6" t="str">
        <f aca="false">HYPERLINK("https://mncourtfraud.com/file/MCRO_27-CR-19-19606_Findings and Order_2022-03-08_20240430092045.pdf","MCRO_27-CR-19-19606_Findings and Order_2022-03-08_20240430092045.pdf")</f>
        <v>MCRO_27-CR-19-19606_Findings and Order_2022-03-08_20240430092045.pdf</v>
      </c>
      <c r="C477" s="1" t="n">
        <v>5</v>
      </c>
      <c r="D477" s="1" t="n">
        <v>1</v>
      </c>
      <c r="E477" s="1" t="n">
        <v>1</v>
      </c>
      <c r="F477" s="3" t="s">
        <v>20</v>
      </c>
      <c r="G477" s="3" t="s">
        <v>2034</v>
      </c>
      <c r="H477" s="1" t="s">
        <v>22</v>
      </c>
      <c r="I477" s="1" t="n">
        <v>20240430092045</v>
      </c>
      <c r="J477" s="3" t="s">
        <v>2035</v>
      </c>
      <c r="K477" s="3" t="s">
        <v>2036</v>
      </c>
      <c r="L477" s="3" t="s">
        <v>2037</v>
      </c>
      <c r="M477" s="3" t="n">
        <v>340927</v>
      </c>
      <c r="N477" s="3" t="s">
        <v>1494</v>
      </c>
      <c r="O477" s="1" t="n">
        <v>324541</v>
      </c>
      <c r="P477" s="1" t="n">
        <v>95.19</v>
      </c>
      <c r="Q477" s="1" t="s">
        <v>20</v>
      </c>
      <c r="R477" s="1" t="s">
        <v>27</v>
      </c>
      <c r="S477" s="1" t="s">
        <v>28</v>
      </c>
      <c r="T477" s="1" t="s">
        <v>29</v>
      </c>
    </row>
    <row r="478" customFormat="false" ht="18.7" hidden="false" customHeight="true" outlineLevel="0" collapsed="false">
      <c r="A478" s="1" t="n">
        <v>477</v>
      </c>
      <c r="B478" s="6" t="str">
        <f aca="false">HYPERLINK("https://mncourtfraud.com/file/MCRO_27-CR-19-19606_Find of Fact-Order, Pet Commitment-Dfd Found Incompetent_2019-10-08_20240430092105.pdf","MCRO_27-CR-19-19606_Find of Fact-Order, Pet Commitment-Dfd Found Incompetent_2019-10-08_20240430092105.pdf")</f>
        <v>MCRO_27-CR-19-19606_Find of Fact-Order, Pet Commitment-Dfd Found Incompetent_2019-10-08_20240430092105.pdf</v>
      </c>
      <c r="C478" s="1" t="n">
        <v>4</v>
      </c>
      <c r="D478" s="1" t="n">
        <v>2</v>
      </c>
      <c r="E478" s="1" t="n">
        <v>2</v>
      </c>
      <c r="F478" s="3" t="s">
        <v>20</v>
      </c>
      <c r="G478" s="3" t="s">
        <v>2038</v>
      </c>
      <c r="H478" s="1" t="s">
        <v>22</v>
      </c>
      <c r="I478" s="1" t="n">
        <v>20240430092105</v>
      </c>
      <c r="J478" s="3" t="s">
        <v>2039</v>
      </c>
      <c r="K478" s="3" t="s">
        <v>2040</v>
      </c>
      <c r="L478" s="3" t="s">
        <v>2041</v>
      </c>
      <c r="M478" s="3" t="n">
        <v>301071</v>
      </c>
      <c r="N478" s="3" t="s">
        <v>1503</v>
      </c>
      <c r="O478" s="1" t="n">
        <v>284685</v>
      </c>
      <c r="P478" s="1" t="n">
        <v>94.56</v>
      </c>
      <c r="Q478" s="1" t="s">
        <v>20</v>
      </c>
      <c r="R478" s="1" t="s">
        <v>27</v>
      </c>
      <c r="S478" s="1" t="s">
        <v>28</v>
      </c>
      <c r="T478" s="1" t="s">
        <v>29</v>
      </c>
    </row>
    <row r="479" customFormat="false" ht="18.7" hidden="false" customHeight="true" outlineLevel="0" collapsed="false">
      <c r="A479" s="1" t="n">
        <v>478</v>
      </c>
      <c r="B479" s="6" t="str">
        <f aca="false">HYPERLINK("https://mncourtfraud.com/file/MCRO_27-CR-19-19606_Notice by Attorney or Party_2019-12-11_20240430092104.pdf","MCRO_27-CR-19-19606_Notice by Attorney or Party_2019-12-11_20240430092104.pdf")</f>
        <v>MCRO_27-CR-19-19606_Notice by Attorney or Party_2019-12-11_20240430092104.pdf</v>
      </c>
      <c r="C479" s="1" t="n">
        <v>3</v>
      </c>
      <c r="D479" s="1" t="n">
        <v>1</v>
      </c>
      <c r="E479" s="1" t="n">
        <v>1</v>
      </c>
      <c r="F479" s="3" t="s">
        <v>20</v>
      </c>
      <c r="G479" s="3" t="s">
        <v>2042</v>
      </c>
      <c r="H479" s="1" t="s">
        <v>22</v>
      </c>
      <c r="I479" s="1" t="n">
        <v>20240430092104</v>
      </c>
      <c r="J479" s="3" t="s">
        <v>2043</v>
      </c>
      <c r="K479" s="3" t="s">
        <v>2044</v>
      </c>
      <c r="L479" s="3" t="s">
        <v>2045</v>
      </c>
      <c r="M479" s="3" t="n">
        <v>243186</v>
      </c>
      <c r="N479" s="3" t="s">
        <v>1307</v>
      </c>
      <c r="O479" s="1" t="n">
        <v>226800</v>
      </c>
      <c r="P479" s="1" t="n">
        <v>93.26</v>
      </c>
      <c r="Q479" s="1" t="s">
        <v>20</v>
      </c>
      <c r="R479" s="1" t="s">
        <v>27</v>
      </c>
      <c r="S479" s="1" t="s">
        <v>28</v>
      </c>
      <c r="T479" s="1" t="s">
        <v>29</v>
      </c>
    </row>
    <row r="480" customFormat="false" ht="18.7" hidden="false" customHeight="true" outlineLevel="0" collapsed="false">
      <c r="A480" s="1" t="n">
        <v>479</v>
      </c>
      <c r="B480" s="6" t="str">
        <f aca="false">HYPERLINK("https://mncourtfraud.com/file/MCRO_27-CR-19-19606_Notice of Appearance_2020-10-23_20240430092054.pdf","MCRO_27-CR-19-19606_Notice of Appearance_2020-10-23_20240430092054.pdf")</f>
        <v>MCRO_27-CR-19-19606_Notice of Appearance_2020-10-23_20240430092054.pdf</v>
      </c>
      <c r="C480" s="1" t="n">
        <v>4</v>
      </c>
      <c r="D480" s="1" t="n">
        <v>1</v>
      </c>
      <c r="E480" s="1" t="n">
        <v>1</v>
      </c>
      <c r="F480" s="3" t="s">
        <v>20</v>
      </c>
      <c r="G480" s="3" t="s">
        <v>2046</v>
      </c>
      <c r="H480" s="1" t="s">
        <v>22</v>
      </c>
      <c r="I480" s="1" t="n">
        <v>20240430092054</v>
      </c>
      <c r="J480" s="3" t="s">
        <v>2047</v>
      </c>
      <c r="K480" s="3" t="s">
        <v>2048</v>
      </c>
      <c r="L480" s="3" t="s">
        <v>2049</v>
      </c>
      <c r="M480" s="3" t="n">
        <v>132275</v>
      </c>
      <c r="N480" s="3" t="s">
        <v>892</v>
      </c>
      <c r="O480" s="1" t="n">
        <v>115889</v>
      </c>
      <c r="P480" s="1" t="n">
        <v>87.61</v>
      </c>
      <c r="Q480" s="1" t="s">
        <v>20</v>
      </c>
      <c r="R480" s="1" t="s">
        <v>27</v>
      </c>
      <c r="S480" s="1" t="s">
        <v>28</v>
      </c>
      <c r="T480" s="1" t="s">
        <v>29</v>
      </c>
    </row>
    <row r="481" customFormat="false" ht="18.7" hidden="false" customHeight="true" outlineLevel="0" collapsed="false">
      <c r="A481" s="1" t="n">
        <v>480</v>
      </c>
      <c r="B481" s="6" t="str">
        <f aca="false">HYPERLINK("https://mncourtfraud.com/file/MCRO_27-CR-19-19606_Notice of Appearance_2021-05-19_20240430092051.pdf","MCRO_27-CR-19-19606_Notice of Appearance_2021-05-19_20240430092051.pdf")</f>
        <v>MCRO_27-CR-19-19606_Notice of Appearance_2021-05-19_20240430092051.pdf</v>
      </c>
      <c r="C481" s="1" t="n">
        <v>4</v>
      </c>
      <c r="D481" s="1" t="n">
        <v>1</v>
      </c>
      <c r="E481" s="1" t="n">
        <v>1</v>
      </c>
      <c r="F481" s="3" t="s">
        <v>20</v>
      </c>
      <c r="G481" s="3" t="s">
        <v>2050</v>
      </c>
      <c r="H481" s="1" t="s">
        <v>22</v>
      </c>
      <c r="I481" s="1" t="n">
        <v>20240430092051</v>
      </c>
      <c r="J481" s="3" t="s">
        <v>2051</v>
      </c>
      <c r="K481" s="3" t="s">
        <v>2052</v>
      </c>
      <c r="L481" s="3" t="s">
        <v>2053</v>
      </c>
      <c r="M481" s="3" t="n">
        <v>133595</v>
      </c>
      <c r="N481" s="3" t="s">
        <v>1512</v>
      </c>
      <c r="O481" s="1" t="n">
        <v>117209</v>
      </c>
      <c r="P481" s="1" t="n">
        <v>87.73</v>
      </c>
      <c r="Q481" s="1" t="s">
        <v>20</v>
      </c>
      <c r="R481" s="1" t="s">
        <v>27</v>
      </c>
      <c r="S481" s="1" t="s">
        <v>28</v>
      </c>
      <c r="T481" s="1" t="s">
        <v>29</v>
      </c>
    </row>
    <row r="482" customFormat="false" ht="18.7" hidden="false" customHeight="true" outlineLevel="0" collapsed="false">
      <c r="A482" s="1" t="n">
        <v>481</v>
      </c>
      <c r="B482" s="6" t="str">
        <f aca="false">HYPERLINK("https://mncourtfraud.com/file/MCRO_27-CR-19-19606_Notice of Appearance_2022-03-08_20240430092044.pdf","MCRO_27-CR-19-19606_Notice of Appearance_2022-03-08_20240430092044.pdf")</f>
        <v>MCRO_27-CR-19-19606_Notice of Appearance_2022-03-08_20240430092044.pdf</v>
      </c>
      <c r="C482" s="1" t="n">
        <v>4</v>
      </c>
      <c r="D482" s="1" t="n">
        <v>1</v>
      </c>
      <c r="E482" s="1" t="n">
        <v>1</v>
      </c>
      <c r="F482" s="3" t="s">
        <v>20</v>
      </c>
      <c r="G482" s="3" t="s">
        <v>2054</v>
      </c>
      <c r="H482" s="1" t="s">
        <v>22</v>
      </c>
      <c r="I482" s="1" t="n">
        <v>20240430092044</v>
      </c>
      <c r="J482" s="3" t="s">
        <v>2055</v>
      </c>
      <c r="K482" s="3" t="s">
        <v>2056</v>
      </c>
      <c r="L482" s="3" t="s">
        <v>2057</v>
      </c>
      <c r="M482" s="3" t="n">
        <v>816220</v>
      </c>
      <c r="N482" s="3" t="s">
        <v>486</v>
      </c>
      <c r="O482" s="1" t="n">
        <v>799834</v>
      </c>
      <c r="P482" s="1" t="n">
        <v>97.99</v>
      </c>
      <c r="Q482" s="1" t="s">
        <v>20</v>
      </c>
      <c r="R482" s="1" t="s">
        <v>27</v>
      </c>
      <c r="S482" s="1" t="s">
        <v>28</v>
      </c>
      <c r="T482" s="1" t="s">
        <v>29</v>
      </c>
    </row>
    <row r="483" customFormat="false" ht="18.7" hidden="false" customHeight="true" outlineLevel="0" collapsed="false">
      <c r="A483" s="1" t="n">
        <v>482</v>
      </c>
      <c r="B483" s="6" t="str">
        <f aca="false">HYPERLINK("https://mncourtfraud.com/file/MCRO_27-CR-19-19606_Notice of Case Reassignment_2021-03-30_20240430092052.pdf","MCRO_27-CR-19-19606_Notice of Case Reassignment_2021-03-30_20240430092052.pdf")</f>
        <v>MCRO_27-CR-19-19606_Notice of Case Reassignment_2021-03-30_20240430092052.pdf</v>
      </c>
      <c r="C483" s="1" t="n">
        <v>4</v>
      </c>
      <c r="D483" s="1" t="n">
        <v>1</v>
      </c>
      <c r="E483" s="1" t="n">
        <v>1</v>
      </c>
      <c r="F483" s="3" t="s">
        <v>20</v>
      </c>
      <c r="G483" s="3" t="s">
        <v>2058</v>
      </c>
      <c r="H483" s="1" t="s">
        <v>22</v>
      </c>
      <c r="I483" s="1" t="n">
        <v>20240430092052</v>
      </c>
      <c r="J483" s="3" t="s">
        <v>2059</v>
      </c>
      <c r="K483" s="3" t="s">
        <v>2060</v>
      </c>
      <c r="L483" s="3" t="s">
        <v>2061</v>
      </c>
      <c r="M483" s="3" t="n">
        <v>95033</v>
      </c>
      <c r="N483" s="3" t="s">
        <v>456</v>
      </c>
      <c r="O483" s="1" t="n">
        <v>78647</v>
      </c>
      <c r="P483" s="1" t="n">
        <v>82.76</v>
      </c>
      <c r="Q483" s="1" t="s">
        <v>20</v>
      </c>
      <c r="R483" s="1" t="s">
        <v>27</v>
      </c>
      <c r="S483" s="1" t="s">
        <v>28</v>
      </c>
      <c r="T483" s="1" t="s">
        <v>29</v>
      </c>
    </row>
    <row r="484" customFormat="false" ht="18.7" hidden="false" customHeight="true" outlineLevel="0" collapsed="false">
      <c r="A484" s="1" t="n">
        <v>483</v>
      </c>
      <c r="B484" s="6" t="str">
        <f aca="false">HYPERLINK("https://mncourtfraud.com/file/MCRO_27-CR-19-19606_Notice of Case Reassignment_2022-04-01_20240430092042.pdf","MCRO_27-CR-19-19606_Notice of Case Reassignment_2022-04-01_20240430092042.pdf")</f>
        <v>MCRO_27-CR-19-19606_Notice of Case Reassignment_2022-04-01_20240430092042.pdf</v>
      </c>
      <c r="C484" s="1" t="n">
        <v>4</v>
      </c>
      <c r="D484" s="1" t="n">
        <v>1</v>
      </c>
      <c r="E484" s="1" t="n">
        <v>1</v>
      </c>
      <c r="F484" s="3" t="s">
        <v>20</v>
      </c>
      <c r="G484" s="3" t="s">
        <v>2062</v>
      </c>
      <c r="H484" s="1" t="s">
        <v>22</v>
      </c>
      <c r="I484" s="1" t="n">
        <v>20240430092042</v>
      </c>
      <c r="J484" s="3" t="s">
        <v>2063</v>
      </c>
      <c r="K484" s="3" t="s">
        <v>2064</v>
      </c>
      <c r="L484" s="3" t="s">
        <v>2065</v>
      </c>
      <c r="M484" s="3" t="n">
        <v>97366</v>
      </c>
      <c r="N484" s="3" t="s">
        <v>456</v>
      </c>
      <c r="O484" s="1" t="n">
        <v>80980</v>
      </c>
      <c r="P484" s="1" t="n">
        <v>83.17</v>
      </c>
      <c r="Q484" s="1" t="s">
        <v>20</v>
      </c>
      <c r="R484" s="1" t="s">
        <v>27</v>
      </c>
      <c r="S484" s="1" t="s">
        <v>28</v>
      </c>
      <c r="T484" s="1" t="s">
        <v>29</v>
      </c>
    </row>
    <row r="485" customFormat="false" ht="18.7" hidden="false" customHeight="true" outlineLevel="0" collapsed="false">
      <c r="A485" s="1" t="n">
        <v>484</v>
      </c>
      <c r="B485" s="6" t="str">
        <f aca="false">HYPERLINK("https://mncourtfraud.com/file/MCRO_27-CR-19-19606_Notice of Case Reassignment_2023-01-13_20240430092035.pdf","MCRO_27-CR-19-19606_Notice of Case Reassignment_2023-01-13_20240430092035.pdf")</f>
        <v>MCRO_27-CR-19-19606_Notice of Case Reassignment_2023-01-13_20240430092035.pdf</v>
      </c>
      <c r="C485" s="1" t="n">
        <v>4</v>
      </c>
      <c r="D485" s="1" t="n">
        <v>1</v>
      </c>
      <c r="E485" s="1" t="n">
        <v>1</v>
      </c>
      <c r="F485" s="3" t="s">
        <v>20</v>
      </c>
      <c r="G485" s="3" t="s">
        <v>2066</v>
      </c>
      <c r="H485" s="1" t="s">
        <v>22</v>
      </c>
      <c r="I485" s="1" t="n">
        <v>20240430092035</v>
      </c>
      <c r="J485" s="3" t="s">
        <v>2067</v>
      </c>
      <c r="K485" s="3" t="s">
        <v>2068</v>
      </c>
      <c r="L485" s="3" t="s">
        <v>2069</v>
      </c>
      <c r="M485" s="3" t="n">
        <v>311043</v>
      </c>
      <c r="N485" s="3" t="s">
        <v>158</v>
      </c>
      <c r="O485" s="1" t="n">
        <v>294657</v>
      </c>
      <c r="P485" s="1" t="n">
        <v>94.73</v>
      </c>
      <c r="Q485" s="1" t="s">
        <v>20</v>
      </c>
      <c r="R485" s="1" t="s">
        <v>27</v>
      </c>
      <c r="S485" s="1" t="s">
        <v>28</v>
      </c>
      <c r="T485" s="1" t="s">
        <v>29</v>
      </c>
    </row>
    <row r="486" customFormat="false" ht="18.7" hidden="false" customHeight="true" outlineLevel="0" collapsed="false">
      <c r="A486" s="1" t="n">
        <v>485</v>
      </c>
      <c r="B486" s="6" t="str">
        <f aca="false">HYPERLINK("https://mncourtfraud.com/file/MCRO_27-CR-19-19606_Notice of Case Reassignment_2024-01-12_20240430092032.pdf","MCRO_27-CR-19-19606_Notice of Case Reassignment_2024-01-12_20240430092032.pdf")</f>
        <v>MCRO_27-CR-19-19606_Notice of Case Reassignment_2024-01-12_20240430092032.pdf</v>
      </c>
      <c r="C486" s="1" t="n">
        <v>4</v>
      </c>
      <c r="D486" s="1" t="n">
        <v>1</v>
      </c>
      <c r="E486" s="1" t="n">
        <v>1</v>
      </c>
      <c r="F486" s="3" t="s">
        <v>20</v>
      </c>
      <c r="G486" s="3" t="s">
        <v>2070</v>
      </c>
      <c r="H486" s="1" t="s">
        <v>22</v>
      </c>
      <c r="I486" s="1" t="n">
        <v>20240430092032</v>
      </c>
      <c r="J486" s="3" t="s">
        <v>2071</v>
      </c>
      <c r="K486" s="3" t="s">
        <v>2072</v>
      </c>
      <c r="L486" s="3" t="s">
        <v>2073</v>
      </c>
      <c r="M486" s="3" t="n">
        <v>294759</v>
      </c>
      <c r="N486" s="3" t="s">
        <v>158</v>
      </c>
      <c r="O486" s="1" t="n">
        <v>278373</v>
      </c>
      <c r="P486" s="1" t="n">
        <v>94.44</v>
      </c>
      <c r="Q486" s="1" t="s">
        <v>20</v>
      </c>
      <c r="R486" s="1" t="s">
        <v>27</v>
      </c>
      <c r="S486" s="1" t="s">
        <v>28</v>
      </c>
      <c r="T486" s="1" t="s">
        <v>29</v>
      </c>
    </row>
    <row r="487" customFormat="false" ht="18.7" hidden="false" customHeight="true" outlineLevel="0" collapsed="false">
      <c r="A487" s="1" t="n">
        <v>486</v>
      </c>
      <c r="B487" s="6" t="str">
        <f aca="false">HYPERLINK("https://mncourtfraud.com/file/MCRO_27-CR-19-19606_Notice of Hearing_2019-08-14_20240430092109.pdf","MCRO_27-CR-19-19606_Notice of Hearing_2019-08-14_20240430092109.pdf")</f>
        <v>MCRO_27-CR-19-19606_Notice of Hearing_2019-08-14_20240430092109.pdf</v>
      </c>
      <c r="C487" s="1" t="n">
        <v>4</v>
      </c>
      <c r="D487" s="1" t="n">
        <v>1</v>
      </c>
      <c r="E487" s="1" t="n">
        <v>1</v>
      </c>
      <c r="F487" s="3" t="s">
        <v>20</v>
      </c>
      <c r="G487" s="3" t="s">
        <v>2074</v>
      </c>
      <c r="H487" s="1" t="s">
        <v>22</v>
      </c>
      <c r="I487" s="1" t="n">
        <v>20240430092109</v>
      </c>
      <c r="J487" s="3" t="s">
        <v>2075</v>
      </c>
      <c r="K487" s="3" t="s">
        <v>2076</v>
      </c>
      <c r="L487" s="3" t="s">
        <v>2077</v>
      </c>
      <c r="M487" s="3" t="n">
        <v>111979</v>
      </c>
      <c r="N487" s="3" t="s">
        <v>435</v>
      </c>
      <c r="O487" s="1" t="n">
        <v>95593</v>
      </c>
      <c r="P487" s="1" t="n">
        <v>85.37</v>
      </c>
      <c r="Q487" s="1" t="s">
        <v>20</v>
      </c>
      <c r="R487" s="1" t="s">
        <v>27</v>
      </c>
      <c r="S487" s="1" t="s">
        <v>28</v>
      </c>
      <c r="T487" s="1" t="s">
        <v>29</v>
      </c>
    </row>
    <row r="488" customFormat="false" ht="18.7" hidden="false" customHeight="true" outlineLevel="0" collapsed="false">
      <c r="A488" s="1" t="n">
        <v>487</v>
      </c>
      <c r="B488" s="6" t="str">
        <f aca="false">HYPERLINK("https://mncourtfraud.com/file/MCRO_27-CR-19-19606_Notice of Hearing_2019-08-14_20240430092110.pdf","MCRO_27-CR-19-19606_Notice of Hearing_2019-08-14_20240430092110.pdf")</f>
        <v>MCRO_27-CR-19-19606_Notice of Hearing_2019-08-14_20240430092110.pdf</v>
      </c>
      <c r="C488" s="1" t="n">
        <v>4</v>
      </c>
      <c r="D488" s="1" t="n">
        <v>1</v>
      </c>
      <c r="E488" s="1" t="n">
        <v>1</v>
      </c>
      <c r="F488" s="3" t="s">
        <v>20</v>
      </c>
      <c r="G488" s="3" t="s">
        <v>2078</v>
      </c>
      <c r="H488" s="1" t="s">
        <v>22</v>
      </c>
      <c r="I488" s="1" t="n">
        <v>20240430092110</v>
      </c>
      <c r="J488" s="3" t="s">
        <v>2079</v>
      </c>
      <c r="K488" s="3" t="s">
        <v>2080</v>
      </c>
      <c r="L488" s="3" t="s">
        <v>2081</v>
      </c>
      <c r="M488" s="3" t="n">
        <v>112396</v>
      </c>
      <c r="N488" s="3" t="s">
        <v>435</v>
      </c>
      <c r="O488" s="1" t="n">
        <v>96010</v>
      </c>
      <c r="P488" s="1" t="n">
        <v>85.42</v>
      </c>
      <c r="Q488" s="1" t="s">
        <v>20</v>
      </c>
      <c r="R488" s="1" t="s">
        <v>27</v>
      </c>
      <c r="S488" s="1" t="s">
        <v>28</v>
      </c>
      <c r="T488" s="1" t="s">
        <v>29</v>
      </c>
    </row>
    <row r="489" customFormat="false" ht="18.7" hidden="false" customHeight="true" outlineLevel="0" collapsed="false">
      <c r="A489" s="1" t="n">
        <v>488</v>
      </c>
      <c r="B489" s="6" t="str">
        <f aca="false">HYPERLINK("https://mncourtfraud.com/file/MCRO_27-CR-19-19606_Notice of Hearing_2020-08-24_20240430092057.pdf","MCRO_27-CR-19-19606_Notice of Hearing_2020-08-24_20240430092057.pdf")</f>
        <v>MCRO_27-CR-19-19606_Notice of Hearing_2020-08-24_20240430092057.pdf</v>
      </c>
      <c r="C489" s="1" t="n">
        <v>4</v>
      </c>
      <c r="D489" s="1" t="n">
        <v>1</v>
      </c>
      <c r="E489" s="1" t="n">
        <v>1</v>
      </c>
      <c r="F489" s="3" t="s">
        <v>20</v>
      </c>
      <c r="G489" s="3" t="s">
        <v>2082</v>
      </c>
      <c r="H489" s="1" t="s">
        <v>22</v>
      </c>
      <c r="I489" s="1" t="n">
        <v>20240430092057</v>
      </c>
      <c r="J489" s="3" t="s">
        <v>2083</v>
      </c>
      <c r="K489" s="3" t="s">
        <v>2084</v>
      </c>
      <c r="L489" s="3" t="s">
        <v>2085</v>
      </c>
      <c r="M489" s="3" t="n">
        <v>106743</v>
      </c>
      <c r="N489" s="3" t="s">
        <v>892</v>
      </c>
      <c r="O489" s="1" t="n">
        <v>90357</v>
      </c>
      <c r="P489" s="1" t="n">
        <v>84.65</v>
      </c>
      <c r="Q489" s="1" t="s">
        <v>20</v>
      </c>
      <c r="R489" s="1" t="s">
        <v>27</v>
      </c>
      <c r="S489" s="1" t="s">
        <v>28</v>
      </c>
      <c r="T489" s="1" t="s">
        <v>29</v>
      </c>
    </row>
    <row r="490" customFormat="false" ht="18.7" hidden="false" customHeight="true" outlineLevel="0" collapsed="false">
      <c r="A490" s="1" t="n">
        <v>489</v>
      </c>
      <c r="B490" s="6" t="str">
        <f aca="false">HYPERLINK("https://mncourtfraud.com/file/MCRO_27-CR-19-19606_Notice of Hearing_2021-02-22_20240430092053.pdf","MCRO_27-CR-19-19606_Notice of Hearing_2021-02-22_20240430092053.pdf")</f>
        <v>MCRO_27-CR-19-19606_Notice of Hearing_2021-02-22_20240430092053.pdf</v>
      </c>
      <c r="C490" s="1" t="n">
        <v>4</v>
      </c>
      <c r="D490" s="1" t="n">
        <v>1</v>
      </c>
      <c r="E490" s="1" t="n">
        <v>1</v>
      </c>
      <c r="F490" s="3" t="s">
        <v>20</v>
      </c>
      <c r="G490" s="3" t="s">
        <v>2086</v>
      </c>
      <c r="H490" s="1" t="s">
        <v>22</v>
      </c>
      <c r="I490" s="1" t="n">
        <v>20240430092053</v>
      </c>
      <c r="J490" s="3" t="s">
        <v>2087</v>
      </c>
      <c r="K490" s="3" t="s">
        <v>2088</v>
      </c>
      <c r="L490" s="3" t="s">
        <v>1548</v>
      </c>
      <c r="M490" s="3" t="n">
        <v>85564</v>
      </c>
      <c r="N490" s="3" t="s">
        <v>614</v>
      </c>
      <c r="O490" s="1" t="n">
        <v>69178</v>
      </c>
      <c r="P490" s="1" t="n">
        <v>80.85</v>
      </c>
      <c r="Q490" s="1" t="s">
        <v>20</v>
      </c>
      <c r="R490" s="1" t="s">
        <v>27</v>
      </c>
      <c r="S490" s="1" t="s">
        <v>28</v>
      </c>
      <c r="T490" s="1" t="s">
        <v>29</v>
      </c>
    </row>
    <row r="491" customFormat="false" ht="18.7" hidden="false" customHeight="true" outlineLevel="0" collapsed="false">
      <c r="A491" s="1" t="n">
        <v>490</v>
      </c>
      <c r="B491" s="6" t="str">
        <f aca="false">HYPERLINK("https://mncourtfraud.com/file/MCRO_27-CR-19-19606_Notice of Hearing_2024-03-12_20240430092028.pdf","MCRO_27-CR-19-19606_Notice of Hearing_2024-03-12_20240430092028.pdf")</f>
        <v>MCRO_27-CR-19-19606_Notice of Hearing_2024-03-12_20240430092028.pdf</v>
      </c>
      <c r="C491" s="1" t="n">
        <v>4</v>
      </c>
      <c r="D491" s="1" t="n">
        <v>1</v>
      </c>
      <c r="E491" s="1" t="n">
        <v>1</v>
      </c>
      <c r="F491" s="3" t="s">
        <v>20</v>
      </c>
      <c r="G491" s="3" t="s">
        <v>2089</v>
      </c>
      <c r="H491" s="1" t="s">
        <v>22</v>
      </c>
      <c r="I491" s="1" t="n">
        <v>20240430092028</v>
      </c>
      <c r="J491" s="3" t="s">
        <v>2090</v>
      </c>
      <c r="K491" s="3" t="s">
        <v>2091</v>
      </c>
      <c r="L491" s="3" t="s">
        <v>2092</v>
      </c>
      <c r="M491" s="3" t="n">
        <v>255845</v>
      </c>
      <c r="N491" s="3" t="s">
        <v>74</v>
      </c>
      <c r="O491" s="1" t="n">
        <v>239459</v>
      </c>
      <c r="P491" s="1" t="n">
        <v>93.6</v>
      </c>
      <c r="Q491" s="1" t="s">
        <v>20</v>
      </c>
      <c r="R491" s="1" t="s">
        <v>27</v>
      </c>
      <c r="S491" s="1" t="s">
        <v>28</v>
      </c>
      <c r="T491" s="1" t="s">
        <v>29</v>
      </c>
    </row>
    <row r="492" customFormat="false" ht="18.7" hidden="false" customHeight="true" outlineLevel="0" collapsed="false">
      <c r="A492" s="1" t="n">
        <v>491</v>
      </c>
      <c r="B492" s="6" t="str">
        <f aca="false">HYPERLINK("https://mncourtfraud.com/file/MCRO_27-CR-19-19606_Notice of Motion and Motion_2021-07-14_20240430092049.pdf","MCRO_27-CR-19-19606_Notice of Motion and Motion_2021-07-14_20240430092049.pdf")</f>
        <v>MCRO_27-CR-19-19606_Notice of Motion and Motion_2021-07-14_20240430092049.pdf</v>
      </c>
      <c r="C492" s="1" t="n">
        <v>3</v>
      </c>
      <c r="D492" s="1" t="n">
        <v>1</v>
      </c>
      <c r="E492" s="1" t="n">
        <v>1</v>
      </c>
      <c r="F492" s="3" t="s">
        <v>20</v>
      </c>
      <c r="G492" s="3" t="s">
        <v>2093</v>
      </c>
      <c r="H492" s="1" t="s">
        <v>22</v>
      </c>
      <c r="I492" s="1" t="n">
        <v>20240430092049</v>
      </c>
      <c r="J492" s="3" t="s">
        <v>2094</v>
      </c>
      <c r="K492" s="3" t="s">
        <v>2095</v>
      </c>
      <c r="L492" s="3" t="s">
        <v>2096</v>
      </c>
      <c r="M492" s="3" t="n">
        <v>187185</v>
      </c>
      <c r="N492" s="3" t="s">
        <v>1569</v>
      </c>
      <c r="O492" s="1" t="n">
        <v>170799</v>
      </c>
      <c r="P492" s="1" t="n">
        <v>91.25</v>
      </c>
      <c r="Q492" s="1" t="s">
        <v>20</v>
      </c>
      <c r="R492" s="1" t="s">
        <v>27</v>
      </c>
      <c r="S492" s="1" t="s">
        <v>28</v>
      </c>
      <c r="T492" s="1" t="s">
        <v>29</v>
      </c>
    </row>
    <row r="493" customFormat="false" ht="18.7" hidden="false" customHeight="true" outlineLevel="0" collapsed="false">
      <c r="A493" s="1" t="n">
        <v>492</v>
      </c>
      <c r="B493" s="6" t="str">
        <f aca="false">HYPERLINK("https://mncourtfraud.com/file/MCRO_27-CR-19-19606_Notice of Remote Hearing with Instructions_2023-08-29_20240430092034.pdf","MCRO_27-CR-19-19606_Notice of Remote Hearing with Instructions_2023-08-29_20240430092034.pdf")</f>
        <v>MCRO_27-CR-19-19606_Notice of Remote Hearing with Instructions_2023-08-29_20240430092034.pdf</v>
      </c>
      <c r="C493" s="1" t="n">
        <v>5</v>
      </c>
      <c r="D493" s="1" t="n">
        <v>1</v>
      </c>
      <c r="E493" s="1" t="n">
        <v>1</v>
      </c>
      <c r="F493" s="3" t="s">
        <v>20</v>
      </c>
      <c r="G493" s="3" t="s">
        <v>2097</v>
      </c>
      <c r="H493" s="1" t="s">
        <v>22</v>
      </c>
      <c r="I493" s="1" t="n">
        <v>20240430092034</v>
      </c>
      <c r="J493" s="3" t="s">
        <v>2098</v>
      </c>
      <c r="K493" s="3" t="s">
        <v>2099</v>
      </c>
      <c r="L493" s="3" t="s">
        <v>2100</v>
      </c>
      <c r="M493" s="3" t="n">
        <v>844620</v>
      </c>
      <c r="N493" s="3" t="s">
        <v>1579</v>
      </c>
      <c r="O493" s="1" t="n">
        <v>828234</v>
      </c>
      <c r="P493" s="1" t="n">
        <v>98.06</v>
      </c>
      <c r="Q493" s="1" t="s">
        <v>20</v>
      </c>
      <c r="R493" s="1" t="s">
        <v>27</v>
      </c>
      <c r="S493" s="1" t="s">
        <v>28</v>
      </c>
      <c r="T493" s="1" t="s">
        <v>29</v>
      </c>
    </row>
    <row r="494" customFormat="false" ht="18.7" hidden="false" customHeight="true" outlineLevel="0" collapsed="false">
      <c r="A494" s="1" t="n">
        <v>493</v>
      </c>
      <c r="B494" s="6" t="str">
        <f aca="false">HYPERLINK("https://mncourtfraud.com/file/MCRO_27-CR-19-19606_Notice of Remote Hearing with Instructions_2024-03-05_20240430092031.pdf","MCRO_27-CR-19-19606_Notice of Remote Hearing with Instructions_2024-03-05_20240430092031.pdf")</f>
        <v>MCRO_27-CR-19-19606_Notice of Remote Hearing with Instructions_2024-03-05_20240430092031.pdf</v>
      </c>
      <c r="C494" s="1" t="n">
        <v>4</v>
      </c>
      <c r="D494" s="1" t="n">
        <v>1</v>
      </c>
      <c r="E494" s="1" t="n">
        <v>1</v>
      </c>
      <c r="F494" s="3" t="s">
        <v>20</v>
      </c>
      <c r="G494" s="3" t="s">
        <v>2101</v>
      </c>
      <c r="H494" s="1" t="s">
        <v>22</v>
      </c>
      <c r="I494" s="1" t="n">
        <v>20240430092031</v>
      </c>
      <c r="J494" s="3" t="s">
        <v>2102</v>
      </c>
      <c r="K494" s="3" t="s">
        <v>2103</v>
      </c>
      <c r="L494" s="3" t="s">
        <v>2104</v>
      </c>
      <c r="M494" s="3" t="n">
        <v>255663</v>
      </c>
      <c r="N494" s="3" t="s">
        <v>74</v>
      </c>
      <c r="O494" s="1" t="n">
        <v>239277</v>
      </c>
      <c r="P494" s="1" t="n">
        <v>93.59</v>
      </c>
      <c r="Q494" s="1" t="s">
        <v>20</v>
      </c>
      <c r="R494" s="1" t="s">
        <v>27</v>
      </c>
      <c r="S494" s="1" t="s">
        <v>28</v>
      </c>
      <c r="T494" s="1" t="s">
        <v>29</v>
      </c>
    </row>
    <row r="495" customFormat="false" ht="18.7" hidden="false" customHeight="true" outlineLevel="0" collapsed="false">
      <c r="A495" s="1" t="n">
        <v>494</v>
      </c>
      <c r="B495" s="6" t="str">
        <f aca="false">HYPERLINK("https://mncourtfraud.com/file/MCRO_27-CR-19-19606_Notice of Remote Hearing with Instructions_2024-03-12_20240430092029.pdf","MCRO_27-CR-19-19606_Notice of Remote Hearing with Instructions_2024-03-12_20240430092029.pdf")</f>
        <v>MCRO_27-CR-19-19606_Notice of Remote Hearing with Instructions_2024-03-12_20240430092029.pdf</v>
      </c>
      <c r="C495" s="1" t="n">
        <v>4</v>
      </c>
      <c r="D495" s="1" t="n">
        <v>1</v>
      </c>
      <c r="E495" s="1" t="n">
        <v>1</v>
      </c>
      <c r="F495" s="3" t="s">
        <v>20</v>
      </c>
      <c r="G495" s="3" t="s">
        <v>2105</v>
      </c>
      <c r="H495" s="1" t="s">
        <v>22</v>
      </c>
      <c r="I495" s="1" t="n">
        <v>20240430092029</v>
      </c>
      <c r="J495" s="3" t="s">
        <v>2106</v>
      </c>
      <c r="K495" s="3" t="s">
        <v>2107</v>
      </c>
      <c r="L495" s="3" t="s">
        <v>2108</v>
      </c>
      <c r="M495" s="3" t="n">
        <v>255638</v>
      </c>
      <c r="N495" s="3" t="s">
        <v>74</v>
      </c>
      <c r="O495" s="1" t="n">
        <v>239252</v>
      </c>
      <c r="P495" s="1" t="n">
        <v>93.59</v>
      </c>
      <c r="Q495" s="1" t="s">
        <v>20</v>
      </c>
      <c r="R495" s="1" t="s">
        <v>27</v>
      </c>
      <c r="S495" s="1" t="s">
        <v>28</v>
      </c>
      <c r="T495" s="1" t="s">
        <v>29</v>
      </c>
    </row>
    <row r="496" customFormat="false" ht="18.7" hidden="false" customHeight="true" outlineLevel="0" collapsed="false">
      <c r="A496" s="1" t="n">
        <v>495</v>
      </c>
      <c r="B496" s="6" t="str">
        <f aca="false">HYPERLINK("https://mncourtfraud.com/file/MCRO_27-CR-19-19606_Order-Evaluation for Competency to Proceed (Rule 20.01)_2019-08-14_20240430092112.pdf","MCRO_27-CR-19-19606_Order-Evaluation for Competency to Proceed (Rule 20.01)_2019-08-14_20240430092112.pdf")</f>
        <v>MCRO_27-CR-19-19606_Order-Evaluation for Competency to Proceed (Rule 20.01)_2019-08-14_20240430092112.pdf</v>
      </c>
      <c r="C496" s="1" t="n">
        <v>4</v>
      </c>
      <c r="D496" s="1" t="n">
        <v>1</v>
      </c>
      <c r="E496" s="1" t="n">
        <v>1</v>
      </c>
      <c r="F496" s="3" t="s">
        <v>20</v>
      </c>
      <c r="G496" s="3" t="s">
        <v>2109</v>
      </c>
      <c r="H496" s="1" t="s">
        <v>22</v>
      </c>
      <c r="I496" s="1" t="n">
        <v>20240430092112</v>
      </c>
      <c r="J496" s="3" t="s">
        <v>2110</v>
      </c>
      <c r="K496" s="3" t="s">
        <v>2111</v>
      </c>
      <c r="L496" s="3" t="s">
        <v>2112</v>
      </c>
      <c r="M496" s="3" t="n">
        <v>175242</v>
      </c>
      <c r="N496" s="3" t="s">
        <v>777</v>
      </c>
      <c r="O496" s="1" t="n">
        <v>158856</v>
      </c>
      <c r="P496" s="1" t="n">
        <v>90.65</v>
      </c>
      <c r="Q496" s="1" t="s">
        <v>20</v>
      </c>
      <c r="R496" s="1" t="s">
        <v>27</v>
      </c>
      <c r="S496" s="1" t="s">
        <v>28</v>
      </c>
      <c r="T496" s="1" t="s">
        <v>29</v>
      </c>
    </row>
    <row r="497" customFormat="false" ht="18.7" hidden="false" customHeight="true" outlineLevel="0" collapsed="false">
      <c r="A497" s="1" t="n">
        <v>496</v>
      </c>
      <c r="B497" s="6" t="str">
        <f aca="false">HYPERLINK("https://mncourtfraud.com/file/MCRO_27-CR-19-19606_Order-Evaluation for Competency to Proceed (Rule 20.01)_2019-09-16_20240430092107.pdf","MCRO_27-CR-19-19606_Order-Evaluation for Competency to Proceed (Rule 20.01)_2019-09-16_20240430092107.pdf")</f>
        <v>MCRO_27-CR-19-19606_Order-Evaluation for Competency to Proceed (Rule 20.01)_2019-09-16_20240430092107.pdf</v>
      </c>
      <c r="C497" s="1" t="n">
        <v>4</v>
      </c>
      <c r="D497" s="1" t="n">
        <v>1</v>
      </c>
      <c r="E497" s="1" t="n">
        <v>1</v>
      </c>
      <c r="F497" s="3" t="s">
        <v>20</v>
      </c>
      <c r="G497" s="3" t="s">
        <v>2113</v>
      </c>
      <c r="H497" s="1" t="s">
        <v>22</v>
      </c>
      <c r="I497" s="1" t="n">
        <v>20240430092107</v>
      </c>
      <c r="J497" s="3" t="s">
        <v>2114</v>
      </c>
      <c r="K497" s="3" t="s">
        <v>2115</v>
      </c>
      <c r="L497" s="3" t="s">
        <v>2116</v>
      </c>
      <c r="M497" s="3" t="n">
        <v>869140</v>
      </c>
      <c r="N497" s="3" t="s">
        <v>777</v>
      </c>
      <c r="O497" s="1" t="n">
        <v>852754</v>
      </c>
      <c r="P497" s="1" t="n">
        <v>98.11</v>
      </c>
      <c r="Q497" s="1" t="s">
        <v>20</v>
      </c>
      <c r="R497" s="1" t="s">
        <v>27</v>
      </c>
      <c r="S497" s="1" t="s">
        <v>28</v>
      </c>
      <c r="T497" s="1" t="s">
        <v>29</v>
      </c>
    </row>
    <row r="498" customFormat="false" ht="18.7" hidden="false" customHeight="true" outlineLevel="0" collapsed="false">
      <c r="A498" s="1" t="n">
        <v>497</v>
      </c>
      <c r="B498" s="6" t="str">
        <f aca="false">HYPERLINK("https://mncourtfraud.com/file/MCRO_27-CR-19-19606_Order-Evaluation for Competency to Proceed (Rule 20.01)_2020-06-11_20240430092058.pdf","MCRO_27-CR-19-19606_Order-Evaluation for Competency to Proceed (Rule 20.01)_2020-06-11_20240430092058.pdf")</f>
        <v>MCRO_27-CR-19-19606_Order-Evaluation for Competency to Proceed (Rule 20.01)_2020-06-11_20240430092058.pdf</v>
      </c>
      <c r="C498" s="1" t="n">
        <v>3</v>
      </c>
      <c r="D498" s="1" t="n">
        <v>1</v>
      </c>
      <c r="E498" s="1" t="n">
        <v>1</v>
      </c>
      <c r="F498" s="3" t="s">
        <v>20</v>
      </c>
      <c r="G498" s="3" t="s">
        <v>2117</v>
      </c>
      <c r="H498" s="1" t="s">
        <v>22</v>
      </c>
      <c r="I498" s="1" t="n">
        <v>20240430092058</v>
      </c>
      <c r="J498" s="3" t="s">
        <v>2118</v>
      </c>
      <c r="K498" s="3" t="s">
        <v>2119</v>
      </c>
      <c r="L498" s="3" t="s">
        <v>2120</v>
      </c>
      <c r="M498" s="3" t="n">
        <v>482266</v>
      </c>
      <c r="N498" s="3" t="s">
        <v>1605</v>
      </c>
      <c r="O498" s="1" t="n">
        <v>465880</v>
      </c>
      <c r="P498" s="1" t="n">
        <v>96.6</v>
      </c>
      <c r="Q498" s="1" t="s">
        <v>20</v>
      </c>
      <c r="R498" s="1" t="s">
        <v>27</v>
      </c>
      <c r="S498" s="1" t="s">
        <v>28</v>
      </c>
      <c r="T498" s="1" t="s">
        <v>29</v>
      </c>
    </row>
    <row r="499" customFormat="false" ht="18.7" hidden="false" customHeight="true" outlineLevel="0" collapsed="false">
      <c r="A499" s="1" t="n">
        <v>498</v>
      </c>
      <c r="B499" s="6" t="str">
        <f aca="false">HYPERLINK("https://mncourtfraud.com/file/MCRO_27-CR-19-19606_Order-Evaluation for Competency to Proceed (Rule 20.01)_2022-01-19_20240430092047.pdf","MCRO_27-CR-19-19606_Order-Evaluation for Competency to Proceed (Rule 20.01)_2022-01-19_20240430092047.pdf")</f>
        <v>MCRO_27-CR-19-19606_Order-Evaluation for Competency to Proceed (Rule 20.01)_2022-01-19_20240430092047.pdf</v>
      </c>
      <c r="C499" s="1" t="n">
        <v>7</v>
      </c>
      <c r="D499" s="1" t="n">
        <v>5</v>
      </c>
      <c r="E499" s="1" t="n">
        <v>5</v>
      </c>
      <c r="F499" s="3" t="s">
        <v>20</v>
      </c>
      <c r="G499" s="3" t="s">
        <v>2121</v>
      </c>
      <c r="H499" s="1" t="s">
        <v>22</v>
      </c>
      <c r="I499" s="1" t="n">
        <v>20240430092047</v>
      </c>
      <c r="J499" s="3" t="s">
        <v>2122</v>
      </c>
      <c r="K499" s="3" t="s">
        <v>2123</v>
      </c>
      <c r="L499" s="3" t="s">
        <v>2124</v>
      </c>
      <c r="M499" s="3" t="n">
        <v>511109</v>
      </c>
      <c r="N499" s="3" t="s">
        <v>564</v>
      </c>
      <c r="O499" s="1" t="n">
        <v>494723</v>
      </c>
      <c r="P499" s="1" t="n">
        <v>96.79</v>
      </c>
      <c r="Q499" s="1" t="s">
        <v>20</v>
      </c>
      <c r="R499" s="1" t="s">
        <v>27</v>
      </c>
      <c r="S499" s="1" t="s">
        <v>28</v>
      </c>
      <c r="T499" s="1" t="s">
        <v>29</v>
      </c>
    </row>
    <row r="500" customFormat="false" ht="18.7" hidden="false" customHeight="true" outlineLevel="0" collapsed="false">
      <c r="A500" s="1" t="n">
        <v>499</v>
      </c>
      <c r="B500" s="6" t="str">
        <f aca="false">HYPERLINK("https://mncourtfraud.com/file/MCRO_27-CR-19-19606_Order-Evaluation for Competency to Proceed (Rule 20.01)_2022-06-14_20240430092041.pdf","MCRO_27-CR-19-19606_Order-Evaluation for Competency to Proceed (Rule 20.01)_2022-06-14_20240430092041.pdf")</f>
        <v>MCRO_27-CR-19-19606_Order-Evaluation for Competency to Proceed (Rule 20.01)_2022-06-14_20240430092041.pdf</v>
      </c>
      <c r="C500" s="1" t="n">
        <v>6</v>
      </c>
      <c r="D500" s="1" t="n">
        <v>1</v>
      </c>
      <c r="E500" s="1" t="n">
        <v>1</v>
      </c>
      <c r="F500" s="3" t="s">
        <v>20</v>
      </c>
      <c r="G500" s="3" t="s">
        <v>2125</v>
      </c>
      <c r="H500" s="1" t="s">
        <v>22</v>
      </c>
      <c r="I500" s="1" t="n">
        <v>20240430092041</v>
      </c>
      <c r="J500" s="3" t="s">
        <v>2126</v>
      </c>
      <c r="K500" s="3" t="s">
        <v>2127</v>
      </c>
      <c r="L500" s="3" t="s">
        <v>1613</v>
      </c>
      <c r="M500" s="3" t="n">
        <v>829223</v>
      </c>
      <c r="N500" s="3" t="s">
        <v>1614</v>
      </c>
      <c r="O500" s="1" t="n">
        <v>812837</v>
      </c>
      <c r="P500" s="1" t="n">
        <v>98.02</v>
      </c>
      <c r="Q500" s="1" t="s">
        <v>20</v>
      </c>
      <c r="R500" s="1" t="s">
        <v>27</v>
      </c>
      <c r="S500" s="1" t="s">
        <v>28</v>
      </c>
      <c r="T500" s="1" t="s">
        <v>29</v>
      </c>
    </row>
    <row r="501" customFormat="false" ht="18.7" hidden="false" customHeight="true" outlineLevel="0" collapsed="false">
      <c r="A501" s="1" t="n">
        <v>500</v>
      </c>
      <c r="B501" s="6" t="str">
        <f aca="false">HYPERLINK("https://mncourtfraud.com/file/MCRO_27-CR-19-19606_Order-Evaluation for Competency to Proceed (Rule 20.01)_2022-12-27_20240430092038.pdf","MCRO_27-CR-19-19606_Order-Evaluation for Competency to Proceed (Rule 20.01)_2022-12-27_20240430092038.pdf")</f>
        <v>MCRO_27-CR-19-19606_Order-Evaluation for Competency to Proceed (Rule 20.01)_2022-12-27_20240430092038.pdf</v>
      </c>
      <c r="C501" s="1" t="n">
        <v>6</v>
      </c>
      <c r="D501" s="1" t="n">
        <v>1</v>
      </c>
      <c r="E501" s="1" t="n">
        <v>1</v>
      </c>
      <c r="F501" s="3" t="s">
        <v>20</v>
      </c>
      <c r="G501" s="3" t="s">
        <v>2128</v>
      </c>
      <c r="H501" s="1" t="s">
        <v>22</v>
      </c>
      <c r="I501" s="1" t="n">
        <v>20240430092038</v>
      </c>
      <c r="J501" s="3" t="s">
        <v>2129</v>
      </c>
      <c r="K501" s="3" t="s">
        <v>2130</v>
      </c>
      <c r="L501" s="3" t="s">
        <v>2131</v>
      </c>
      <c r="M501" s="3" t="n">
        <v>823503</v>
      </c>
      <c r="N501" s="3" t="s">
        <v>1619</v>
      </c>
      <c r="O501" s="1" t="n">
        <v>807117</v>
      </c>
      <c r="P501" s="1" t="n">
        <v>98.01</v>
      </c>
      <c r="Q501" s="1" t="s">
        <v>20</v>
      </c>
      <c r="R501" s="1" t="s">
        <v>27</v>
      </c>
      <c r="S501" s="1" t="s">
        <v>28</v>
      </c>
      <c r="T501" s="1" t="s">
        <v>29</v>
      </c>
    </row>
    <row r="502" customFormat="false" ht="18.7" hidden="false" customHeight="true" outlineLevel="0" collapsed="false">
      <c r="A502" s="1" t="n">
        <v>501</v>
      </c>
      <c r="B502" s="6" t="str">
        <f aca="false">HYPERLINK("https://mncourtfraud.com/file/MCRO_27-CR-19-19606_Order-Evaluation for Competency to Proceed (Rule 20.01)_2023-01-11_20240430092037.pdf","MCRO_27-CR-19-19606_Order-Evaluation for Competency to Proceed (Rule 20.01)_2023-01-11_20240430092037.pdf")</f>
        <v>MCRO_27-CR-19-19606_Order-Evaluation for Competency to Proceed (Rule 20.01)_2023-01-11_20240430092037.pdf</v>
      </c>
      <c r="C502" s="1" t="n">
        <v>6</v>
      </c>
      <c r="D502" s="1" t="n">
        <v>2</v>
      </c>
      <c r="E502" s="1" t="n">
        <v>2</v>
      </c>
      <c r="F502" s="3" t="s">
        <v>27</v>
      </c>
      <c r="G502" s="3" t="s">
        <v>2132</v>
      </c>
      <c r="H502" s="1" t="s">
        <v>22</v>
      </c>
      <c r="I502" s="1" t="n">
        <v>20240430092037</v>
      </c>
      <c r="J502" s="3" t="s">
        <v>2133</v>
      </c>
      <c r="K502" s="3" t="s">
        <v>2134</v>
      </c>
      <c r="L502" s="3" t="s">
        <v>2135</v>
      </c>
      <c r="M502" s="3" t="n">
        <v>913098</v>
      </c>
      <c r="N502" s="3" t="s">
        <v>1624</v>
      </c>
      <c r="O502" s="1" t="n">
        <v>896712</v>
      </c>
      <c r="P502" s="1" t="n">
        <v>98.21</v>
      </c>
      <c r="Q502" s="1" t="s">
        <v>20</v>
      </c>
      <c r="R502" s="1" t="s">
        <v>27</v>
      </c>
      <c r="S502" s="1" t="s">
        <v>28</v>
      </c>
      <c r="T502" s="1" t="s">
        <v>29</v>
      </c>
    </row>
    <row r="503" customFormat="false" ht="18.7" hidden="false" customHeight="true" outlineLevel="0" collapsed="false">
      <c r="A503" s="1" t="n">
        <v>502</v>
      </c>
      <c r="B503" s="6" t="str">
        <f aca="false">HYPERLINK("https://mncourtfraud.com/file/MCRO_27-CR-19-19606_Order-Evaluation for Competency to Proceed (Rule 20.01)_2023-12-22_20240430092033.pdf","MCRO_27-CR-19-19606_Order-Evaluation for Competency to Proceed (Rule 20.01)_2023-12-22_20240430092033.pdf")</f>
        <v>MCRO_27-CR-19-19606_Order-Evaluation for Competency to Proceed (Rule 20.01)_2023-12-22_20240430092033.pdf</v>
      </c>
      <c r="C503" s="1" t="n">
        <v>5</v>
      </c>
      <c r="D503" s="1" t="n">
        <v>1</v>
      </c>
      <c r="E503" s="1" t="n">
        <v>1</v>
      </c>
      <c r="F503" s="3" t="s">
        <v>20</v>
      </c>
      <c r="G503" s="3" t="s">
        <v>2136</v>
      </c>
      <c r="H503" s="1" t="s">
        <v>22</v>
      </c>
      <c r="I503" s="1" t="n">
        <v>20240430092033</v>
      </c>
      <c r="J503" s="3" t="s">
        <v>2137</v>
      </c>
      <c r="K503" s="3" t="s">
        <v>2138</v>
      </c>
      <c r="L503" s="3" t="s">
        <v>2139</v>
      </c>
      <c r="M503" s="3" t="n">
        <v>761665</v>
      </c>
      <c r="N503" s="3" t="s">
        <v>1091</v>
      </c>
      <c r="O503" s="1" t="n">
        <v>745279</v>
      </c>
      <c r="P503" s="1" t="n">
        <v>97.85</v>
      </c>
      <c r="Q503" s="1" t="s">
        <v>20</v>
      </c>
      <c r="R503" s="1" t="s">
        <v>27</v>
      </c>
      <c r="S503" s="1" t="s">
        <v>28</v>
      </c>
      <c r="T503" s="1" t="s">
        <v>29</v>
      </c>
    </row>
    <row r="504" customFormat="false" ht="18.7" hidden="false" customHeight="true" outlineLevel="0" collapsed="false">
      <c r="A504" s="1" t="n">
        <v>503</v>
      </c>
      <c r="B504" s="6" t="str">
        <f aca="false">HYPERLINK("https://mncourtfraud.com/file/MCRO_27-CR-19-19606_Order for Conditional Release_2020-01-24_20240430092103.pdf","MCRO_27-CR-19-19606_Order for Conditional Release_2020-01-24_20240430092103.pdf")</f>
        <v>MCRO_27-CR-19-19606_Order for Conditional Release_2020-01-24_20240430092103.pdf</v>
      </c>
      <c r="C504" s="1" t="n">
        <v>4</v>
      </c>
      <c r="D504" s="1" t="n">
        <v>1</v>
      </c>
      <c r="E504" s="1" t="n">
        <v>1</v>
      </c>
      <c r="F504" s="3" t="s">
        <v>20</v>
      </c>
      <c r="G504" s="3" t="s">
        <v>2140</v>
      </c>
      <c r="H504" s="1" t="s">
        <v>22</v>
      </c>
      <c r="I504" s="1" t="n">
        <v>20240430092103</v>
      </c>
      <c r="J504" s="3" t="s">
        <v>2141</v>
      </c>
      <c r="K504" s="3" t="s">
        <v>2142</v>
      </c>
      <c r="L504" s="3" t="s">
        <v>1630</v>
      </c>
      <c r="M504" s="3" t="n">
        <v>113847</v>
      </c>
      <c r="N504" s="3" t="s">
        <v>137</v>
      </c>
      <c r="O504" s="1" t="n">
        <v>97461</v>
      </c>
      <c r="P504" s="1" t="n">
        <v>85.61</v>
      </c>
      <c r="Q504" s="1" t="s">
        <v>20</v>
      </c>
      <c r="R504" s="1" t="s">
        <v>27</v>
      </c>
      <c r="S504" s="1" t="s">
        <v>28</v>
      </c>
      <c r="T504" s="1" t="s">
        <v>29</v>
      </c>
    </row>
    <row r="505" customFormat="false" ht="18.7" hidden="false" customHeight="true" outlineLevel="0" collapsed="false">
      <c r="A505" s="1" t="n">
        <v>504</v>
      </c>
      <c r="B505" s="6" t="str">
        <f aca="false">HYPERLINK("https://mncourtfraud.com/file/MCRO_27-CR-19-19606_Order for Conditional Release_2020-02-06_20240430092102.pdf","MCRO_27-CR-19-19606_Order for Conditional Release_2020-02-06_20240430092102.pdf")</f>
        <v>MCRO_27-CR-19-19606_Order for Conditional Release_2020-02-06_20240430092102.pdf</v>
      </c>
      <c r="C505" s="1" t="n">
        <v>4</v>
      </c>
      <c r="D505" s="1" t="n">
        <v>1</v>
      </c>
      <c r="E505" s="1" t="n">
        <v>1</v>
      </c>
      <c r="F505" s="3" t="s">
        <v>20</v>
      </c>
      <c r="G505" s="3" t="s">
        <v>2143</v>
      </c>
      <c r="H505" s="1" t="s">
        <v>22</v>
      </c>
      <c r="I505" s="1" t="n">
        <v>20240430092102</v>
      </c>
      <c r="J505" s="3" t="s">
        <v>2144</v>
      </c>
      <c r="K505" s="3" t="s">
        <v>2145</v>
      </c>
      <c r="L505" s="3" t="s">
        <v>1634</v>
      </c>
      <c r="M505" s="3" t="n">
        <v>89362</v>
      </c>
      <c r="N505" s="3" t="s">
        <v>137</v>
      </c>
      <c r="O505" s="1" t="n">
        <v>72976</v>
      </c>
      <c r="P505" s="1" t="n">
        <v>81.66</v>
      </c>
      <c r="Q505" s="1" t="s">
        <v>20</v>
      </c>
      <c r="R505" s="1" t="s">
        <v>27</v>
      </c>
      <c r="S505" s="1" t="s">
        <v>28</v>
      </c>
      <c r="T505" s="1" t="s">
        <v>29</v>
      </c>
    </row>
    <row r="506" customFormat="false" ht="18.7" hidden="false" customHeight="true" outlineLevel="0" collapsed="false">
      <c r="A506" s="1" t="n">
        <v>505</v>
      </c>
      <c r="B506" s="6" t="str">
        <f aca="false">HYPERLINK("https://mncourtfraud.com/file/MCRO_27-CR-19-19606_Order for Conditional Release_2020-03-25_20240430092101.pdf","MCRO_27-CR-19-19606_Order for Conditional Release_2020-03-25_20240430092101.pdf")</f>
        <v>MCRO_27-CR-19-19606_Order for Conditional Release_2020-03-25_20240430092101.pdf</v>
      </c>
      <c r="C506" s="1" t="n">
        <v>4</v>
      </c>
      <c r="D506" s="1" t="n">
        <v>1</v>
      </c>
      <c r="E506" s="1" t="n">
        <v>1</v>
      </c>
      <c r="F506" s="3" t="s">
        <v>20</v>
      </c>
      <c r="G506" s="3" t="s">
        <v>2146</v>
      </c>
      <c r="H506" s="1" t="s">
        <v>22</v>
      </c>
      <c r="I506" s="1" t="n">
        <v>20240430092101</v>
      </c>
      <c r="J506" s="3" t="s">
        <v>2147</v>
      </c>
      <c r="K506" s="3" t="s">
        <v>2148</v>
      </c>
      <c r="L506" s="3" t="s">
        <v>1638</v>
      </c>
      <c r="M506" s="3" t="n">
        <v>113604</v>
      </c>
      <c r="N506" s="3" t="s">
        <v>137</v>
      </c>
      <c r="O506" s="1" t="n">
        <v>97218</v>
      </c>
      <c r="P506" s="1" t="n">
        <v>85.58</v>
      </c>
      <c r="Q506" s="1" t="s">
        <v>20</v>
      </c>
      <c r="R506" s="1" t="s">
        <v>27</v>
      </c>
      <c r="S506" s="1" t="s">
        <v>28</v>
      </c>
      <c r="T506" s="1" t="s">
        <v>29</v>
      </c>
    </row>
    <row r="507" customFormat="false" ht="18.7" hidden="false" customHeight="true" outlineLevel="0" collapsed="false">
      <c r="A507" s="1" t="n">
        <v>506</v>
      </c>
      <c r="B507" s="6" t="str">
        <f aca="false">HYPERLINK("https://mncourtfraud.com/file/MCRO_27-CR-19-19606_Order for Conditional Release_2021-12-20_20240430092048.pdf","MCRO_27-CR-19-19606_Order for Conditional Release_2021-12-20_20240430092048.pdf")</f>
        <v>MCRO_27-CR-19-19606_Order for Conditional Release_2021-12-20_20240430092048.pdf</v>
      </c>
      <c r="C507" s="1" t="n">
        <v>4</v>
      </c>
      <c r="D507" s="1" t="n">
        <v>1</v>
      </c>
      <c r="E507" s="1" t="n">
        <v>1</v>
      </c>
      <c r="F507" s="3" t="s">
        <v>20</v>
      </c>
      <c r="G507" s="3" t="s">
        <v>2149</v>
      </c>
      <c r="H507" s="1" t="s">
        <v>22</v>
      </c>
      <c r="I507" s="1" t="n">
        <v>20240430092048</v>
      </c>
      <c r="J507" s="3" t="s">
        <v>2150</v>
      </c>
      <c r="K507" s="3" t="s">
        <v>2151</v>
      </c>
      <c r="L507" s="3" t="s">
        <v>2152</v>
      </c>
      <c r="M507" s="3" t="n">
        <v>158888</v>
      </c>
      <c r="N507" s="3" t="s">
        <v>1065</v>
      </c>
      <c r="O507" s="1" t="n">
        <v>142502</v>
      </c>
      <c r="P507" s="1" t="n">
        <v>89.69</v>
      </c>
      <c r="Q507" s="1" t="s">
        <v>20</v>
      </c>
      <c r="R507" s="1" t="s">
        <v>27</v>
      </c>
      <c r="S507" s="1" t="s">
        <v>28</v>
      </c>
      <c r="T507" s="1" t="s">
        <v>29</v>
      </c>
    </row>
    <row r="508" customFormat="false" ht="18.7" hidden="false" customHeight="true" outlineLevel="0" collapsed="false">
      <c r="A508" s="1" t="n">
        <v>507</v>
      </c>
      <c r="B508" s="6" t="str">
        <f aca="false">HYPERLINK("https://mncourtfraud.com/file/MCRO_27-CR-19-19606_Order for Conditional Release_2022-02-16_20240430092046.pdf","MCRO_27-CR-19-19606_Order for Conditional Release_2022-02-16_20240430092046.pdf")</f>
        <v>MCRO_27-CR-19-19606_Order for Conditional Release_2022-02-16_20240430092046.pdf</v>
      </c>
      <c r="C508" s="1" t="n">
        <v>10</v>
      </c>
      <c r="D508" s="1" t="n">
        <v>2</v>
      </c>
      <c r="E508" s="1" t="n">
        <v>2</v>
      </c>
      <c r="F508" s="3" t="s">
        <v>20</v>
      </c>
      <c r="G508" s="3" t="s">
        <v>2153</v>
      </c>
      <c r="H508" s="1" t="s">
        <v>22</v>
      </c>
      <c r="I508" s="1" t="n">
        <v>20240430092046</v>
      </c>
      <c r="J508" s="3" t="s">
        <v>2154</v>
      </c>
      <c r="K508" s="3" t="s">
        <v>2155</v>
      </c>
      <c r="L508" s="3" t="s">
        <v>2156</v>
      </c>
      <c r="M508" s="3" t="n">
        <v>1167053</v>
      </c>
      <c r="N508" s="3" t="s">
        <v>1645</v>
      </c>
      <c r="O508" s="1" t="n">
        <v>1150667</v>
      </c>
      <c r="P508" s="1" t="n">
        <v>98.6</v>
      </c>
      <c r="Q508" s="1" t="s">
        <v>20</v>
      </c>
      <c r="R508" s="1" t="s">
        <v>27</v>
      </c>
      <c r="S508" s="1" t="s">
        <v>28</v>
      </c>
      <c r="T508" s="1" t="s">
        <v>29</v>
      </c>
    </row>
    <row r="509" customFormat="false" ht="18.7" hidden="false" customHeight="true" outlineLevel="0" collapsed="false">
      <c r="A509" s="1" t="n">
        <v>508</v>
      </c>
      <c r="B509" s="6" t="str">
        <f aca="false">HYPERLINK("https://mncourtfraud.com/file/MCRO_27-CR-19-19606_Order for Conditional Release_2022-03-11_20240430092043.pdf","MCRO_27-CR-19-19606_Order for Conditional Release_2022-03-11_20240430092043.pdf")</f>
        <v>MCRO_27-CR-19-19606_Order for Conditional Release_2022-03-11_20240430092043.pdf</v>
      </c>
      <c r="C509" s="1" t="n">
        <v>3</v>
      </c>
      <c r="D509" s="1" t="n">
        <v>1</v>
      </c>
      <c r="E509" s="1" t="n">
        <v>1</v>
      </c>
      <c r="F509" s="3" t="s">
        <v>20</v>
      </c>
      <c r="G509" s="3" t="s">
        <v>2157</v>
      </c>
      <c r="H509" s="1" t="s">
        <v>22</v>
      </c>
      <c r="I509" s="1" t="n">
        <v>20240430092043</v>
      </c>
      <c r="J509" s="3" t="s">
        <v>2158</v>
      </c>
      <c r="K509" s="3" t="s">
        <v>2159</v>
      </c>
      <c r="L509" s="3" t="s">
        <v>2160</v>
      </c>
      <c r="M509" s="3" t="n">
        <v>194379</v>
      </c>
      <c r="N509" s="3" t="s">
        <v>1316</v>
      </c>
      <c r="O509" s="1" t="n">
        <v>177993</v>
      </c>
      <c r="P509" s="1" t="n">
        <v>91.57</v>
      </c>
      <c r="Q509" s="1" t="s">
        <v>20</v>
      </c>
      <c r="R509" s="1" t="s">
        <v>27</v>
      </c>
      <c r="S509" s="1" t="s">
        <v>28</v>
      </c>
      <c r="T509" s="1" t="s">
        <v>29</v>
      </c>
    </row>
    <row r="510" customFormat="false" ht="18.7" hidden="false" customHeight="true" outlineLevel="0" collapsed="false">
      <c r="A510" s="1" t="n">
        <v>509</v>
      </c>
      <c r="B510" s="6" t="str">
        <f aca="false">HYPERLINK("https://mncourtfraud.com/file/MCRO_27-CR-19-19606_Order-Other_2020-03-25_20240430092100.pdf","MCRO_27-CR-19-19606_Order-Other_2020-03-25_20240430092100.pdf")</f>
        <v>MCRO_27-CR-19-19606_Order-Other_2020-03-25_20240430092100.pdf</v>
      </c>
      <c r="C510" s="1" t="n">
        <v>4</v>
      </c>
      <c r="D510" s="1" t="n">
        <v>1</v>
      </c>
      <c r="E510" s="1" t="n">
        <v>1</v>
      </c>
      <c r="F510" s="3" t="s">
        <v>20</v>
      </c>
      <c r="G510" s="3" t="s">
        <v>2161</v>
      </c>
      <c r="H510" s="1" t="s">
        <v>22</v>
      </c>
      <c r="I510" s="1" t="n">
        <v>20240430092100</v>
      </c>
      <c r="J510" s="3" t="s">
        <v>2162</v>
      </c>
      <c r="K510" s="3" t="s">
        <v>2163</v>
      </c>
      <c r="L510" s="3" t="s">
        <v>1658</v>
      </c>
      <c r="M510" s="3" t="n">
        <v>302747</v>
      </c>
      <c r="N510" s="3" t="s">
        <v>1659</v>
      </c>
      <c r="O510" s="1" t="n">
        <v>286361</v>
      </c>
      <c r="P510" s="1" t="n">
        <v>94.59</v>
      </c>
      <c r="Q510" s="1" t="s">
        <v>20</v>
      </c>
      <c r="R510" s="1" t="s">
        <v>27</v>
      </c>
      <c r="S510" s="1" t="s">
        <v>28</v>
      </c>
      <c r="T510" s="1" t="s">
        <v>29</v>
      </c>
    </row>
    <row r="511" customFormat="false" ht="18.7" hidden="false" customHeight="true" outlineLevel="0" collapsed="false">
      <c r="A511" s="1" t="n">
        <v>510</v>
      </c>
      <c r="B511" s="6" t="str">
        <f aca="false">HYPERLINK("https://mncourtfraud.com/file/MCRO_27-CR-19-19606_Order to Transport_2019-10-07_20240430092106.pdf","MCRO_27-CR-19-19606_Order to Transport_2019-10-07_20240430092106.pdf")</f>
        <v>MCRO_27-CR-19-19606_Order to Transport_2019-10-07_20240430092106.pdf</v>
      </c>
      <c r="C511" s="1" t="n">
        <v>4</v>
      </c>
      <c r="D511" s="1" t="n">
        <v>1</v>
      </c>
      <c r="E511" s="1" t="n">
        <v>1</v>
      </c>
      <c r="F511" s="3" t="s">
        <v>20</v>
      </c>
      <c r="G511" s="3" t="s">
        <v>2164</v>
      </c>
      <c r="H511" s="1" t="s">
        <v>22</v>
      </c>
      <c r="I511" s="1" t="n">
        <v>20240430092106</v>
      </c>
      <c r="J511" s="3" t="s">
        <v>2165</v>
      </c>
      <c r="K511" s="3" t="s">
        <v>2166</v>
      </c>
      <c r="L511" s="3" t="s">
        <v>2167</v>
      </c>
      <c r="M511" s="3" t="n">
        <v>89244</v>
      </c>
      <c r="N511" s="3" t="s">
        <v>137</v>
      </c>
      <c r="O511" s="1" t="n">
        <v>72858</v>
      </c>
      <c r="P511" s="1" t="n">
        <v>81.64</v>
      </c>
      <c r="Q511" s="1" t="s">
        <v>20</v>
      </c>
      <c r="R511" s="1" t="s">
        <v>27</v>
      </c>
      <c r="S511" s="1" t="s">
        <v>28</v>
      </c>
      <c r="T511" s="1" t="s">
        <v>29</v>
      </c>
    </row>
    <row r="512" customFormat="false" ht="18.7" hidden="false" customHeight="true" outlineLevel="0" collapsed="false">
      <c r="A512" s="1" t="n">
        <v>511</v>
      </c>
      <c r="B512" s="6" t="str">
        <f aca="false">HYPERLINK("https://mncourtfraud.com/file/MCRO_27-CR-19-19606_Petition to Proceed as ProSe Counsel_2020-09-09_20240430092056.pdf","MCRO_27-CR-19-19606_Petition to Proceed as ProSe Counsel_2020-09-09_20240430092056.pdf")</f>
        <v>MCRO_27-CR-19-19606_Petition to Proceed as ProSe Counsel_2020-09-09_20240430092056.pdf</v>
      </c>
      <c r="C512" s="1" t="n">
        <v>4</v>
      </c>
      <c r="D512" s="1" t="n">
        <v>1</v>
      </c>
      <c r="E512" s="1" t="n">
        <v>1</v>
      </c>
      <c r="F512" s="3" t="s">
        <v>20</v>
      </c>
      <c r="G512" s="3" t="s">
        <v>2168</v>
      </c>
      <c r="H512" s="1" t="s">
        <v>22</v>
      </c>
      <c r="I512" s="1" t="n">
        <v>20240430092056</v>
      </c>
      <c r="J512" s="3" t="s">
        <v>2169</v>
      </c>
      <c r="K512" s="3" t="s">
        <v>2170</v>
      </c>
      <c r="L512" s="3" t="s">
        <v>1667</v>
      </c>
      <c r="M512" s="3" t="n">
        <v>369189</v>
      </c>
      <c r="N512" s="3" t="s">
        <v>1668</v>
      </c>
      <c r="O512" s="1" t="n">
        <v>352803</v>
      </c>
      <c r="P512" s="1" t="n">
        <v>95.56</v>
      </c>
      <c r="Q512" s="1" t="s">
        <v>20</v>
      </c>
      <c r="R512" s="1" t="s">
        <v>27</v>
      </c>
      <c r="S512" s="1" t="s">
        <v>28</v>
      </c>
      <c r="T512" s="1" t="s">
        <v>29</v>
      </c>
    </row>
    <row r="513" customFormat="false" ht="18.7" hidden="false" customHeight="true" outlineLevel="0" collapsed="false">
      <c r="A513" s="1" t="n">
        <v>512</v>
      </c>
      <c r="B513" s="6" t="str">
        <f aca="false">HYPERLINK("https://mncourtfraud.com/file/MCRO_27-CR-19-19606_Proposed Order or Document_2022-11-07_20240430092039.pdf","MCRO_27-CR-19-19606_Proposed Order or Document_2022-11-07_20240430092039.pdf")</f>
        <v>MCRO_27-CR-19-19606_Proposed Order or Document_2022-11-07_20240430092039.pdf</v>
      </c>
      <c r="C513" s="1" t="n">
        <v>3</v>
      </c>
      <c r="D513" s="1" t="n">
        <v>1</v>
      </c>
      <c r="E513" s="1" t="n">
        <v>1</v>
      </c>
      <c r="F513" s="3" t="s">
        <v>20</v>
      </c>
      <c r="G513" s="3" t="s">
        <v>2171</v>
      </c>
      <c r="H513" s="1" t="s">
        <v>22</v>
      </c>
      <c r="I513" s="1" t="n">
        <v>20240430092039</v>
      </c>
      <c r="J513" s="3" t="s">
        <v>2129</v>
      </c>
      <c r="K513" s="3" t="s">
        <v>2130</v>
      </c>
      <c r="L513" s="3" t="s">
        <v>2172</v>
      </c>
      <c r="M513" s="3" t="n">
        <v>178720</v>
      </c>
      <c r="N513" s="3" t="s">
        <v>1673</v>
      </c>
      <c r="O513" s="1" t="n">
        <v>162334</v>
      </c>
      <c r="P513" s="1" t="n">
        <v>90.83</v>
      </c>
      <c r="Q513" s="1" t="s">
        <v>20</v>
      </c>
      <c r="R513" s="1" t="s">
        <v>27</v>
      </c>
      <c r="S513" s="1" t="s">
        <v>28</v>
      </c>
      <c r="T513" s="1" t="s">
        <v>29</v>
      </c>
    </row>
    <row r="514" customFormat="false" ht="18.7" hidden="false" customHeight="true" outlineLevel="0" collapsed="false">
      <c r="A514" s="1" t="n">
        <v>513</v>
      </c>
      <c r="B514" s="6" t="str">
        <f aca="false">HYPERLINK("https://mncourtfraud.com/file/MCRO_27-CR-19-19606_Returned Mail_2024-03-19_20240430092027.pdf","MCRO_27-CR-19-19606_Returned Mail_2024-03-19_20240430092027.pdf")</f>
        <v>MCRO_27-CR-19-19606_Returned Mail_2024-03-19_20240430092027.pdf</v>
      </c>
      <c r="C514" s="1" t="n">
        <v>4</v>
      </c>
      <c r="D514" s="1" t="n">
        <v>1</v>
      </c>
      <c r="E514" s="1" t="n">
        <v>1</v>
      </c>
      <c r="F514" s="3" t="s">
        <v>20</v>
      </c>
      <c r="G514" s="3" t="s">
        <v>2173</v>
      </c>
      <c r="H514" s="1" t="s">
        <v>22</v>
      </c>
      <c r="I514" s="1" t="n">
        <v>20240430092027</v>
      </c>
      <c r="J514" s="3" t="s">
        <v>2174</v>
      </c>
      <c r="K514" s="3" t="s">
        <v>2175</v>
      </c>
      <c r="L514" s="3" t="s">
        <v>2176</v>
      </c>
      <c r="M514" s="3" t="n">
        <v>88263</v>
      </c>
      <c r="N514" s="3" t="s">
        <v>435</v>
      </c>
      <c r="O514" s="1" t="n">
        <v>71877</v>
      </c>
      <c r="P514" s="1" t="n">
        <v>81.44</v>
      </c>
      <c r="Q514" s="1" t="s">
        <v>20</v>
      </c>
      <c r="R514" s="1" t="s">
        <v>27</v>
      </c>
      <c r="S514" s="1" t="s">
        <v>28</v>
      </c>
      <c r="T514" s="1" t="s">
        <v>29</v>
      </c>
    </row>
    <row r="515" customFormat="false" ht="18.7" hidden="false" customHeight="true" outlineLevel="0" collapsed="false">
      <c r="A515" s="1" t="n">
        <v>514</v>
      </c>
      <c r="B515" s="6" t="str">
        <f aca="false">HYPERLINK("https://mncourtfraud.com/file/MCRO_27-CR-19-19606_Witness List_2020-05-28_20240430092059.pdf","MCRO_27-CR-19-19606_Witness List_2020-05-28_20240430092059.pdf")</f>
        <v>MCRO_27-CR-19-19606_Witness List_2020-05-28_20240430092059.pdf</v>
      </c>
      <c r="C515" s="1" t="n">
        <v>3</v>
      </c>
      <c r="D515" s="1" t="n">
        <v>1</v>
      </c>
      <c r="E515" s="1" t="n">
        <v>1</v>
      </c>
      <c r="F515" s="3" t="s">
        <v>20</v>
      </c>
      <c r="G515" s="3" t="s">
        <v>2177</v>
      </c>
      <c r="H515" s="1" t="s">
        <v>22</v>
      </c>
      <c r="I515" s="1" t="n">
        <v>20240430092059</v>
      </c>
      <c r="J515" s="3" t="s">
        <v>2178</v>
      </c>
      <c r="K515" s="3" t="s">
        <v>2179</v>
      </c>
      <c r="L515" s="3" t="s">
        <v>2180</v>
      </c>
      <c r="M515" s="3" t="n">
        <v>140863</v>
      </c>
      <c r="N515" s="3" t="s">
        <v>931</v>
      </c>
      <c r="O515" s="1" t="n">
        <v>124477</v>
      </c>
      <c r="P515" s="1" t="n">
        <v>88.37</v>
      </c>
      <c r="Q515" s="1" t="s">
        <v>20</v>
      </c>
      <c r="R515" s="1" t="s">
        <v>27</v>
      </c>
      <c r="S515" s="1" t="s">
        <v>28</v>
      </c>
      <c r="T515" s="1" t="s">
        <v>29</v>
      </c>
    </row>
    <row r="516" customFormat="false" ht="18.7" hidden="false" customHeight="true" outlineLevel="0" collapsed="false">
      <c r="A516" s="1" t="n">
        <v>515</v>
      </c>
      <c r="B516" s="6" t="str">
        <f aca="false">HYPERLINK("https://mncourtfraud.com/file/MCRO_27-CR-19-19606_Witness List_2021-07-13_20240430092051.pdf","MCRO_27-CR-19-19606_Witness List_2021-07-13_20240430092051.pdf")</f>
        <v>MCRO_27-CR-19-19606_Witness List_2021-07-13_20240430092051.pdf</v>
      </c>
      <c r="C516" s="1" t="n">
        <v>3</v>
      </c>
      <c r="D516" s="1" t="n">
        <v>1</v>
      </c>
      <c r="E516" s="1" t="n">
        <v>1</v>
      </c>
      <c r="F516" s="3" t="s">
        <v>20</v>
      </c>
      <c r="G516" s="3" t="s">
        <v>2181</v>
      </c>
      <c r="H516" s="1" t="s">
        <v>22</v>
      </c>
      <c r="I516" s="1" t="n">
        <v>20240430092051</v>
      </c>
      <c r="J516" s="3" t="s">
        <v>2182</v>
      </c>
      <c r="K516" s="3" t="s">
        <v>2183</v>
      </c>
      <c r="L516" s="3" t="s">
        <v>2184</v>
      </c>
      <c r="M516" s="3" t="n">
        <v>142206</v>
      </c>
      <c r="N516" s="3" t="s">
        <v>1690</v>
      </c>
      <c r="O516" s="1" t="n">
        <v>125820</v>
      </c>
      <c r="P516" s="1" t="n">
        <v>88.48</v>
      </c>
      <c r="Q516" s="1" t="s">
        <v>20</v>
      </c>
      <c r="R516" s="1" t="s">
        <v>27</v>
      </c>
      <c r="S516" s="1" t="s">
        <v>28</v>
      </c>
      <c r="T516" s="1" t="s">
        <v>29</v>
      </c>
    </row>
    <row r="517" customFormat="false" ht="18.7" hidden="false" customHeight="true" outlineLevel="0" collapsed="false">
      <c r="A517" s="1" t="n">
        <v>516</v>
      </c>
      <c r="B517" s="6" t="str">
        <f aca="false">HYPERLINK("https://mncourtfraud.com/file/MCRO_27-CR-19-22615_Correspondence_2020-01-15_20240430092219.pdf","MCRO_27-CR-19-22615_Correspondence_2020-01-15_20240430092219.pdf")</f>
        <v>MCRO_27-CR-19-22615_Correspondence_2020-01-15_20240430092219.pdf</v>
      </c>
      <c r="C517" s="1" t="n">
        <v>4</v>
      </c>
      <c r="D517" s="1" t="n">
        <v>1</v>
      </c>
      <c r="E517" s="1" t="n">
        <v>1</v>
      </c>
      <c r="F517" s="3" t="s">
        <v>20</v>
      </c>
      <c r="G517" s="3" t="s">
        <v>2185</v>
      </c>
      <c r="H517" s="1" t="s">
        <v>22</v>
      </c>
      <c r="I517" s="1" t="n">
        <v>20240430092219</v>
      </c>
      <c r="J517" s="3" t="s">
        <v>2186</v>
      </c>
      <c r="K517" s="3" t="s">
        <v>2187</v>
      </c>
      <c r="L517" s="3" t="s">
        <v>2188</v>
      </c>
      <c r="M517" s="3" t="n">
        <v>1232301</v>
      </c>
      <c r="N517" s="3" t="s">
        <v>1106</v>
      </c>
      <c r="O517" s="1" t="n">
        <v>1215915</v>
      </c>
      <c r="P517" s="1" t="n">
        <v>98.67</v>
      </c>
      <c r="Q517" s="1" t="s">
        <v>20</v>
      </c>
      <c r="R517" s="1" t="s">
        <v>27</v>
      </c>
      <c r="S517" s="1" t="s">
        <v>28</v>
      </c>
      <c r="T517" s="1" t="s">
        <v>29</v>
      </c>
    </row>
    <row r="518" customFormat="false" ht="18.7" hidden="false" customHeight="true" outlineLevel="0" collapsed="false">
      <c r="A518" s="1" t="n">
        <v>517</v>
      </c>
      <c r="B518" s="6" t="str">
        <f aca="false">HYPERLINK("https://mncourtfraud.com/file/MCRO_27-CR-19-22615_Correspondence_2023-11-30_20240430092156.pdf","MCRO_27-CR-19-22615_Correspondence_2023-11-30_20240430092156.pdf")</f>
        <v>MCRO_27-CR-19-22615_Correspondence_2023-11-30_20240430092156.pdf</v>
      </c>
      <c r="C518" s="1" t="n">
        <v>4</v>
      </c>
      <c r="D518" s="1" t="n">
        <v>1</v>
      </c>
      <c r="E518" s="1" t="n">
        <v>1</v>
      </c>
      <c r="F518" s="3" t="s">
        <v>20</v>
      </c>
      <c r="G518" s="3" t="s">
        <v>2189</v>
      </c>
      <c r="H518" s="1" t="s">
        <v>22</v>
      </c>
      <c r="I518" s="1" t="n">
        <v>20240430092156</v>
      </c>
      <c r="J518" s="3" t="s">
        <v>2190</v>
      </c>
      <c r="K518" s="3" t="s">
        <v>2191</v>
      </c>
      <c r="L518" s="3" t="s">
        <v>2192</v>
      </c>
      <c r="M518" s="3" t="n">
        <v>104262</v>
      </c>
      <c r="N518" s="3" t="s">
        <v>158</v>
      </c>
      <c r="O518" s="1" t="n">
        <v>87876</v>
      </c>
      <c r="P518" s="1" t="n">
        <v>84.28</v>
      </c>
      <c r="Q518" s="1" t="s">
        <v>20</v>
      </c>
      <c r="R518" s="1" t="s">
        <v>27</v>
      </c>
      <c r="S518" s="1" t="s">
        <v>28</v>
      </c>
      <c r="T518" s="1" t="s">
        <v>29</v>
      </c>
    </row>
    <row r="519" customFormat="false" ht="18.7" hidden="false" customHeight="true" outlineLevel="0" collapsed="false">
      <c r="A519" s="1" t="n">
        <v>518</v>
      </c>
      <c r="B519" s="6" t="str">
        <f aca="false">HYPERLINK("https://mncourtfraud.com/file/MCRO_27-CR-19-22615_Correspondence_2023-12-20_20240430092153.pdf","MCRO_27-CR-19-22615_Correspondence_2023-12-20_20240430092153.pdf")</f>
        <v>MCRO_27-CR-19-22615_Correspondence_2023-12-20_20240430092153.pdf</v>
      </c>
      <c r="C519" s="1" t="n">
        <v>4</v>
      </c>
      <c r="D519" s="1" t="n">
        <v>1</v>
      </c>
      <c r="E519" s="1" t="n">
        <v>1</v>
      </c>
      <c r="F519" s="3" t="s">
        <v>20</v>
      </c>
      <c r="G519" s="3" t="s">
        <v>2193</v>
      </c>
      <c r="H519" s="1" t="s">
        <v>22</v>
      </c>
      <c r="I519" s="1" t="n">
        <v>20240430092153</v>
      </c>
      <c r="J519" s="3" t="s">
        <v>2194</v>
      </c>
      <c r="K519" s="3" t="s">
        <v>2195</v>
      </c>
      <c r="L519" s="3" t="s">
        <v>2196</v>
      </c>
      <c r="M519" s="3" t="n">
        <v>127663</v>
      </c>
      <c r="N519" s="3" t="s">
        <v>435</v>
      </c>
      <c r="O519" s="1" t="n">
        <v>111277</v>
      </c>
      <c r="P519" s="1" t="n">
        <v>87.16</v>
      </c>
      <c r="Q519" s="1" t="s">
        <v>20</v>
      </c>
      <c r="R519" s="1" t="s">
        <v>27</v>
      </c>
      <c r="S519" s="1" t="s">
        <v>28</v>
      </c>
      <c r="T519" s="1" t="s">
        <v>29</v>
      </c>
    </row>
    <row r="520" customFormat="false" ht="18.7" hidden="false" customHeight="true" outlineLevel="0" collapsed="false">
      <c r="A520" s="1" t="n">
        <v>519</v>
      </c>
      <c r="B520" s="6" t="str">
        <f aca="false">HYPERLINK("https://mncourtfraud.com/file/MCRO_27-CR-19-22615_Correspondence_2023-12-20_20240430092154.pdf","MCRO_27-CR-19-22615_Correspondence_2023-12-20_20240430092154.pdf")</f>
        <v>MCRO_27-CR-19-22615_Correspondence_2023-12-20_20240430092154.pdf</v>
      </c>
      <c r="C520" s="1" t="n">
        <v>4</v>
      </c>
      <c r="D520" s="1" t="n">
        <v>1</v>
      </c>
      <c r="E520" s="1" t="n">
        <v>1</v>
      </c>
      <c r="F520" s="3" t="s">
        <v>20</v>
      </c>
      <c r="G520" s="3" t="s">
        <v>2197</v>
      </c>
      <c r="H520" s="1" t="s">
        <v>22</v>
      </c>
      <c r="I520" s="1" t="n">
        <v>20240430092154</v>
      </c>
      <c r="J520" s="3" t="s">
        <v>2198</v>
      </c>
      <c r="K520" s="3" t="s">
        <v>2199</v>
      </c>
      <c r="L520" s="3" t="s">
        <v>2200</v>
      </c>
      <c r="M520" s="3" t="n">
        <v>190419</v>
      </c>
      <c r="N520" s="3" t="s">
        <v>1159</v>
      </c>
      <c r="O520" s="1" t="n">
        <v>174033</v>
      </c>
      <c r="P520" s="1" t="n">
        <v>91.39</v>
      </c>
      <c r="Q520" s="1" t="s">
        <v>20</v>
      </c>
      <c r="R520" s="1" t="s">
        <v>27</v>
      </c>
      <c r="S520" s="1" t="s">
        <v>28</v>
      </c>
      <c r="T520" s="1" t="s">
        <v>29</v>
      </c>
    </row>
    <row r="521" customFormat="false" ht="18.7" hidden="false" customHeight="true" outlineLevel="0" collapsed="false">
      <c r="A521" s="1" t="n">
        <v>520</v>
      </c>
      <c r="B521" s="6" t="str">
        <f aca="false">HYPERLINK("https://mncourtfraud.com/file/MCRO_27-CR-19-22615_Correspondence_2023-12-20_20240430092157.pdf","MCRO_27-CR-19-22615_Correspondence_2023-12-20_20240430092157.pdf")</f>
        <v>MCRO_27-CR-19-22615_Correspondence_2023-12-20_20240430092157.pdf</v>
      </c>
      <c r="C521" s="1" t="n">
        <v>3</v>
      </c>
      <c r="D521" s="1" t="n">
        <v>1</v>
      </c>
      <c r="E521" s="1" t="n">
        <v>1</v>
      </c>
      <c r="F521" s="3" t="s">
        <v>20</v>
      </c>
      <c r="G521" s="3" t="s">
        <v>2201</v>
      </c>
      <c r="H521" s="1" t="s">
        <v>22</v>
      </c>
      <c r="I521" s="1" t="n">
        <v>20240430092157</v>
      </c>
      <c r="J521" s="3" t="s">
        <v>2202</v>
      </c>
      <c r="K521" s="3" t="s">
        <v>2203</v>
      </c>
      <c r="L521" s="3" t="s">
        <v>2204</v>
      </c>
      <c r="M521" s="3" t="n">
        <v>522462</v>
      </c>
      <c r="N521" s="3" t="s">
        <v>540</v>
      </c>
      <c r="O521" s="1" t="n">
        <v>506076</v>
      </c>
      <c r="P521" s="1" t="n">
        <v>96.86</v>
      </c>
      <c r="Q521" s="1" t="s">
        <v>20</v>
      </c>
      <c r="R521" s="1" t="s">
        <v>27</v>
      </c>
      <c r="S521" s="1" t="s">
        <v>28</v>
      </c>
      <c r="T521" s="1" t="s">
        <v>29</v>
      </c>
    </row>
    <row r="522" customFormat="false" ht="18.7" hidden="false" customHeight="true" outlineLevel="0" collapsed="false">
      <c r="A522" s="1" t="n">
        <v>521</v>
      </c>
      <c r="B522" s="6" t="str">
        <f aca="false">HYPERLINK("https://mncourtfraud.com/file/MCRO_27-CR-19-22615_Correspondence_2024-01-16_20240430092138.pdf","MCRO_27-CR-19-22615_Correspondence_2024-01-16_20240430092138.pdf")</f>
        <v>MCRO_27-CR-19-22615_Correspondence_2024-01-16_20240430092138.pdf</v>
      </c>
      <c r="C522" s="1" t="n">
        <v>4</v>
      </c>
      <c r="D522" s="1" t="n">
        <v>1</v>
      </c>
      <c r="E522" s="1" t="n">
        <v>1</v>
      </c>
      <c r="F522" s="3" t="s">
        <v>20</v>
      </c>
      <c r="G522" s="3" t="s">
        <v>2205</v>
      </c>
      <c r="H522" s="1" t="s">
        <v>22</v>
      </c>
      <c r="I522" s="1" t="n">
        <v>20240430092138</v>
      </c>
      <c r="J522" s="3" t="s">
        <v>2206</v>
      </c>
      <c r="K522" s="3" t="s">
        <v>2207</v>
      </c>
      <c r="L522" s="3" t="s">
        <v>2208</v>
      </c>
      <c r="M522" s="3" t="n">
        <v>120234</v>
      </c>
      <c r="N522" s="3" t="s">
        <v>435</v>
      </c>
      <c r="O522" s="1" t="n">
        <v>103848</v>
      </c>
      <c r="P522" s="1" t="n">
        <v>86.37</v>
      </c>
      <c r="Q522" s="1" t="s">
        <v>20</v>
      </c>
      <c r="R522" s="1" t="s">
        <v>27</v>
      </c>
      <c r="S522" s="1" t="s">
        <v>28</v>
      </c>
      <c r="T522" s="1" t="s">
        <v>29</v>
      </c>
    </row>
    <row r="523" customFormat="false" ht="18.7" hidden="false" customHeight="true" outlineLevel="0" collapsed="false">
      <c r="A523" s="1" t="n">
        <v>522</v>
      </c>
      <c r="B523" s="6" t="str">
        <f aca="false">HYPERLINK("https://mncourtfraud.com/file/MCRO_27-CR-19-22615_Correspondence_2024-01-16_20240430092139.pdf","MCRO_27-CR-19-22615_Correspondence_2024-01-16_20240430092139.pdf")</f>
        <v>MCRO_27-CR-19-22615_Correspondence_2024-01-16_20240430092139.pdf</v>
      </c>
      <c r="C523" s="1" t="n">
        <v>4</v>
      </c>
      <c r="D523" s="1" t="n">
        <v>1</v>
      </c>
      <c r="E523" s="1" t="n">
        <v>1</v>
      </c>
      <c r="F523" s="3" t="s">
        <v>20</v>
      </c>
      <c r="G523" s="3" t="s">
        <v>2209</v>
      </c>
      <c r="H523" s="1" t="s">
        <v>22</v>
      </c>
      <c r="I523" s="1" t="n">
        <v>20240430092139</v>
      </c>
      <c r="J523" s="3" t="s">
        <v>2210</v>
      </c>
      <c r="K523" s="3" t="s">
        <v>2211</v>
      </c>
      <c r="L523" s="3" t="s">
        <v>2212</v>
      </c>
      <c r="M523" s="3" t="n">
        <v>126583</v>
      </c>
      <c r="N523" s="3" t="s">
        <v>435</v>
      </c>
      <c r="O523" s="1" t="n">
        <v>110197</v>
      </c>
      <c r="P523" s="1" t="n">
        <v>87.06</v>
      </c>
      <c r="Q523" s="1" t="s">
        <v>20</v>
      </c>
      <c r="R523" s="1" t="s">
        <v>27</v>
      </c>
      <c r="S523" s="1" t="s">
        <v>28</v>
      </c>
      <c r="T523" s="1" t="s">
        <v>29</v>
      </c>
    </row>
    <row r="524" customFormat="false" ht="18.7" hidden="false" customHeight="true" outlineLevel="0" collapsed="false">
      <c r="A524" s="1" t="n">
        <v>523</v>
      </c>
      <c r="B524" s="6" t="str">
        <f aca="false">HYPERLINK("https://mncourtfraud.com/file/MCRO_27-CR-19-22615_Correspondence_2024-01-16_20240430092143.pdf","MCRO_27-CR-19-22615_Correspondence_2024-01-16_20240430092143.pdf")</f>
        <v>MCRO_27-CR-19-22615_Correspondence_2024-01-16_20240430092143.pdf</v>
      </c>
      <c r="C524" s="1" t="n">
        <v>3</v>
      </c>
      <c r="D524" s="1" t="n">
        <v>1</v>
      </c>
      <c r="E524" s="1" t="n">
        <v>1</v>
      </c>
      <c r="F524" s="3" t="s">
        <v>20</v>
      </c>
      <c r="G524" s="3" t="s">
        <v>2213</v>
      </c>
      <c r="H524" s="1" t="s">
        <v>22</v>
      </c>
      <c r="I524" s="1" t="n">
        <v>20240430092143</v>
      </c>
      <c r="J524" s="3" t="s">
        <v>2214</v>
      </c>
      <c r="K524" s="3" t="s">
        <v>2215</v>
      </c>
      <c r="L524" s="3" t="s">
        <v>2216</v>
      </c>
      <c r="M524" s="3" t="n">
        <v>914948</v>
      </c>
      <c r="N524" s="3" t="s">
        <v>540</v>
      </c>
      <c r="O524" s="1" t="n">
        <v>898562</v>
      </c>
      <c r="P524" s="1" t="n">
        <v>98.21</v>
      </c>
      <c r="Q524" s="1" t="s">
        <v>20</v>
      </c>
      <c r="R524" s="1" t="s">
        <v>27</v>
      </c>
      <c r="S524" s="1" t="s">
        <v>28</v>
      </c>
      <c r="T524" s="1" t="s">
        <v>29</v>
      </c>
    </row>
    <row r="525" customFormat="false" ht="18.7" hidden="false" customHeight="true" outlineLevel="0" collapsed="false">
      <c r="A525" s="1" t="n">
        <v>524</v>
      </c>
      <c r="B525" s="6" t="str">
        <f aca="false">HYPERLINK("https://mncourtfraud.com/file/MCRO_27-CR-19-22615_Correspondence_2024-01-23_20240430092135.pdf","MCRO_27-CR-19-22615_Correspondence_2024-01-23_20240430092135.pdf")</f>
        <v>MCRO_27-CR-19-22615_Correspondence_2024-01-23_20240430092135.pdf</v>
      </c>
      <c r="C525" s="1" t="n">
        <v>5</v>
      </c>
      <c r="D525" s="1" t="n">
        <v>1</v>
      </c>
      <c r="E525" s="1" t="n">
        <v>1</v>
      </c>
      <c r="F525" s="3" t="s">
        <v>20</v>
      </c>
      <c r="G525" s="3" t="s">
        <v>2217</v>
      </c>
      <c r="H525" s="1" t="s">
        <v>22</v>
      </c>
      <c r="I525" s="1" t="n">
        <v>20240430092135</v>
      </c>
      <c r="J525" s="3" t="s">
        <v>2218</v>
      </c>
      <c r="K525" s="3" t="s">
        <v>2219</v>
      </c>
      <c r="L525" s="3" t="s">
        <v>2220</v>
      </c>
      <c r="M525" s="3" t="n">
        <v>755005</v>
      </c>
      <c r="N525" s="3" t="s">
        <v>2221</v>
      </c>
      <c r="O525" s="1" t="n">
        <v>738619</v>
      </c>
      <c r="P525" s="1" t="n">
        <v>97.83</v>
      </c>
      <c r="Q525" s="1" t="s">
        <v>20</v>
      </c>
      <c r="R525" s="1" t="s">
        <v>27</v>
      </c>
      <c r="S525" s="1" t="s">
        <v>28</v>
      </c>
      <c r="T525" s="1" t="s">
        <v>29</v>
      </c>
    </row>
    <row r="526" customFormat="false" ht="18.7" hidden="false" customHeight="true" outlineLevel="0" collapsed="false">
      <c r="A526" s="1" t="n">
        <v>525</v>
      </c>
      <c r="B526" s="6" t="str">
        <f aca="false">HYPERLINK("https://mncourtfraud.com/file/MCRO_27-CR-19-22615_Demand for Refund of Bail_2024-02-14_20240430092134.pdf","MCRO_27-CR-19-22615_Demand for Refund of Bail_2024-02-14_20240430092134.pdf")</f>
        <v>MCRO_27-CR-19-22615_Demand for Refund of Bail_2024-02-14_20240430092134.pdf</v>
      </c>
      <c r="C526" s="1" t="n">
        <v>4</v>
      </c>
      <c r="D526" s="1" t="n">
        <v>1</v>
      </c>
      <c r="E526" s="1" t="n">
        <v>1</v>
      </c>
      <c r="F526" s="3" t="s">
        <v>20</v>
      </c>
      <c r="G526" s="3" t="s">
        <v>2222</v>
      </c>
      <c r="H526" s="1" t="s">
        <v>22</v>
      </c>
      <c r="I526" s="1" t="n">
        <v>20240430092134</v>
      </c>
      <c r="J526" s="3" t="s">
        <v>2223</v>
      </c>
      <c r="K526" s="3" t="s">
        <v>2224</v>
      </c>
      <c r="L526" s="3" t="s">
        <v>2225</v>
      </c>
      <c r="M526" s="3" t="n">
        <v>401982</v>
      </c>
      <c r="N526" s="3" t="s">
        <v>158</v>
      </c>
      <c r="O526" s="1" t="n">
        <v>385596</v>
      </c>
      <c r="P526" s="1" t="n">
        <v>95.92</v>
      </c>
      <c r="Q526" s="1" t="s">
        <v>20</v>
      </c>
      <c r="R526" s="1" t="s">
        <v>27</v>
      </c>
      <c r="S526" s="1" t="s">
        <v>28</v>
      </c>
      <c r="T526" s="1" t="s">
        <v>29</v>
      </c>
    </row>
    <row r="527" customFormat="false" ht="18.7" hidden="false" customHeight="true" outlineLevel="0" collapsed="false">
      <c r="A527" s="1" t="n">
        <v>526</v>
      </c>
      <c r="B527" s="6" t="str">
        <f aca="false">HYPERLINK("https://mncourtfraud.com/file/MCRO_27-CR-19-22615_E-filed Comp-Summons_2019-09-13_20240430092224.pdf","MCRO_27-CR-19-22615_E-filed Comp-Summons_2019-09-13_20240430092224.pdf")</f>
        <v>MCRO_27-CR-19-22615_E-filed Comp-Summons_2019-09-13_20240430092224.pdf</v>
      </c>
      <c r="C527" s="1" t="n">
        <v>4</v>
      </c>
      <c r="D527" s="1" t="n">
        <v>2</v>
      </c>
      <c r="E527" s="1" t="n">
        <v>2</v>
      </c>
      <c r="F527" s="3" t="s">
        <v>20</v>
      </c>
      <c r="G527" s="3" t="s">
        <v>2226</v>
      </c>
      <c r="H527" s="1" t="s">
        <v>22</v>
      </c>
      <c r="I527" s="1" t="n">
        <v>20240430092224</v>
      </c>
      <c r="J527" s="3" t="s">
        <v>2227</v>
      </c>
      <c r="K527" s="3" t="s">
        <v>2228</v>
      </c>
      <c r="L527" s="3" t="s">
        <v>2229</v>
      </c>
      <c r="M527" s="3" t="n">
        <v>532806</v>
      </c>
      <c r="N527" s="3" t="s">
        <v>2230</v>
      </c>
      <c r="O527" s="1" t="n">
        <v>516420</v>
      </c>
      <c r="P527" s="1" t="n">
        <v>96.92</v>
      </c>
      <c r="Q527" s="1" t="s">
        <v>20</v>
      </c>
      <c r="R527" s="1" t="s">
        <v>27</v>
      </c>
      <c r="S527" s="1" t="s">
        <v>28</v>
      </c>
      <c r="T527" s="1" t="s">
        <v>29</v>
      </c>
    </row>
    <row r="528" customFormat="false" ht="18.7" hidden="false" customHeight="true" outlineLevel="0" collapsed="false">
      <c r="A528" s="1" t="n">
        <v>527</v>
      </c>
      <c r="B528" s="6" t="str">
        <f aca="false">HYPERLINK("https://mncourtfraud.com/file/MCRO_27-CR-19-22615_Law Enforcement Notice of Release and Appearance_2019-12-30_20240430092221.pdf","MCRO_27-CR-19-22615_Law Enforcement Notice of Release and Appearance_2019-12-30_20240430092221.pdf")</f>
        <v>MCRO_27-CR-19-22615_Law Enforcement Notice of Release and Appearance_2019-12-30_20240430092221.pdf</v>
      </c>
      <c r="C528" s="1" t="n">
        <v>4</v>
      </c>
      <c r="D528" s="1" t="n">
        <v>1</v>
      </c>
      <c r="E528" s="1" t="n">
        <v>1</v>
      </c>
      <c r="F528" s="3" t="s">
        <v>20</v>
      </c>
      <c r="G528" s="3" t="s">
        <v>2231</v>
      </c>
      <c r="H528" s="1" t="s">
        <v>22</v>
      </c>
      <c r="I528" s="1" t="n">
        <v>20240430092221</v>
      </c>
      <c r="J528" s="3" t="s">
        <v>2232</v>
      </c>
      <c r="K528" s="3" t="s">
        <v>2233</v>
      </c>
      <c r="L528" s="3" t="s">
        <v>2234</v>
      </c>
      <c r="M528" s="3" t="n">
        <v>109039</v>
      </c>
      <c r="N528" s="3" t="s">
        <v>137</v>
      </c>
      <c r="O528" s="1" t="n">
        <v>92653</v>
      </c>
      <c r="P528" s="1" t="n">
        <v>84.97</v>
      </c>
      <c r="Q528" s="1" t="s">
        <v>20</v>
      </c>
      <c r="R528" s="1" t="s">
        <v>27</v>
      </c>
      <c r="S528" s="1" t="s">
        <v>28</v>
      </c>
      <c r="T528" s="1" t="s">
        <v>29</v>
      </c>
    </row>
    <row r="529" customFormat="false" ht="18.7" hidden="false" customHeight="true" outlineLevel="0" collapsed="false">
      <c r="A529" s="1" t="n">
        <v>528</v>
      </c>
      <c r="B529" s="6" t="str">
        <f aca="false">HYPERLINK("https://mncourtfraud.com/file/MCRO_27-CR-19-22615_Motion to Dismiss_2024-01-12_20240430092142.pdf","MCRO_27-CR-19-22615_Motion to Dismiss_2024-01-12_20240430092142.pdf")</f>
        <v>MCRO_27-CR-19-22615_Motion to Dismiss_2024-01-12_20240430092142.pdf</v>
      </c>
      <c r="C529" s="1" t="n">
        <v>3</v>
      </c>
      <c r="D529" s="1" t="n">
        <v>1</v>
      </c>
      <c r="E529" s="1" t="n">
        <v>1</v>
      </c>
      <c r="F529" s="3" t="s">
        <v>20</v>
      </c>
      <c r="G529" s="3" t="s">
        <v>2235</v>
      </c>
      <c r="H529" s="1" t="s">
        <v>22</v>
      </c>
      <c r="I529" s="1" t="n">
        <v>20240430092142</v>
      </c>
      <c r="J529" s="3" t="s">
        <v>2236</v>
      </c>
      <c r="K529" s="3" t="s">
        <v>2237</v>
      </c>
      <c r="L529" s="3" t="s">
        <v>2238</v>
      </c>
      <c r="M529" s="3" t="n">
        <v>214563</v>
      </c>
      <c r="N529" s="3" t="s">
        <v>2239</v>
      </c>
      <c r="O529" s="1" t="n">
        <v>198177</v>
      </c>
      <c r="P529" s="1" t="n">
        <v>92.36</v>
      </c>
      <c r="Q529" s="1" t="s">
        <v>20</v>
      </c>
      <c r="R529" s="1" t="s">
        <v>27</v>
      </c>
      <c r="S529" s="1" t="s">
        <v>28</v>
      </c>
      <c r="T529" s="1" t="s">
        <v>29</v>
      </c>
    </row>
    <row r="530" customFormat="false" ht="18.7" hidden="false" customHeight="true" outlineLevel="0" collapsed="false">
      <c r="A530" s="1" t="n">
        <v>529</v>
      </c>
      <c r="B530" s="6" t="str">
        <f aca="false">HYPERLINK("https://mncourtfraud.com/file/MCRO_27-CR-19-22615_Notice of Hearing_2020-01-15_20240430092220.pdf","MCRO_27-CR-19-22615_Notice of Hearing_2020-01-15_20240430092220.pdf")</f>
        <v>MCRO_27-CR-19-22615_Notice of Hearing_2020-01-15_20240430092220.pdf</v>
      </c>
      <c r="C530" s="1" t="n">
        <v>4</v>
      </c>
      <c r="D530" s="1" t="n">
        <v>1</v>
      </c>
      <c r="E530" s="1" t="n">
        <v>1</v>
      </c>
      <c r="F530" s="3" t="s">
        <v>20</v>
      </c>
      <c r="G530" s="3" t="s">
        <v>2240</v>
      </c>
      <c r="H530" s="1" t="s">
        <v>22</v>
      </c>
      <c r="I530" s="1" t="n">
        <v>20240430092220</v>
      </c>
      <c r="J530" s="3" t="s">
        <v>2241</v>
      </c>
      <c r="K530" s="3" t="s">
        <v>2242</v>
      </c>
      <c r="L530" s="3" t="s">
        <v>2243</v>
      </c>
      <c r="M530" s="3" t="n">
        <v>381331</v>
      </c>
      <c r="N530" s="3" t="s">
        <v>137</v>
      </c>
      <c r="O530" s="1" t="n">
        <v>364945</v>
      </c>
      <c r="P530" s="1" t="n">
        <v>95.7</v>
      </c>
      <c r="Q530" s="1" t="s">
        <v>20</v>
      </c>
      <c r="R530" s="1" t="s">
        <v>27</v>
      </c>
      <c r="S530" s="1" t="s">
        <v>28</v>
      </c>
      <c r="T530" s="1" t="s">
        <v>29</v>
      </c>
    </row>
    <row r="531" customFormat="false" ht="18.7" hidden="false" customHeight="true" outlineLevel="0" collapsed="false">
      <c r="A531" s="1" t="n">
        <v>530</v>
      </c>
      <c r="B531" s="6" t="str">
        <f aca="false">HYPERLINK("https://mncourtfraud.com/file/MCRO_27-CR-19-22615_Notice of Hearing_2020-03-19_20240430092217.pdf","MCRO_27-CR-19-22615_Notice of Hearing_2020-03-19_20240430092217.pdf")</f>
        <v>MCRO_27-CR-19-22615_Notice of Hearing_2020-03-19_20240430092217.pdf</v>
      </c>
      <c r="C531" s="1" t="n">
        <v>4</v>
      </c>
      <c r="D531" s="1" t="n">
        <v>1</v>
      </c>
      <c r="E531" s="1" t="n">
        <v>1</v>
      </c>
      <c r="F531" s="3" t="s">
        <v>20</v>
      </c>
      <c r="G531" s="3" t="s">
        <v>2244</v>
      </c>
      <c r="H531" s="1" t="s">
        <v>22</v>
      </c>
      <c r="I531" s="1" t="n">
        <v>20240430092217</v>
      </c>
      <c r="J531" s="3" t="s">
        <v>2245</v>
      </c>
      <c r="K531" s="3" t="s">
        <v>2246</v>
      </c>
      <c r="L531" s="3" t="s">
        <v>2247</v>
      </c>
      <c r="M531" s="3" t="n">
        <v>97359</v>
      </c>
      <c r="N531" s="3" t="s">
        <v>137</v>
      </c>
      <c r="O531" s="1" t="n">
        <v>80973</v>
      </c>
      <c r="P531" s="1" t="n">
        <v>83.17</v>
      </c>
      <c r="Q531" s="1" t="s">
        <v>20</v>
      </c>
      <c r="R531" s="1" t="s">
        <v>27</v>
      </c>
      <c r="S531" s="1" t="s">
        <v>28</v>
      </c>
      <c r="T531" s="1" t="s">
        <v>29</v>
      </c>
    </row>
    <row r="532" customFormat="false" ht="18.7" hidden="false" customHeight="true" outlineLevel="0" collapsed="false">
      <c r="A532" s="1" t="n">
        <v>531</v>
      </c>
      <c r="B532" s="6" t="str">
        <f aca="false">HYPERLINK("https://mncourtfraud.com/file/MCRO_27-CR-19-22615_Notice of Hearing_2023-08-23_20240430092214.pdf","MCRO_27-CR-19-22615_Notice of Hearing_2023-08-23_20240430092214.pdf")</f>
        <v>MCRO_27-CR-19-22615_Notice of Hearing_2023-08-23_20240430092214.pdf</v>
      </c>
      <c r="C532" s="1" t="n">
        <v>4</v>
      </c>
      <c r="D532" s="1" t="n">
        <v>1</v>
      </c>
      <c r="E532" s="1" t="n">
        <v>1</v>
      </c>
      <c r="F532" s="3" t="s">
        <v>20</v>
      </c>
      <c r="G532" s="3" t="s">
        <v>2248</v>
      </c>
      <c r="H532" s="1" t="s">
        <v>22</v>
      </c>
      <c r="I532" s="1" t="n">
        <v>20240430092214</v>
      </c>
      <c r="J532" s="3" t="s">
        <v>2249</v>
      </c>
      <c r="K532" s="3" t="s">
        <v>2250</v>
      </c>
      <c r="L532" s="3" t="s">
        <v>2251</v>
      </c>
      <c r="M532" s="3" t="n">
        <v>390165</v>
      </c>
      <c r="N532" s="3" t="s">
        <v>158</v>
      </c>
      <c r="O532" s="1" t="n">
        <v>373779</v>
      </c>
      <c r="P532" s="1" t="n">
        <v>95.8</v>
      </c>
      <c r="Q532" s="1" t="s">
        <v>20</v>
      </c>
      <c r="R532" s="1" t="s">
        <v>27</v>
      </c>
      <c r="S532" s="1" t="s">
        <v>28</v>
      </c>
      <c r="T532" s="1" t="s">
        <v>29</v>
      </c>
    </row>
    <row r="533" customFormat="false" ht="18.7" hidden="false" customHeight="true" outlineLevel="0" collapsed="false">
      <c r="A533" s="1" t="n">
        <v>532</v>
      </c>
      <c r="B533" s="6" t="str">
        <f aca="false">HYPERLINK("https://mncourtfraud.com/file/MCRO_27-CR-19-22615_Notice of Hearing_2023-08-31_20240430092213.pdf","MCRO_27-CR-19-22615_Notice of Hearing_2023-08-31_20240430092213.pdf")</f>
        <v>MCRO_27-CR-19-22615_Notice of Hearing_2023-08-31_20240430092213.pdf</v>
      </c>
      <c r="C533" s="1" t="n">
        <v>4</v>
      </c>
      <c r="D533" s="1" t="n">
        <v>1</v>
      </c>
      <c r="E533" s="1" t="n">
        <v>1</v>
      </c>
      <c r="F533" s="3" t="s">
        <v>20</v>
      </c>
      <c r="G533" s="3" t="s">
        <v>2252</v>
      </c>
      <c r="H533" s="1" t="s">
        <v>22</v>
      </c>
      <c r="I533" s="1" t="n">
        <v>20240430092213</v>
      </c>
      <c r="J533" s="3" t="s">
        <v>2253</v>
      </c>
      <c r="K533" s="3" t="s">
        <v>2254</v>
      </c>
      <c r="L533" s="3" t="s">
        <v>2255</v>
      </c>
      <c r="M533" s="3" t="n">
        <v>110975</v>
      </c>
      <c r="N533" s="3" t="s">
        <v>435</v>
      </c>
      <c r="O533" s="1" t="n">
        <v>94589</v>
      </c>
      <c r="P533" s="1" t="n">
        <v>85.23</v>
      </c>
      <c r="Q533" s="1" t="s">
        <v>20</v>
      </c>
      <c r="R533" s="1" t="s">
        <v>27</v>
      </c>
      <c r="S533" s="1" t="s">
        <v>28</v>
      </c>
      <c r="T533" s="1" t="s">
        <v>29</v>
      </c>
    </row>
    <row r="534" customFormat="false" ht="18.7" hidden="false" customHeight="true" outlineLevel="0" collapsed="false">
      <c r="A534" s="1" t="n">
        <v>533</v>
      </c>
      <c r="B534" s="6" t="str">
        <f aca="false">HYPERLINK("https://mncourtfraud.com/file/MCRO_27-CR-19-22615_Notice of Hearing_2023-11-21_20240430092201.pdf","MCRO_27-CR-19-22615_Notice of Hearing_2023-11-21_20240430092201.pdf")</f>
        <v>MCRO_27-CR-19-22615_Notice of Hearing_2023-11-21_20240430092201.pdf</v>
      </c>
      <c r="C534" s="1" t="n">
        <v>5</v>
      </c>
      <c r="D534" s="1" t="n">
        <v>1</v>
      </c>
      <c r="E534" s="1" t="n">
        <v>1</v>
      </c>
      <c r="F534" s="3" t="s">
        <v>20</v>
      </c>
      <c r="G534" s="3" t="s">
        <v>2256</v>
      </c>
      <c r="H534" s="1" t="s">
        <v>22</v>
      </c>
      <c r="I534" s="1" t="n">
        <v>20240430092201</v>
      </c>
      <c r="J534" s="3" t="s">
        <v>2257</v>
      </c>
      <c r="K534" s="3" t="s">
        <v>2258</v>
      </c>
      <c r="L534" s="3" t="s">
        <v>2259</v>
      </c>
      <c r="M534" s="3" t="n">
        <v>729733</v>
      </c>
      <c r="N534" s="3" t="s">
        <v>1278</v>
      </c>
      <c r="O534" s="1" t="n">
        <v>713347</v>
      </c>
      <c r="P534" s="1" t="n">
        <v>97.75</v>
      </c>
      <c r="Q534" s="1" t="s">
        <v>20</v>
      </c>
      <c r="R534" s="1" t="s">
        <v>27</v>
      </c>
      <c r="S534" s="1" t="s">
        <v>28</v>
      </c>
      <c r="T534" s="1" t="s">
        <v>29</v>
      </c>
    </row>
    <row r="535" customFormat="false" ht="18.7" hidden="false" customHeight="true" outlineLevel="0" collapsed="false">
      <c r="A535" s="1" t="n">
        <v>534</v>
      </c>
      <c r="B535" s="6" t="str">
        <f aca="false">HYPERLINK("https://mncourtfraud.com/file/MCRO_27-CR-19-22615_Notice of Hearing_2023-12-20_20240430092148.pdf","MCRO_27-CR-19-22615_Notice of Hearing_2023-12-20_20240430092148.pdf")</f>
        <v>MCRO_27-CR-19-22615_Notice of Hearing_2023-12-20_20240430092148.pdf</v>
      </c>
      <c r="C535" s="1" t="n">
        <v>4</v>
      </c>
      <c r="D535" s="1" t="n">
        <v>1</v>
      </c>
      <c r="E535" s="1" t="n">
        <v>1</v>
      </c>
      <c r="F535" s="3" t="s">
        <v>20</v>
      </c>
      <c r="G535" s="3" t="s">
        <v>2260</v>
      </c>
      <c r="H535" s="1" t="s">
        <v>22</v>
      </c>
      <c r="I535" s="1" t="n">
        <v>20240430092148</v>
      </c>
      <c r="J535" s="3" t="s">
        <v>2261</v>
      </c>
      <c r="K535" s="3" t="s">
        <v>2262</v>
      </c>
      <c r="L535" s="3" t="s">
        <v>2263</v>
      </c>
      <c r="M535" s="3" t="n">
        <v>100955</v>
      </c>
      <c r="N535" s="3" t="s">
        <v>435</v>
      </c>
      <c r="O535" s="1" t="n">
        <v>84569</v>
      </c>
      <c r="P535" s="1" t="n">
        <v>83.77</v>
      </c>
      <c r="Q535" s="1" t="s">
        <v>20</v>
      </c>
      <c r="R535" s="1" t="s">
        <v>27</v>
      </c>
      <c r="S535" s="1" t="s">
        <v>28</v>
      </c>
      <c r="T535" s="1" t="s">
        <v>29</v>
      </c>
    </row>
    <row r="536" customFormat="false" ht="18.7" hidden="false" customHeight="true" outlineLevel="0" collapsed="false">
      <c r="A536" s="1" t="n">
        <v>535</v>
      </c>
      <c r="B536" s="6" t="str">
        <f aca="false">HYPERLINK("https://mncourtfraud.com/file/MCRO_27-CR-19-22615_Notice of Hearing_2023-12-20_20240430092149.pdf","MCRO_27-CR-19-22615_Notice of Hearing_2023-12-20_20240430092149.pdf")</f>
        <v>MCRO_27-CR-19-22615_Notice of Hearing_2023-12-20_20240430092149.pdf</v>
      </c>
      <c r="C536" s="1" t="n">
        <v>4</v>
      </c>
      <c r="D536" s="1" t="n">
        <v>1</v>
      </c>
      <c r="E536" s="1" t="n">
        <v>1</v>
      </c>
      <c r="F536" s="3" t="s">
        <v>20</v>
      </c>
      <c r="G536" s="3" t="s">
        <v>2264</v>
      </c>
      <c r="H536" s="1" t="s">
        <v>22</v>
      </c>
      <c r="I536" s="1" t="n">
        <v>20240430092149</v>
      </c>
      <c r="J536" s="3" t="s">
        <v>2265</v>
      </c>
      <c r="K536" s="3" t="s">
        <v>2266</v>
      </c>
      <c r="L536" s="3" t="s">
        <v>2267</v>
      </c>
      <c r="M536" s="3" t="n">
        <v>101842</v>
      </c>
      <c r="N536" s="3" t="s">
        <v>435</v>
      </c>
      <c r="O536" s="1" t="n">
        <v>85456</v>
      </c>
      <c r="P536" s="1" t="n">
        <v>83.91</v>
      </c>
      <c r="Q536" s="1" t="s">
        <v>20</v>
      </c>
      <c r="R536" s="1" t="s">
        <v>27</v>
      </c>
      <c r="S536" s="1" t="s">
        <v>28</v>
      </c>
      <c r="T536" s="1" t="s">
        <v>29</v>
      </c>
    </row>
    <row r="537" customFormat="false" ht="18.7" hidden="false" customHeight="true" outlineLevel="0" collapsed="false">
      <c r="A537" s="1" t="n">
        <v>536</v>
      </c>
      <c r="B537" s="6" t="str">
        <f aca="false">HYPERLINK("https://mncourtfraud.com/file/MCRO_27-CR-19-22615_Notice of Hearing_2023-12-22_20240430092146.pdf","MCRO_27-CR-19-22615_Notice of Hearing_2023-12-22_20240430092146.pdf")</f>
        <v>MCRO_27-CR-19-22615_Notice of Hearing_2023-12-22_20240430092146.pdf</v>
      </c>
      <c r="C537" s="1" t="n">
        <v>4</v>
      </c>
      <c r="D537" s="1" t="n">
        <v>1</v>
      </c>
      <c r="E537" s="1" t="n">
        <v>1</v>
      </c>
      <c r="F537" s="3" t="s">
        <v>20</v>
      </c>
      <c r="G537" s="3" t="s">
        <v>2268</v>
      </c>
      <c r="H537" s="1" t="s">
        <v>22</v>
      </c>
      <c r="I537" s="1" t="n">
        <v>20240430092146</v>
      </c>
      <c r="J537" s="3" t="s">
        <v>2269</v>
      </c>
      <c r="K537" s="3" t="s">
        <v>2270</v>
      </c>
      <c r="L537" s="3" t="s">
        <v>2271</v>
      </c>
      <c r="M537" s="3" t="n">
        <v>100354</v>
      </c>
      <c r="N537" s="3" t="s">
        <v>435</v>
      </c>
      <c r="O537" s="1" t="n">
        <v>83968</v>
      </c>
      <c r="P537" s="1" t="n">
        <v>83.67</v>
      </c>
      <c r="Q537" s="1" t="s">
        <v>20</v>
      </c>
      <c r="R537" s="1" t="s">
        <v>27</v>
      </c>
      <c r="S537" s="1" t="s">
        <v>28</v>
      </c>
      <c r="T537" s="1" t="s">
        <v>29</v>
      </c>
    </row>
    <row r="538" customFormat="false" ht="18.7" hidden="false" customHeight="true" outlineLevel="0" collapsed="false">
      <c r="A538" s="1" t="n">
        <v>537</v>
      </c>
      <c r="B538" s="6" t="str">
        <f aca="false">HYPERLINK("https://mncourtfraud.com/file/MCRO_27-CR-19-22615_Notice of Remote Hearing with Instructions_2023-08-31_20240430092212.pdf","MCRO_27-CR-19-22615_Notice of Remote Hearing with Instructions_2023-08-31_20240430092212.pdf")</f>
        <v>MCRO_27-CR-19-22615_Notice of Remote Hearing with Instructions_2023-08-31_20240430092212.pdf</v>
      </c>
      <c r="C538" s="1" t="n">
        <v>4</v>
      </c>
      <c r="D538" s="1" t="n">
        <v>1</v>
      </c>
      <c r="E538" s="1" t="n">
        <v>1</v>
      </c>
      <c r="F538" s="3" t="s">
        <v>20</v>
      </c>
      <c r="G538" s="3" t="s">
        <v>2272</v>
      </c>
      <c r="H538" s="1" t="s">
        <v>22</v>
      </c>
      <c r="I538" s="1" t="n">
        <v>20240430092212</v>
      </c>
      <c r="J538" s="3" t="s">
        <v>2273</v>
      </c>
      <c r="K538" s="3" t="s">
        <v>2274</v>
      </c>
      <c r="L538" s="3" t="s">
        <v>2275</v>
      </c>
      <c r="M538" s="3" t="n">
        <v>151535</v>
      </c>
      <c r="N538" s="3" t="s">
        <v>1159</v>
      </c>
      <c r="O538" s="1" t="n">
        <v>135149</v>
      </c>
      <c r="P538" s="1" t="n">
        <v>89.19</v>
      </c>
      <c r="Q538" s="1" t="s">
        <v>20</v>
      </c>
      <c r="R538" s="1" t="s">
        <v>27</v>
      </c>
      <c r="S538" s="1" t="s">
        <v>28</v>
      </c>
      <c r="T538" s="1" t="s">
        <v>29</v>
      </c>
    </row>
    <row r="539" customFormat="false" ht="18.7" hidden="false" customHeight="true" outlineLevel="0" collapsed="false">
      <c r="A539" s="1" t="n">
        <v>538</v>
      </c>
      <c r="B539" s="6" t="str">
        <f aca="false">HYPERLINK("https://mncourtfraud.com/file/MCRO_27-CR-19-22615_Notice of Remote Hearing with Instructions_2023-11-07_20240430092208.pdf","MCRO_27-CR-19-22615_Notice of Remote Hearing with Instructions_2023-11-07_20240430092208.pdf")</f>
        <v>MCRO_27-CR-19-22615_Notice of Remote Hearing with Instructions_2023-11-07_20240430092208.pdf</v>
      </c>
      <c r="C539" s="1" t="n">
        <v>5</v>
      </c>
      <c r="D539" s="1" t="n">
        <v>1</v>
      </c>
      <c r="E539" s="1" t="n">
        <v>1</v>
      </c>
      <c r="F539" s="3" t="s">
        <v>20</v>
      </c>
      <c r="G539" s="3" t="s">
        <v>2276</v>
      </c>
      <c r="H539" s="1" t="s">
        <v>22</v>
      </c>
      <c r="I539" s="1" t="n">
        <v>20240430092208</v>
      </c>
      <c r="J539" s="3" t="s">
        <v>2277</v>
      </c>
      <c r="K539" s="3" t="s">
        <v>2278</v>
      </c>
      <c r="L539" s="3" t="s">
        <v>2279</v>
      </c>
      <c r="M539" s="3" t="n">
        <v>855573</v>
      </c>
      <c r="N539" s="3" t="s">
        <v>1248</v>
      </c>
      <c r="O539" s="1" t="n">
        <v>839187</v>
      </c>
      <c r="P539" s="1" t="n">
        <v>98.08</v>
      </c>
      <c r="Q539" s="1" t="s">
        <v>20</v>
      </c>
      <c r="R539" s="1" t="s">
        <v>27</v>
      </c>
      <c r="S539" s="1" t="s">
        <v>28</v>
      </c>
      <c r="T539" s="1" t="s">
        <v>29</v>
      </c>
    </row>
    <row r="540" customFormat="false" ht="18.7" hidden="false" customHeight="true" outlineLevel="0" collapsed="false">
      <c r="A540" s="1" t="n">
        <v>539</v>
      </c>
      <c r="B540" s="6" t="str">
        <f aca="false">HYPERLINK("https://mncourtfraud.com/file/MCRO_27-CR-19-22615_Notice of Remote Hearing with Instructions_2023-11-21_20240430092203.pdf","MCRO_27-CR-19-22615_Notice of Remote Hearing with Instructions_2023-11-21_20240430092203.pdf")</f>
        <v>MCRO_27-CR-19-22615_Notice of Remote Hearing with Instructions_2023-11-21_20240430092203.pdf</v>
      </c>
      <c r="C540" s="1" t="n">
        <v>5</v>
      </c>
      <c r="D540" s="1" t="n">
        <v>1</v>
      </c>
      <c r="E540" s="1" t="n">
        <v>1</v>
      </c>
      <c r="F540" s="3" t="s">
        <v>20</v>
      </c>
      <c r="G540" s="3" t="s">
        <v>2280</v>
      </c>
      <c r="H540" s="1" t="s">
        <v>22</v>
      </c>
      <c r="I540" s="1" t="n">
        <v>20240430092203</v>
      </c>
      <c r="J540" s="3" t="s">
        <v>2281</v>
      </c>
      <c r="K540" s="3" t="s">
        <v>2282</v>
      </c>
      <c r="L540" s="3" t="s">
        <v>2283</v>
      </c>
      <c r="M540" s="3" t="n">
        <v>903455</v>
      </c>
      <c r="N540" s="3" t="s">
        <v>366</v>
      </c>
      <c r="O540" s="1" t="n">
        <v>887069</v>
      </c>
      <c r="P540" s="1" t="n">
        <v>98.19</v>
      </c>
      <c r="Q540" s="1" t="s">
        <v>20</v>
      </c>
      <c r="R540" s="1" t="s">
        <v>27</v>
      </c>
      <c r="S540" s="1" t="s">
        <v>28</v>
      </c>
      <c r="T540" s="1" t="s">
        <v>29</v>
      </c>
    </row>
    <row r="541" customFormat="false" ht="18.7" hidden="false" customHeight="true" outlineLevel="0" collapsed="false">
      <c r="A541" s="1" t="n">
        <v>540</v>
      </c>
      <c r="B541" s="6" t="str">
        <f aca="false">HYPERLINK("https://mncourtfraud.com/file/MCRO_27-CR-19-22615_Notice of Remote Hearing with Instructions_2023-12-05_20240430092155.pdf","MCRO_27-CR-19-22615_Notice of Remote Hearing with Instructions_2023-12-05_20240430092155.pdf")</f>
        <v>MCRO_27-CR-19-22615_Notice of Remote Hearing with Instructions_2023-12-05_20240430092155.pdf</v>
      </c>
      <c r="C541" s="1" t="n">
        <v>5</v>
      </c>
      <c r="D541" s="1" t="n">
        <v>1</v>
      </c>
      <c r="E541" s="1" t="n">
        <v>1</v>
      </c>
      <c r="F541" s="3" t="s">
        <v>20</v>
      </c>
      <c r="G541" s="3" t="s">
        <v>2284</v>
      </c>
      <c r="H541" s="1" t="s">
        <v>22</v>
      </c>
      <c r="I541" s="1" t="n">
        <v>20240430092155</v>
      </c>
      <c r="J541" s="3" t="s">
        <v>2285</v>
      </c>
      <c r="K541" s="3" t="s">
        <v>2286</v>
      </c>
      <c r="L541" s="3" t="s">
        <v>2287</v>
      </c>
      <c r="M541" s="3" t="n">
        <v>847479</v>
      </c>
      <c r="N541" s="3" t="s">
        <v>510</v>
      </c>
      <c r="O541" s="1" t="n">
        <v>831093</v>
      </c>
      <c r="P541" s="1" t="n">
        <v>98.07</v>
      </c>
      <c r="Q541" s="1" t="s">
        <v>20</v>
      </c>
      <c r="R541" s="1" t="s">
        <v>27</v>
      </c>
      <c r="S541" s="1" t="s">
        <v>28</v>
      </c>
      <c r="T541" s="1" t="s">
        <v>29</v>
      </c>
    </row>
    <row r="542" customFormat="false" ht="18.7" hidden="false" customHeight="true" outlineLevel="0" collapsed="false">
      <c r="A542" s="1" t="n">
        <v>541</v>
      </c>
      <c r="B542" s="6" t="str">
        <f aca="false">HYPERLINK("https://mncourtfraud.com/file/MCRO_27-CR-19-22615_Notice to Remove Judicial Officer_2023-11-08_20240430092207.pdf","MCRO_27-CR-19-22615_Notice to Remove Judicial Officer_2023-11-08_20240430092207.pdf")</f>
        <v>MCRO_27-CR-19-22615_Notice to Remove Judicial Officer_2023-11-08_20240430092207.pdf</v>
      </c>
      <c r="C542" s="1" t="n">
        <v>4</v>
      </c>
      <c r="D542" s="1" t="n">
        <v>1</v>
      </c>
      <c r="E542" s="1" t="n">
        <v>1</v>
      </c>
      <c r="F542" s="3" t="s">
        <v>20</v>
      </c>
      <c r="G542" s="3" t="s">
        <v>2288</v>
      </c>
      <c r="H542" s="1" t="s">
        <v>22</v>
      </c>
      <c r="I542" s="1" t="n">
        <v>20240430092207</v>
      </c>
      <c r="J542" s="3" t="s">
        <v>2289</v>
      </c>
      <c r="K542" s="3" t="s">
        <v>2290</v>
      </c>
      <c r="L542" s="3" t="s">
        <v>2291</v>
      </c>
      <c r="M542" s="3" t="n">
        <v>593991</v>
      </c>
      <c r="N542" s="3" t="s">
        <v>158</v>
      </c>
      <c r="O542" s="1" t="n">
        <v>577605</v>
      </c>
      <c r="P542" s="1" t="n">
        <v>97.24</v>
      </c>
      <c r="Q542" s="1" t="s">
        <v>20</v>
      </c>
      <c r="R542" s="1" t="s">
        <v>27</v>
      </c>
      <c r="S542" s="1" t="s">
        <v>28</v>
      </c>
      <c r="T542" s="1" t="s">
        <v>29</v>
      </c>
    </row>
    <row r="543" customFormat="false" ht="18.7" hidden="false" customHeight="true" outlineLevel="0" collapsed="false">
      <c r="A543" s="1" t="n">
        <v>542</v>
      </c>
      <c r="B543" s="6" t="str">
        <f aca="false">HYPERLINK("https://mncourtfraud.com/file/MCRO_27-CR-19-22615_Notice to Remove Judicial Officer_2023-11-29_20240430092157.pdf","MCRO_27-CR-19-22615_Notice to Remove Judicial Officer_2023-11-29_20240430092157.pdf")</f>
        <v>MCRO_27-CR-19-22615_Notice to Remove Judicial Officer_2023-11-29_20240430092157.pdf</v>
      </c>
      <c r="C543" s="1" t="n">
        <v>4</v>
      </c>
      <c r="D543" s="1" t="n">
        <v>1</v>
      </c>
      <c r="E543" s="1" t="n">
        <v>1</v>
      </c>
      <c r="F543" s="3" t="s">
        <v>20</v>
      </c>
      <c r="G543" s="3" t="s">
        <v>2292</v>
      </c>
      <c r="H543" s="1" t="s">
        <v>22</v>
      </c>
      <c r="I543" s="1" t="n">
        <v>20240430092157</v>
      </c>
      <c r="J543" s="3" t="s">
        <v>2202</v>
      </c>
      <c r="K543" s="3" t="s">
        <v>2203</v>
      </c>
      <c r="L543" s="3" t="s">
        <v>2293</v>
      </c>
      <c r="M543" s="3" t="n">
        <v>494478</v>
      </c>
      <c r="N543" s="3" t="s">
        <v>158</v>
      </c>
      <c r="O543" s="1" t="n">
        <v>478092</v>
      </c>
      <c r="P543" s="1" t="n">
        <v>96.69</v>
      </c>
      <c r="Q543" s="1" t="s">
        <v>20</v>
      </c>
      <c r="R543" s="1" t="s">
        <v>27</v>
      </c>
      <c r="S543" s="1" t="s">
        <v>28</v>
      </c>
      <c r="T543" s="1" t="s">
        <v>29</v>
      </c>
    </row>
    <row r="544" customFormat="false" ht="18.7" hidden="false" customHeight="true" outlineLevel="0" collapsed="false">
      <c r="A544" s="1" t="n">
        <v>543</v>
      </c>
      <c r="B544" s="6" t="str">
        <f aca="false">HYPERLINK("https://mncourtfraud.com/file/MCRO_27-CR-19-22615_Notice to Remove Judicial Officer_2023-11-29_20240430092159.pdf","MCRO_27-CR-19-22615_Notice to Remove Judicial Officer_2023-11-29_20240430092159.pdf")</f>
        <v>MCRO_27-CR-19-22615_Notice to Remove Judicial Officer_2023-11-29_20240430092159.pdf</v>
      </c>
      <c r="C544" s="1" t="n">
        <v>4</v>
      </c>
      <c r="D544" s="1" t="n">
        <v>1</v>
      </c>
      <c r="E544" s="1" t="n">
        <v>1</v>
      </c>
      <c r="F544" s="3" t="s">
        <v>20</v>
      </c>
      <c r="G544" s="3" t="s">
        <v>2294</v>
      </c>
      <c r="H544" s="1" t="s">
        <v>22</v>
      </c>
      <c r="I544" s="1" t="n">
        <v>20240430092159</v>
      </c>
      <c r="J544" s="3" t="s">
        <v>2295</v>
      </c>
      <c r="K544" s="3" t="s">
        <v>2296</v>
      </c>
      <c r="L544" s="3" t="s">
        <v>2297</v>
      </c>
      <c r="M544" s="3" t="n">
        <v>495321</v>
      </c>
      <c r="N544" s="3" t="s">
        <v>158</v>
      </c>
      <c r="O544" s="1" t="n">
        <v>478935</v>
      </c>
      <c r="P544" s="1" t="n">
        <v>96.69</v>
      </c>
      <c r="Q544" s="1" t="s">
        <v>20</v>
      </c>
      <c r="R544" s="1" t="s">
        <v>27</v>
      </c>
      <c r="S544" s="1" t="s">
        <v>28</v>
      </c>
      <c r="T544" s="1" t="s">
        <v>29</v>
      </c>
    </row>
    <row r="545" customFormat="false" ht="18.7" hidden="false" customHeight="true" outlineLevel="0" collapsed="false">
      <c r="A545" s="1" t="n">
        <v>544</v>
      </c>
      <c r="B545" s="6" t="str">
        <f aca="false">HYPERLINK("https://mncourtfraud.com/file/MCRO_27-CR-19-22615_Notice to Remove Judicial Officer_2023-11-29_20240430092200.pdf","MCRO_27-CR-19-22615_Notice to Remove Judicial Officer_2023-11-29_20240430092200.pdf")</f>
        <v>MCRO_27-CR-19-22615_Notice to Remove Judicial Officer_2023-11-29_20240430092200.pdf</v>
      </c>
      <c r="C545" s="1" t="n">
        <v>4</v>
      </c>
      <c r="D545" s="1" t="n">
        <v>1</v>
      </c>
      <c r="E545" s="1" t="n">
        <v>1</v>
      </c>
      <c r="F545" s="3" t="s">
        <v>20</v>
      </c>
      <c r="G545" s="3" t="s">
        <v>2298</v>
      </c>
      <c r="H545" s="1" t="s">
        <v>22</v>
      </c>
      <c r="I545" s="1" t="n">
        <v>20240430092200</v>
      </c>
      <c r="J545" s="3" t="s">
        <v>2299</v>
      </c>
      <c r="K545" s="3" t="s">
        <v>2300</v>
      </c>
      <c r="L545" s="3" t="s">
        <v>2301</v>
      </c>
      <c r="M545" s="3" t="n">
        <v>501226</v>
      </c>
      <c r="N545" s="3" t="s">
        <v>158</v>
      </c>
      <c r="O545" s="1" t="n">
        <v>484840</v>
      </c>
      <c r="P545" s="1" t="n">
        <v>96.73</v>
      </c>
      <c r="Q545" s="1" t="s">
        <v>20</v>
      </c>
      <c r="R545" s="1" t="s">
        <v>27</v>
      </c>
      <c r="S545" s="1" t="s">
        <v>28</v>
      </c>
      <c r="T545" s="1" t="s">
        <v>29</v>
      </c>
    </row>
    <row r="546" customFormat="false" ht="18.7" hidden="false" customHeight="true" outlineLevel="0" collapsed="false">
      <c r="A546" s="1" t="n">
        <v>545</v>
      </c>
      <c r="B546" s="6" t="str">
        <f aca="false">HYPERLINK("https://mncourtfraud.com/file/MCRO_27-CR-19-22615_Notice to Remove Judicial Officer_2023-12-20_20240430092150.pdf","MCRO_27-CR-19-22615_Notice to Remove Judicial Officer_2023-12-20_20240430092150.pdf")</f>
        <v>MCRO_27-CR-19-22615_Notice to Remove Judicial Officer_2023-12-20_20240430092150.pdf</v>
      </c>
      <c r="C546" s="1" t="n">
        <v>4</v>
      </c>
      <c r="D546" s="1" t="n">
        <v>1</v>
      </c>
      <c r="E546" s="1" t="n">
        <v>1</v>
      </c>
      <c r="F546" s="3" t="s">
        <v>20</v>
      </c>
      <c r="G546" s="3" t="s">
        <v>2302</v>
      </c>
      <c r="H546" s="1" t="s">
        <v>22</v>
      </c>
      <c r="I546" s="1" t="n">
        <v>20240430092150</v>
      </c>
      <c r="J546" s="3" t="s">
        <v>2303</v>
      </c>
      <c r="K546" s="3" t="s">
        <v>2304</v>
      </c>
      <c r="L546" s="3" t="s">
        <v>2305</v>
      </c>
      <c r="M546" s="3" t="n">
        <v>114214</v>
      </c>
      <c r="N546" s="3" t="s">
        <v>435</v>
      </c>
      <c r="O546" s="1" t="n">
        <v>97828</v>
      </c>
      <c r="P546" s="1" t="n">
        <v>85.65</v>
      </c>
      <c r="Q546" s="1" t="s">
        <v>20</v>
      </c>
      <c r="R546" s="1" t="s">
        <v>27</v>
      </c>
      <c r="S546" s="1" t="s">
        <v>28</v>
      </c>
      <c r="T546" s="1" t="s">
        <v>29</v>
      </c>
    </row>
    <row r="547" customFormat="false" ht="18.7" hidden="false" customHeight="true" outlineLevel="0" collapsed="false">
      <c r="A547" s="1" t="n">
        <v>546</v>
      </c>
      <c r="B547" s="6" t="str">
        <f aca="false">HYPERLINK("https://mncourtfraud.com/file/MCRO_27-CR-19-22615_Notice to Remove Judicial Officer_2023-12-20_20240430092151.pdf","MCRO_27-CR-19-22615_Notice to Remove Judicial Officer_2023-12-20_20240430092151.pdf")</f>
        <v>MCRO_27-CR-19-22615_Notice to Remove Judicial Officer_2023-12-20_20240430092151.pdf</v>
      </c>
      <c r="C547" s="1" t="n">
        <v>4</v>
      </c>
      <c r="D547" s="1" t="n">
        <v>1</v>
      </c>
      <c r="E547" s="1" t="n">
        <v>1</v>
      </c>
      <c r="F547" s="3" t="s">
        <v>20</v>
      </c>
      <c r="G547" s="3" t="s">
        <v>2306</v>
      </c>
      <c r="H547" s="1" t="s">
        <v>22</v>
      </c>
      <c r="I547" s="1" t="n">
        <v>20240430092151</v>
      </c>
      <c r="J547" s="3" t="s">
        <v>2307</v>
      </c>
      <c r="K547" s="3" t="s">
        <v>2308</v>
      </c>
      <c r="L547" s="3" t="s">
        <v>2309</v>
      </c>
      <c r="M547" s="3" t="n">
        <v>115818</v>
      </c>
      <c r="N547" s="3" t="s">
        <v>435</v>
      </c>
      <c r="O547" s="1" t="n">
        <v>99432</v>
      </c>
      <c r="P547" s="1" t="n">
        <v>85.85</v>
      </c>
      <c r="Q547" s="1" t="s">
        <v>20</v>
      </c>
      <c r="R547" s="1" t="s">
        <v>27</v>
      </c>
      <c r="S547" s="1" t="s">
        <v>28</v>
      </c>
      <c r="T547" s="1" t="s">
        <v>29</v>
      </c>
    </row>
    <row r="548" customFormat="false" ht="18.7" hidden="false" customHeight="true" outlineLevel="0" collapsed="false">
      <c r="A548" s="1" t="n">
        <v>547</v>
      </c>
      <c r="B548" s="6" t="str">
        <f aca="false">HYPERLINK("https://mncourtfraud.com/file/MCRO_27-CR-19-22615_Notice to Remove Judicial Officer_2024-01-10_20240430092144.pdf","MCRO_27-CR-19-22615_Notice to Remove Judicial Officer_2024-01-10_20240430092144.pdf")</f>
        <v>MCRO_27-CR-19-22615_Notice to Remove Judicial Officer_2024-01-10_20240430092144.pdf</v>
      </c>
      <c r="C548" s="1" t="n">
        <v>4</v>
      </c>
      <c r="D548" s="1" t="n">
        <v>1</v>
      </c>
      <c r="E548" s="1" t="n">
        <v>1</v>
      </c>
      <c r="F548" s="3" t="s">
        <v>20</v>
      </c>
      <c r="G548" s="3" t="s">
        <v>2310</v>
      </c>
      <c r="H548" s="1" t="s">
        <v>22</v>
      </c>
      <c r="I548" s="1" t="n">
        <v>20240430092144</v>
      </c>
      <c r="J548" s="3" t="s">
        <v>2311</v>
      </c>
      <c r="K548" s="3" t="s">
        <v>2312</v>
      </c>
      <c r="L548" s="3" t="s">
        <v>2313</v>
      </c>
      <c r="M548" s="3" t="n">
        <v>540029</v>
      </c>
      <c r="N548" s="3" t="s">
        <v>158</v>
      </c>
      <c r="O548" s="1" t="n">
        <v>523643</v>
      </c>
      <c r="P548" s="1" t="n">
        <v>96.97</v>
      </c>
      <c r="Q548" s="1" t="s">
        <v>20</v>
      </c>
      <c r="R548" s="1" t="s">
        <v>27</v>
      </c>
      <c r="S548" s="1" t="s">
        <v>28</v>
      </c>
      <c r="T548" s="1" t="s">
        <v>29</v>
      </c>
    </row>
    <row r="549" customFormat="false" ht="18.7" hidden="false" customHeight="true" outlineLevel="0" collapsed="false">
      <c r="A549" s="1" t="n">
        <v>548</v>
      </c>
      <c r="B549" s="6" t="str">
        <f aca="false">HYPERLINK("https://mncourtfraud.com/file/MCRO_27-CR-19-22615_Notice to Remove Judicial Officer_2024-01-16_20240430092137.pdf","MCRO_27-CR-19-22615_Notice to Remove Judicial Officer_2024-01-16_20240430092137.pdf")</f>
        <v>MCRO_27-CR-19-22615_Notice to Remove Judicial Officer_2024-01-16_20240430092137.pdf</v>
      </c>
      <c r="C549" s="1" t="n">
        <v>4</v>
      </c>
      <c r="D549" s="1" t="n">
        <v>1</v>
      </c>
      <c r="E549" s="1" t="n">
        <v>1</v>
      </c>
      <c r="F549" s="3" t="s">
        <v>20</v>
      </c>
      <c r="G549" s="3" t="s">
        <v>2314</v>
      </c>
      <c r="H549" s="1" t="s">
        <v>22</v>
      </c>
      <c r="I549" s="1" t="n">
        <v>20240430092137</v>
      </c>
      <c r="J549" s="3" t="s">
        <v>2315</v>
      </c>
      <c r="K549" s="3" t="s">
        <v>2316</v>
      </c>
      <c r="L549" s="3" t="s">
        <v>2317</v>
      </c>
      <c r="M549" s="3" t="n">
        <v>112266</v>
      </c>
      <c r="N549" s="3" t="s">
        <v>435</v>
      </c>
      <c r="O549" s="1" t="n">
        <v>95880</v>
      </c>
      <c r="P549" s="1" t="n">
        <v>85.4</v>
      </c>
      <c r="Q549" s="1" t="s">
        <v>20</v>
      </c>
      <c r="R549" s="1" t="s">
        <v>27</v>
      </c>
      <c r="S549" s="1" t="s">
        <v>28</v>
      </c>
      <c r="T549" s="1" t="s">
        <v>29</v>
      </c>
    </row>
    <row r="550" customFormat="false" ht="18.7" hidden="false" customHeight="true" outlineLevel="0" collapsed="false">
      <c r="A550" s="1" t="n">
        <v>549</v>
      </c>
      <c r="B550" s="6" t="str">
        <f aca="false">HYPERLINK("https://mncourtfraud.com/file/MCRO_27-CR-19-22615_Order Denying Removal of Judicial Officer_2023-11-16_20240430092204.pdf","MCRO_27-CR-19-22615_Order Denying Removal of Judicial Officer_2023-11-16_20240430092204.pdf")</f>
        <v>MCRO_27-CR-19-22615_Order Denying Removal of Judicial Officer_2023-11-16_20240430092204.pdf</v>
      </c>
      <c r="C550" s="1" t="n">
        <v>5</v>
      </c>
      <c r="D550" s="1" t="n">
        <v>4</v>
      </c>
      <c r="E550" s="1" t="n">
        <v>4</v>
      </c>
      <c r="F550" s="3" t="s">
        <v>20</v>
      </c>
      <c r="G550" s="3" t="s">
        <v>2318</v>
      </c>
      <c r="H550" s="1" t="s">
        <v>22</v>
      </c>
      <c r="I550" s="1" t="n">
        <v>20240430092204</v>
      </c>
      <c r="J550" s="3" t="s">
        <v>2319</v>
      </c>
      <c r="K550" s="3" t="s">
        <v>2320</v>
      </c>
      <c r="L550" s="3" t="s">
        <v>2321</v>
      </c>
      <c r="M550" s="3" t="n">
        <v>319636</v>
      </c>
      <c r="N550" s="3" t="s">
        <v>2322</v>
      </c>
      <c r="O550" s="1" t="n">
        <v>303250</v>
      </c>
      <c r="P550" s="1" t="n">
        <v>94.87</v>
      </c>
      <c r="Q550" s="1" t="s">
        <v>20</v>
      </c>
      <c r="R550" s="1" t="s">
        <v>27</v>
      </c>
      <c r="S550" s="1" t="s">
        <v>28</v>
      </c>
      <c r="T550" s="1" t="s">
        <v>29</v>
      </c>
    </row>
    <row r="551" customFormat="false" ht="18.7" hidden="false" customHeight="true" outlineLevel="0" collapsed="false">
      <c r="A551" s="1" t="n">
        <v>550</v>
      </c>
      <c r="B551" s="6" t="str">
        <f aca="false">HYPERLINK("https://mncourtfraud.com/file/MCRO_27-CR-19-22615_Order Denying Removal of Judicial Officer_2023-12-21_20240430092148.pdf","MCRO_27-CR-19-22615_Order Denying Removal of Judicial Officer_2023-12-21_20240430092148.pdf")</f>
        <v>MCRO_27-CR-19-22615_Order Denying Removal of Judicial Officer_2023-12-21_20240430092148.pdf</v>
      </c>
      <c r="C551" s="1" t="n">
        <v>5</v>
      </c>
      <c r="D551" s="1" t="n">
        <v>4</v>
      </c>
      <c r="E551" s="1" t="n">
        <v>4</v>
      </c>
      <c r="F551" s="3" t="s">
        <v>20</v>
      </c>
      <c r="G551" s="3" t="s">
        <v>2323</v>
      </c>
      <c r="H551" s="1" t="s">
        <v>22</v>
      </c>
      <c r="I551" s="1" t="n">
        <v>20240430092148</v>
      </c>
      <c r="J551" s="3" t="s">
        <v>2324</v>
      </c>
      <c r="K551" s="3" t="s">
        <v>2325</v>
      </c>
      <c r="L551" s="3" t="s">
        <v>2326</v>
      </c>
      <c r="M551" s="3" t="n">
        <v>321303</v>
      </c>
      <c r="N551" s="3" t="s">
        <v>984</v>
      </c>
      <c r="O551" s="1" t="n">
        <v>304917</v>
      </c>
      <c r="P551" s="1" t="n">
        <v>94.9</v>
      </c>
      <c r="Q551" s="1" t="s">
        <v>20</v>
      </c>
      <c r="R551" s="1" t="s">
        <v>27</v>
      </c>
      <c r="S551" s="1" t="s">
        <v>28</v>
      </c>
      <c r="T551" s="1" t="s">
        <v>29</v>
      </c>
    </row>
    <row r="552" customFormat="false" ht="18.7" hidden="false" customHeight="true" outlineLevel="0" collapsed="false">
      <c r="A552" s="1" t="n">
        <v>551</v>
      </c>
      <c r="B552" s="6" t="str">
        <f aca="false">HYPERLINK("https://mncourtfraud.com/file/MCRO_27-CR-19-22615_Order Denying Removal of Judicial Officer_2024-01-11_20240430092144.pdf","MCRO_27-CR-19-22615_Order Denying Removal of Judicial Officer_2024-01-11_20240430092144.pdf")</f>
        <v>MCRO_27-CR-19-22615_Order Denying Removal of Judicial Officer_2024-01-11_20240430092144.pdf</v>
      </c>
      <c r="C552" s="1" t="n">
        <v>6</v>
      </c>
      <c r="D552" s="1" t="n">
        <v>4</v>
      </c>
      <c r="E552" s="1" t="n">
        <v>4</v>
      </c>
      <c r="F552" s="3" t="s">
        <v>27</v>
      </c>
      <c r="G552" s="3" t="s">
        <v>2327</v>
      </c>
      <c r="H552" s="1" t="s">
        <v>22</v>
      </c>
      <c r="I552" s="1" t="n">
        <v>20240430092144</v>
      </c>
      <c r="J552" s="3" t="s">
        <v>2311</v>
      </c>
      <c r="K552" s="3" t="s">
        <v>2312</v>
      </c>
      <c r="L552" s="3" t="s">
        <v>2328</v>
      </c>
      <c r="M552" s="3" t="n">
        <v>323249</v>
      </c>
      <c r="N552" s="3" t="s">
        <v>2329</v>
      </c>
      <c r="O552" s="1" t="n">
        <v>306863</v>
      </c>
      <c r="P552" s="1" t="n">
        <v>94.93</v>
      </c>
      <c r="Q552" s="1" t="s">
        <v>20</v>
      </c>
      <c r="R552" s="1" t="s">
        <v>27</v>
      </c>
      <c r="S552" s="1" t="s">
        <v>28</v>
      </c>
      <c r="T552" s="1" t="s">
        <v>29</v>
      </c>
    </row>
    <row r="553" customFormat="false" ht="18.7" hidden="false" customHeight="true" outlineLevel="0" collapsed="false">
      <c r="A553" s="1" t="n">
        <v>552</v>
      </c>
      <c r="B553" s="6" t="str">
        <f aca="false">HYPERLINK("https://mncourtfraud.com/file/MCRO_27-CR-19-22615_Order-Eval for Mental Illness or Cognitive Impairment 20.02_2023-08-31_20240430092210.pdf","MCRO_27-CR-19-22615_Order-Eval for Mental Illness or Cognitive Impairment 20.02_2023-08-31_20240430092210.pdf")</f>
        <v>MCRO_27-CR-19-22615_Order-Eval for Mental Illness or Cognitive Impairment 20.02_2023-08-31_20240430092210.pdf</v>
      </c>
      <c r="C553" s="1" t="n">
        <v>4</v>
      </c>
      <c r="D553" s="1" t="n">
        <v>1</v>
      </c>
      <c r="E553" s="1" t="n">
        <v>1</v>
      </c>
      <c r="F553" s="3" t="s">
        <v>20</v>
      </c>
      <c r="G553" s="3" t="s">
        <v>2330</v>
      </c>
      <c r="H553" s="1" t="s">
        <v>22</v>
      </c>
      <c r="I553" s="1" t="n">
        <v>20240430092210</v>
      </c>
      <c r="J553" s="3" t="s">
        <v>2331</v>
      </c>
      <c r="K553" s="3" t="s">
        <v>2332</v>
      </c>
      <c r="L553" s="3" t="s">
        <v>2333</v>
      </c>
      <c r="M553" s="3" t="n">
        <v>147297</v>
      </c>
      <c r="N553" s="3" t="s">
        <v>1159</v>
      </c>
      <c r="O553" s="1" t="n">
        <v>130911</v>
      </c>
      <c r="P553" s="1" t="n">
        <v>88.88</v>
      </c>
      <c r="Q553" s="1" t="s">
        <v>20</v>
      </c>
      <c r="R553" s="1" t="s">
        <v>27</v>
      </c>
      <c r="S553" s="1" t="s">
        <v>28</v>
      </c>
      <c r="T553" s="1" t="s">
        <v>29</v>
      </c>
    </row>
    <row r="554" customFormat="false" ht="18.7" hidden="false" customHeight="true" outlineLevel="0" collapsed="false">
      <c r="A554" s="1" t="n">
        <v>553</v>
      </c>
      <c r="B554" s="6" t="str">
        <f aca="false">HYPERLINK("https://mncourtfraud.com/file/MCRO_27-CR-19-22615_Order-Evaluation for Competency to Proceed (Rule 20.01)_2023-08-31_20240430092211.pdf","MCRO_27-CR-19-22615_Order-Evaluation for Competency to Proceed (Rule 20.01)_2023-08-31_20240430092211.pdf")</f>
        <v>MCRO_27-CR-19-22615_Order-Evaluation for Competency to Proceed (Rule 20.01)_2023-08-31_20240430092211.pdf</v>
      </c>
      <c r="C554" s="1" t="n">
        <v>4</v>
      </c>
      <c r="D554" s="1" t="n">
        <v>1</v>
      </c>
      <c r="E554" s="1" t="n">
        <v>1</v>
      </c>
      <c r="F554" s="3" t="s">
        <v>20</v>
      </c>
      <c r="G554" s="3" t="s">
        <v>2334</v>
      </c>
      <c r="H554" s="1" t="s">
        <v>22</v>
      </c>
      <c r="I554" s="1" t="n">
        <v>20240430092211</v>
      </c>
      <c r="J554" s="3" t="s">
        <v>2335</v>
      </c>
      <c r="K554" s="3" t="s">
        <v>2336</v>
      </c>
      <c r="L554" s="3" t="s">
        <v>2337</v>
      </c>
      <c r="M554" s="3" t="n">
        <v>146901</v>
      </c>
      <c r="N554" s="3" t="s">
        <v>1159</v>
      </c>
      <c r="O554" s="1" t="n">
        <v>130515</v>
      </c>
      <c r="P554" s="1" t="n">
        <v>88.85</v>
      </c>
      <c r="Q554" s="1" t="s">
        <v>20</v>
      </c>
      <c r="R554" s="1" t="s">
        <v>27</v>
      </c>
      <c r="S554" s="1" t="s">
        <v>28</v>
      </c>
      <c r="T554" s="1" t="s">
        <v>29</v>
      </c>
    </row>
    <row r="555" customFormat="false" ht="18.7" hidden="false" customHeight="true" outlineLevel="0" collapsed="false">
      <c r="A555" s="1" t="n">
        <v>554</v>
      </c>
      <c r="B555" s="6" t="str">
        <f aca="false">HYPERLINK("https://mncourtfraud.com/file/MCRO_27-CR-19-22615_Order Granting Fee Waiver_2023-11-09_20240430092205.pdf","MCRO_27-CR-19-22615_Order Granting Fee Waiver_2023-11-09_20240430092205.pdf")</f>
        <v>MCRO_27-CR-19-22615_Order Granting Fee Waiver_2023-11-09_20240430092205.pdf</v>
      </c>
      <c r="C555" s="1" t="n">
        <v>4</v>
      </c>
      <c r="D555" s="1" t="n">
        <v>1</v>
      </c>
      <c r="E555" s="1" t="n">
        <v>1</v>
      </c>
      <c r="F555" s="3" t="s">
        <v>20</v>
      </c>
      <c r="G555" s="3" t="s">
        <v>2338</v>
      </c>
      <c r="H555" s="1" t="s">
        <v>22</v>
      </c>
      <c r="I555" s="1" t="n">
        <v>20240430092205</v>
      </c>
      <c r="J555" s="3" t="s">
        <v>2339</v>
      </c>
      <c r="K555" s="3" t="s">
        <v>2340</v>
      </c>
      <c r="L555" s="3" t="s">
        <v>2341</v>
      </c>
      <c r="M555" s="3" t="n">
        <v>425290</v>
      </c>
      <c r="N555" s="3" t="s">
        <v>2342</v>
      </c>
      <c r="O555" s="1" t="n">
        <v>408904</v>
      </c>
      <c r="P555" s="1" t="n">
        <v>96.15</v>
      </c>
      <c r="Q555" s="1" t="s">
        <v>20</v>
      </c>
      <c r="R555" s="1" t="s">
        <v>27</v>
      </c>
      <c r="S555" s="1" t="s">
        <v>28</v>
      </c>
      <c r="T555" s="1" t="s">
        <v>29</v>
      </c>
    </row>
    <row r="556" customFormat="false" ht="18.7" hidden="false" customHeight="true" outlineLevel="0" collapsed="false">
      <c r="A556" s="1" t="n">
        <v>555</v>
      </c>
      <c r="B556" s="6" t="str">
        <f aca="false">HYPERLINK("https://mncourtfraud.com/file/MCRO_27-CR-19-22615_Order-Other_2023-12-27_20240430092145.pdf","MCRO_27-CR-19-22615_Order-Other_2023-12-27_20240430092145.pdf")</f>
        <v>MCRO_27-CR-19-22615_Order-Other_2023-12-27_20240430092145.pdf</v>
      </c>
      <c r="C556" s="1" t="n">
        <v>5</v>
      </c>
      <c r="D556" s="1" t="n">
        <v>4</v>
      </c>
      <c r="E556" s="1" t="n">
        <v>4</v>
      </c>
      <c r="F556" s="3" t="s">
        <v>20</v>
      </c>
      <c r="G556" s="3" t="s">
        <v>2343</v>
      </c>
      <c r="H556" s="1" t="s">
        <v>22</v>
      </c>
      <c r="I556" s="1" t="n">
        <v>20240430092145</v>
      </c>
      <c r="J556" s="3" t="s">
        <v>2344</v>
      </c>
      <c r="K556" s="3" t="s">
        <v>2345</v>
      </c>
      <c r="L556" s="3" t="s">
        <v>2346</v>
      </c>
      <c r="M556" s="3" t="n">
        <v>268952</v>
      </c>
      <c r="N556" s="3" t="s">
        <v>2347</v>
      </c>
      <c r="O556" s="1" t="n">
        <v>252566</v>
      </c>
      <c r="P556" s="1" t="n">
        <v>93.91</v>
      </c>
      <c r="Q556" s="1" t="s">
        <v>20</v>
      </c>
      <c r="R556" s="1" t="s">
        <v>27</v>
      </c>
      <c r="S556" s="1" t="s">
        <v>28</v>
      </c>
      <c r="T556" s="1" t="s">
        <v>29</v>
      </c>
    </row>
    <row r="557" customFormat="false" ht="18.7" hidden="false" customHeight="true" outlineLevel="0" collapsed="false">
      <c r="A557" s="1" t="n">
        <v>556</v>
      </c>
      <c r="B557" s="6" t="str">
        <f aca="false">HYPERLINK("https://mncourtfraud.com/file/MCRO_27-CR-19-22615_Order-Other_2024-01-16_20240430092136.pdf","MCRO_27-CR-19-22615_Order-Other_2024-01-16_20240430092136.pdf")</f>
        <v>MCRO_27-CR-19-22615_Order-Other_2024-01-16_20240430092136.pdf</v>
      </c>
      <c r="C557" s="1" t="n">
        <v>5</v>
      </c>
      <c r="D557" s="1" t="n">
        <v>4</v>
      </c>
      <c r="E557" s="1" t="n">
        <v>4</v>
      </c>
      <c r="F557" s="3" t="s">
        <v>20</v>
      </c>
      <c r="G557" s="3" t="s">
        <v>2348</v>
      </c>
      <c r="H557" s="1" t="s">
        <v>22</v>
      </c>
      <c r="I557" s="1" t="n">
        <v>20240430092136</v>
      </c>
      <c r="J557" s="3" t="s">
        <v>2349</v>
      </c>
      <c r="K557" s="3" t="s">
        <v>2350</v>
      </c>
      <c r="L557" s="3" t="s">
        <v>2351</v>
      </c>
      <c r="M557" s="3" t="n">
        <v>268785</v>
      </c>
      <c r="N557" s="3" t="s">
        <v>114</v>
      </c>
      <c r="O557" s="1" t="n">
        <v>252399</v>
      </c>
      <c r="P557" s="1" t="n">
        <v>93.9</v>
      </c>
      <c r="Q557" s="1" t="s">
        <v>20</v>
      </c>
      <c r="R557" s="1" t="s">
        <v>27</v>
      </c>
      <c r="S557" s="1" t="s">
        <v>28</v>
      </c>
      <c r="T557" s="1" t="s">
        <v>29</v>
      </c>
    </row>
    <row r="558" customFormat="false" ht="18.7" hidden="false" customHeight="true" outlineLevel="0" collapsed="false">
      <c r="A558" s="1" t="n">
        <v>557</v>
      </c>
      <c r="B558" s="6" t="str">
        <f aca="false">HYPERLINK("https://mncourtfraud.com/file/MCRO_27-CR-19-22615_Other Document_2023-11-08_20240430092217.pdf","MCRO_27-CR-19-22615_Other Document_2023-11-08_20240430092217.pdf")</f>
        <v>MCRO_27-CR-19-22615_Other Document_2023-11-08_20240430092217.pdf</v>
      </c>
      <c r="C558" s="1" t="n">
        <v>3</v>
      </c>
      <c r="D558" s="1" t="n">
        <v>1</v>
      </c>
      <c r="E558" s="1" t="n">
        <v>1</v>
      </c>
      <c r="F558" s="3" t="s">
        <v>20</v>
      </c>
      <c r="G558" s="3" t="s">
        <v>2352</v>
      </c>
      <c r="H558" s="1" t="s">
        <v>22</v>
      </c>
      <c r="I558" s="1" t="n">
        <v>20240430092217</v>
      </c>
      <c r="J558" s="3" t="s">
        <v>2353</v>
      </c>
      <c r="K558" s="3" t="s">
        <v>2354</v>
      </c>
      <c r="L558" s="3" t="s">
        <v>2355</v>
      </c>
      <c r="M558" s="3" t="n">
        <v>12094390</v>
      </c>
      <c r="N558" s="3" t="s">
        <v>94</v>
      </c>
      <c r="O558" s="1" t="n">
        <v>12078004</v>
      </c>
      <c r="P558" s="1" t="n">
        <v>99.86</v>
      </c>
      <c r="Q558" s="1" t="s">
        <v>20</v>
      </c>
      <c r="R558" s="1" t="s">
        <v>27</v>
      </c>
      <c r="S558" s="1" t="s">
        <v>28</v>
      </c>
      <c r="T558" s="1" t="s">
        <v>29</v>
      </c>
    </row>
    <row r="559" customFormat="false" ht="18.7" hidden="false" customHeight="true" outlineLevel="0" collapsed="false">
      <c r="A559" s="1" t="n">
        <v>558</v>
      </c>
      <c r="B559" s="6" t="str">
        <f aca="false">HYPERLINK("https://mncourtfraud.com/file/MCRO_27-CR-19-22615_Pandemic Notice of Cancelled or Rescheduled Hearing_2020-05-12_20240430092217.pdf","MCRO_27-CR-19-22615_Pandemic Notice of Cancelled or Rescheduled Hearing_2020-05-12_20240430092217.pdf")</f>
        <v>MCRO_27-CR-19-22615_Pandemic Notice of Cancelled or Rescheduled Hearing_2020-05-12_20240430092217.pdf</v>
      </c>
      <c r="C559" s="1" t="n">
        <v>4</v>
      </c>
      <c r="D559" s="1" t="n">
        <v>1</v>
      </c>
      <c r="E559" s="1" t="n">
        <v>1</v>
      </c>
      <c r="F559" s="3" t="s">
        <v>20</v>
      </c>
      <c r="G559" s="3" t="s">
        <v>2356</v>
      </c>
      <c r="H559" s="1" t="s">
        <v>22</v>
      </c>
      <c r="I559" s="1" t="n">
        <v>20240430092217</v>
      </c>
      <c r="J559" s="3" t="s">
        <v>2245</v>
      </c>
      <c r="K559" s="3" t="s">
        <v>2246</v>
      </c>
      <c r="L559" s="3" t="s">
        <v>2357</v>
      </c>
      <c r="M559" s="3" t="n">
        <v>831682</v>
      </c>
      <c r="N559" s="3" t="s">
        <v>2358</v>
      </c>
      <c r="O559" s="1" t="n">
        <v>815296</v>
      </c>
      <c r="P559" s="1" t="n">
        <v>98.03</v>
      </c>
      <c r="Q559" s="1" t="s">
        <v>20</v>
      </c>
      <c r="R559" s="1" t="s">
        <v>27</v>
      </c>
      <c r="S559" s="1" t="s">
        <v>28</v>
      </c>
      <c r="T559" s="1" t="s">
        <v>29</v>
      </c>
    </row>
    <row r="560" customFormat="false" ht="18.7" hidden="false" customHeight="true" outlineLevel="0" collapsed="false">
      <c r="A560" s="1" t="n">
        <v>559</v>
      </c>
      <c r="B560" s="6" t="str">
        <f aca="false">HYPERLINK("https://mncourtfraud.com/file/MCRO_27-CR-19-22615_Pandemic Notice of Cancelled or Rescheduled Hearing_2020-08-21_20240430092216.pdf","MCRO_27-CR-19-22615_Pandemic Notice of Cancelled or Rescheduled Hearing_2020-08-21_20240430092216.pdf")</f>
        <v>MCRO_27-CR-19-22615_Pandemic Notice of Cancelled or Rescheduled Hearing_2020-08-21_20240430092216.pdf</v>
      </c>
      <c r="C560" s="1" t="n">
        <v>4</v>
      </c>
      <c r="D560" s="1" t="n">
        <v>1</v>
      </c>
      <c r="E560" s="1" t="n">
        <v>1</v>
      </c>
      <c r="F560" s="3" t="s">
        <v>20</v>
      </c>
      <c r="G560" s="3" t="s">
        <v>2359</v>
      </c>
      <c r="H560" s="1" t="s">
        <v>22</v>
      </c>
      <c r="I560" s="1" t="n">
        <v>20240430092216</v>
      </c>
      <c r="J560" s="3" t="s">
        <v>2360</v>
      </c>
      <c r="K560" s="3" t="s">
        <v>2361</v>
      </c>
      <c r="L560" s="3" t="s">
        <v>2362</v>
      </c>
      <c r="M560" s="3" t="n">
        <v>828057</v>
      </c>
      <c r="N560" s="3" t="s">
        <v>2363</v>
      </c>
      <c r="O560" s="1" t="n">
        <v>811671</v>
      </c>
      <c r="P560" s="1" t="n">
        <v>98.02</v>
      </c>
      <c r="Q560" s="1" t="s">
        <v>20</v>
      </c>
      <c r="R560" s="1" t="s">
        <v>27</v>
      </c>
      <c r="S560" s="1" t="s">
        <v>28</v>
      </c>
      <c r="T560" s="1" t="s">
        <v>29</v>
      </c>
    </row>
    <row r="561" customFormat="false" ht="18.7" hidden="false" customHeight="true" outlineLevel="0" collapsed="false">
      <c r="A561" s="1" t="n">
        <v>560</v>
      </c>
      <c r="B561" s="6" t="str">
        <f aca="false">HYPERLINK("https://mncourtfraud.com/file/MCRO_27-CR-19-22615_Summons_2019-09-13_20240430092223.pdf","MCRO_27-CR-19-22615_Summons_2019-09-13_20240430092223.pdf")</f>
        <v>MCRO_27-CR-19-22615_Summons_2019-09-13_20240430092223.pdf</v>
      </c>
      <c r="C561" s="1" t="n">
        <v>3</v>
      </c>
      <c r="D561" s="1" t="n">
        <v>1</v>
      </c>
      <c r="E561" s="1" t="n">
        <v>1</v>
      </c>
      <c r="F561" s="3" t="s">
        <v>20</v>
      </c>
      <c r="G561" s="3" t="s">
        <v>2364</v>
      </c>
      <c r="H561" s="1" t="s">
        <v>22</v>
      </c>
      <c r="I561" s="1" t="n">
        <v>20240430092223</v>
      </c>
      <c r="J561" s="3" t="s">
        <v>2365</v>
      </c>
      <c r="K561" s="3" t="s">
        <v>2366</v>
      </c>
      <c r="L561" s="3" t="s">
        <v>2367</v>
      </c>
      <c r="M561" s="3" t="n">
        <v>272993</v>
      </c>
      <c r="N561" s="3" t="s">
        <v>2368</v>
      </c>
      <c r="O561" s="1" t="n">
        <v>256607</v>
      </c>
      <c r="P561" s="1" t="n">
        <v>94</v>
      </c>
      <c r="Q561" s="1" t="s">
        <v>20</v>
      </c>
      <c r="R561" s="1" t="s">
        <v>27</v>
      </c>
      <c r="S561" s="1" t="s">
        <v>28</v>
      </c>
      <c r="T561" s="1" t="s">
        <v>29</v>
      </c>
    </row>
    <row r="562" customFormat="false" ht="18.7" hidden="false" customHeight="true" outlineLevel="0" collapsed="false">
      <c r="A562" s="1" t="n">
        <v>561</v>
      </c>
      <c r="B562" s="6" t="str">
        <f aca="false">HYPERLINK("https://mncourtfraud.com/file/MCRO_27-CR-19-22615_Transcript_2023-11-07_20240430092209.pdf","MCRO_27-CR-19-22615_Transcript_2023-11-07_20240430092209.pdf")</f>
        <v>MCRO_27-CR-19-22615_Transcript_2023-11-07_20240430092209.pdf</v>
      </c>
      <c r="C562" s="1" t="n">
        <v>3</v>
      </c>
      <c r="D562" s="1" t="n">
        <v>1</v>
      </c>
      <c r="E562" s="1" t="n">
        <v>1</v>
      </c>
      <c r="F562" s="3" t="s">
        <v>20</v>
      </c>
      <c r="G562" s="3" t="s">
        <v>2369</v>
      </c>
      <c r="H562" s="1" t="s">
        <v>22</v>
      </c>
      <c r="I562" s="1" t="n">
        <v>20240430092209</v>
      </c>
      <c r="J562" s="3" t="s">
        <v>2370</v>
      </c>
      <c r="K562" s="3" t="s">
        <v>2371</v>
      </c>
      <c r="L562" s="3" t="s">
        <v>2372</v>
      </c>
      <c r="M562" s="3" t="n">
        <v>383039</v>
      </c>
      <c r="N562" s="3" t="s">
        <v>2373</v>
      </c>
      <c r="O562" s="1" t="n">
        <v>366653</v>
      </c>
      <c r="P562" s="1" t="n">
        <v>95.72</v>
      </c>
      <c r="Q562" s="1" t="s">
        <v>20</v>
      </c>
      <c r="R562" s="1" t="s">
        <v>27</v>
      </c>
      <c r="S562" s="1" t="s">
        <v>28</v>
      </c>
      <c r="T562" s="1" t="s">
        <v>29</v>
      </c>
    </row>
    <row r="563" customFormat="false" ht="18.7" hidden="false" customHeight="true" outlineLevel="0" collapsed="false">
      <c r="A563" s="1" t="n">
        <v>562</v>
      </c>
      <c r="B563" s="6" t="str">
        <f aca="false">HYPERLINK("https://mncourtfraud.com/file/MCRO_27-CR-19-22615_Warrant Issued_2019-10-31_20240430092222.pdf","MCRO_27-CR-19-22615_Warrant Issued_2019-10-31_20240430092222.pdf")</f>
        <v>MCRO_27-CR-19-22615_Warrant Issued_2019-10-31_20240430092222.pdf</v>
      </c>
      <c r="C563" s="1" t="n">
        <v>3</v>
      </c>
      <c r="D563" s="1" t="n">
        <v>1</v>
      </c>
      <c r="E563" s="1" t="n">
        <v>1</v>
      </c>
      <c r="F563" s="3" t="s">
        <v>20</v>
      </c>
      <c r="G563" s="3" t="s">
        <v>2374</v>
      </c>
      <c r="H563" s="1" t="s">
        <v>22</v>
      </c>
      <c r="I563" s="1" t="n">
        <v>20240430092222</v>
      </c>
      <c r="J563" s="3" t="s">
        <v>2375</v>
      </c>
      <c r="K563" s="3" t="s">
        <v>2376</v>
      </c>
      <c r="L563" s="3" t="s">
        <v>2377</v>
      </c>
      <c r="M563" s="3" t="n">
        <v>166997</v>
      </c>
      <c r="N563" s="3" t="s">
        <v>675</v>
      </c>
      <c r="O563" s="1" t="n">
        <v>150611</v>
      </c>
      <c r="P563" s="1" t="n">
        <v>90.19</v>
      </c>
      <c r="Q563" s="1" t="s">
        <v>20</v>
      </c>
      <c r="R563" s="1" t="s">
        <v>27</v>
      </c>
      <c r="S563" s="1" t="s">
        <v>28</v>
      </c>
      <c r="T563" s="1" t="s">
        <v>29</v>
      </c>
    </row>
    <row r="564" customFormat="false" ht="18.7" hidden="false" customHeight="true" outlineLevel="0" collapsed="false">
      <c r="A564" s="1" t="n">
        <v>563</v>
      </c>
      <c r="B564" s="6" t="str">
        <f aca="false">HYPERLINK("https://mncourtfraud.com/file/MCRO_27-CR-19-25578_E-filed Comp-Summons_2019-10-15_20240430092308.pdf","MCRO_27-CR-19-25578_E-filed Comp-Summons_2019-10-15_20240430092308.pdf")</f>
        <v>MCRO_27-CR-19-25578_E-filed Comp-Summons_2019-10-15_20240430092308.pdf</v>
      </c>
      <c r="C564" s="1" t="n">
        <v>4</v>
      </c>
      <c r="D564" s="1" t="n">
        <v>2</v>
      </c>
      <c r="E564" s="1" t="n">
        <v>2</v>
      </c>
      <c r="F564" s="3" t="s">
        <v>20</v>
      </c>
      <c r="G564" s="3" t="s">
        <v>2378</v>
      </c>
      <c r="H564" s="1" t="s">
        <v>22</v>
      </c>
      <c r="I564" s="1" t="n">
        <v>20240430092308</v>
      </c>
      <c r="J564" s="3" t="s">
        <v>2379</v>
      </c>
      <c r="K564" s="3" t="s">
        <v>2380</v>
      </c>
      <c r="L564" s="3" t="s">
        <v>2381</v>
      </c>
      <c r="M564" s="3" t="n">
        <v>478126</v>
      </c>
      <c r="N564" s="3" t="s">
        <v>2382</v>
      </c>
      <c r="O564" s="1" t="n">
        <v>461740</v>
      </c>
      <c r="P564" s="1" t="n">
        <v>96.57</v>
      </c>
      <c r="Q564" s="1" t="s">
        <v>20</v>
      </c>
      <c r="R564" s="1" t="s">
        <v>27</v>
      </c>
      <c r="S564" s="1" t="s">
        <v>28</v>
      </c>
      <c r="T564" s="1" t="s">
        <v>29</v>
      </c>
    </row>
    <row r="565" customFormat="false" ht="18.7" hidden="false" customHeight="true" outlineLevel="0" collapsed="false">
      <c r="A565" s="1" t="n">
        <v>564</v>
      </c>
      <c r="B565" s="6" t="str">
        <f aca="false">HYPERLINK("https://mncourtfraud.com/file/MCRO_27-CR-19-25578_Notice of Evidence and Identification Procedures_2022-08-15_20240430092302.pdf","MCRO_27-CR-19-25578_Notice of Evidence and Identification Procedures_2022-08-15_20240430092302.pdf")</f>
        <v>MCRO_27-CR-19-25578_Notice of Evidence and Identification Procedures_2022-08-15_20240430092302.pdf</v>
      </c>
      <c r="C565" s="1" t="n">
        <v>3</v>
      </c>
      <c r="D565" s="1" t="n">
        <v>1</v>
      </c>
      <c r="E565" s="1" t="n">
        <v>1</v>
      </c>
      <c r="F565" s="3" t="s">
        <v>20</v>
      </c>
      <c r="G565" s="3" t="s">
        <v>2383</v>
      </c>
      <c r="H565" s="1" t="s">
        <v>22</v>
      </c>
      <c r="I565" s="1" t="n">
        <v>20240430092302</v>
      </c>
      <c r="J565" s="3" t="s">
        <v>2384</v>
      </c>
      <c r="K565" s="3" t="s">
        <v>2385</v>
      </c>
      <c r="L565" s="3" t="s">
        <v>2386</v>
      </c>
      <c r="M565" s="3" t="n">
        <v>81487</v>
      </c>
      <c r="N565" s="3" t="s">
        <v>2387</v>
      </c>
      <c r="O565" s="1" t="n">
        <v>65101</v>
      </c>
      <c r="P565" s="1" t="n">
        <v>79.89</v>
      </c>
      <c r="Q565" s="1" t="s">
        <v>20</v>
      </c>
      <c r="R565" s="1" t="s">
        <v>27</v>
      </c>
      <c r="S565" s="1" t="s">
        <v>28</v>
      </c>
      <c r="T565" s="1" t="s">
        <v>29</v>
      </c>
    </row>
    <row r="566" customFormat="false" ht="18.7" hidden="false" customHeight="true" outlineLevel="0" collapsed="false">
      <c r="A566" s="1" t="n">
        <v>565</v>
      </c>
      <c r="B566" s="6" t="str">
        <f aca="false">HYPERLINK("https://mncourtfraud.com/file/MCRO_27-CR-19-25578_Notice of Hearing_2022-08-15_20240430092303.pdf","MCRO_27-CR-19-25578_Notice of Hearing_2022-08-15_20240430092303.pdf")</f>
        <v>MCRO_27-CR-19-25578_Notice of Hearing_2022-08-15_20240430092303.pdf</v>
      </c>
      <c r="C566" s="1" t="n">
        <v>4</v>
      </c>
      <c r="D566" s="1" t="n">
        <v>1</v>
      </c>
      <c r="E566" s="1" t="n">
        <v>1</v>
      </c>
      <c r="F566" s="3" t="s">
        <v>20</v>
      </c>
      <c r="G566" s="3" t="s">
        <v>2388</v>
      </c>
      <c r="H566" s="1" t="s">
        <v>22</v>
      </c>
      <c r="I566" s="1" t="n">
        <v>20240430092303</v>
      </c>
      <c r="J566" s="3" t="s">
        <v>2389</v>
      </c>
      <c r="K566" s="3" t="s">
        <v>2390</v>
      </c>
      <c r="L566" s="3" t="s">
        <v>2391</v>
      </c>
      <c r="M566" s="3" t="n">
        <v>110543</v>
      </c>
      <c r="N566" s="3" t="s">
        <v>456</v>
      </c>
      <c r="O566" s="1" t="n">
        <v>94157</v>
      </c>
      <c r="P566" s="1" t="n">
        <v>85.18</v>
      </c>
      <c r="Q566" s="1" t="s">
        <v>20</v>
      </c>
      <c r="R566" s="1" t="s">
        <v>27</v>
      </c>
      <c r="S566" s="1" t="s">
        <v>28</v>
      </c>
      <c r="T566" s="1" t="s">
        <v>29</v>
      </c>
    </row>
    <row r="567" customFormat="false" ht="18.7" hidden="false" customHeight="true" outlineLevel="0" collapsed="false">
      <c r="A567" s="1" t="n">
        <v>566</v>
      </c>
      <c r="B567" s="6" t="str">
        <f aca="false">HYPERLINK("https://mncourtfraud.com/file/MCRO_27-CR-19-25578_Notice of Hearing_2022-10-03_20240430092300.pdf","MCRO_27-CR-19-25578_Notice of Hearing_2022-10-03_20240430092300.pdf")</f>
        <v>MCRO_27-CR-19-25578_Notice of Hearing_2022-10-03_20240430092300.pdf</v>
      </c>
      <c r="C567" s="1" t="n">
        <v>4</v>
      </c>
      <c r="D567" s="1" t="n">
        <v>1</v>
      </c>
      <c r="E567" s="1" t="n">
        <v>1</v>
      </c>
      <c r="F567" s="3" t="s">
        <v>20</v>
      </c>
      <c r="G567" s="3" t="s">
        <v>2392</v>
      </c>
      <c r="H567" s="1" t="s">
        <v>22</v>
      </c>
      <c r="I567" s="1" t="n">
        <v>20240430092300</v>
      </c>
      <c r="J567" s="3" t="s">
        <v>2393</v>
      </c>
      <c r="K567" s="3" t="s">
        <v>2394</v>
      </c>
      <c r="L567" s="3" t="s">
        <v>2395</v>
      </c>
      <c r="M567" s="3" t="n">
        <v>101038</v>
      </c>
      <c r="N567" s="3" t="s">
        <v>435</v>
      </c>
      <c r="O567" s="1" t="n">
        <v>84652</v>
      </c>
      <c r="P567" s="1" t="n">
        <v>83.78</v>
      </c>
      <c r="Q567" s="1" t="s">
        <v>20</v>
      </c>
      <c r="R567" s="1" t="s">
        <v>27</v>
      </c>
      <c r="S567" s="1" t="s">
        <v>28</v>
      </c>
      <c r="T567" s="1" t="s">
        <v>29</v>
      </c>
    </row>
    <row r="568" customFormat="false" ht="18.7" hidden="false" customHeight="true" outlineLevel="0" collapsed="false">
      <c r="A568" s="1" t="n">
        <v>567</v>
      </c>
      <c r="B568" s="6" t="str">
        <f aca="false">HYPERLINK("https://mncourtfraud.com/file/MCRO_27-CR-19-25578_Notice of Hearing_2022-11-07_20240430092257.pdf","MCRO_27-CR-19-25578_Notice of Hearing_2022-11-07_20240430092257.pdf")</f>
        <v>MCRO_27-CR-19-25578_Notice of Hearing_2022-11-07_20240430092257.pdf</v>
      </c>
      <c r="C568" s="1" t="n">
        <v>4</v>
      </c>
      <c r="D568" s="1" t="n">
        <v>1</v>
      </c>
      <c r="E568" s="1" t="n">
        <v>1</v>
      </c>
      <c r="F568" s="3" t="s">
        <v>20</v>
      </c>
      <c r="G568" s="3" t="s">
        <v>2396</v>
      </c>
      <c r="H568" s="1" t="s">
        <v>22</v>
      </c>
      <c r="I568" s="1" t="n">
        <v>20240430092257</v>
      </c>
      <c r="J568" s="3" t="s">
        <v>2397</v>
      </c>
      <c r="K568" s="3" t="s">
        <v>2398</v>
      </c>
      <c r="L568" s="3" t="s">
        <v>2399</v>
      </c>
      <c r="M568" s="3" t="n">
        <v>329500</v>
      </c>
      <c r="N568" s="3" t="s">
        <v>158</v>
      </c>
      <c r="O568" s="1" t="n">
        <v>313114</v>
      </c>
      <c r="P568" s="1" t="n">
        <v>95.03</v>
      </c>
      <c r="Q568" s="1" t="s">
        <v>20</v>
      </c>
      <c r="R568" s="1" t="s">
        <v>27</v>
      </c>
      <c r="S568" s="1" t="s">
        <v>28</v>
      </c>
      <c r="T568" s="1" t="s">
        <v>29</v>
      </c>
    </row>
    <row r="569" customFormat="false" ht="18.7" hidden="false" customHeight="true" outlineLevel="0" collapsed="false">
      <c r="A569" s="1" t="n">
        <v>568</v>
      </c>
      <c r="B569" s="6" t="str">
        <f aca="false">HYPERLINK("https://mncourtfraud.com/file/MCRO_27-CR-19-25578_Notice of Hearing_2022-11-07_20240430092258.pdf","MCRO_27-CR-19-25578_Notice of Hearing_2022-11-07_20240430092258.pdf")</f>
        <v>MCRO_27-CR-19-25578_Notice of Hearing_2022-11-07_20240430092258.pdf</v>
      </c>
      <c r="C569" s="1" t="n">
        <v>4</v>
      </c>
      <c r="D569" s="1" t="n">
        <v>1</v>
      </c>
      <c r="E569" s="1" t="n">
        <v>1</v>
      </c>
      <c r="F569" s="3" t="s">
        <v>20</v>
      </c>
      <c r="G569" s="3" t="s">
        <v>2400</v>
      </c>
      <c r="H569" s="1" t="s">
        <v>22</v>
      </c>
      <c r="I569" s="1" t="n">
        <v>20240430092258</v>
      </c>
      <c r="J569" s="3" t="s">
        <v>2401</v>
      </c>
      <c r="K569" s="3" t="s">
        <v>2402</v>
      </c>
      <c r="L569" s="3" t="s">
        <v>2403</v>
      </c>
      <c r="M569" s="3" t="n">
        <v>338132</v>
      </c>
      <c r="N569" s="3" t="s">
        <v>158</v>
      </c>
      <c r="O569" s="1" t="n">
        <v>321746</v>
      </c>
      <c r="P569" s="1" t="n">
        <v>95.15</v>
      </c>
      <c r="Q569" s="1" t="s">
        <v>20</v>
      </c>
      <c r="R569" s="1" t="s">
        <v>27</v>
      </c>
      <c r="S569" s="1" t="s">
        <v>28</v>
      </c>
      <c r="T569" s="1" t="s">
        <v>29</v>
      </c>
    </row>
    <row r="570" customFormat="false" ht="18.7" hidden="false" customHeight="true" outlineLevel="0" collapsed="false">
      <c r="A570" s="1" t="n">
        <v>569</v>
      </c>
      <c r="B570" s="6" t="str">
        <f aca="false">HYPERLINK("https://mncourtfraud.com/file/MCRO_27-CR-19-25578_Notice of Hearing_2023-01-10_20240430092255.pdf","MCRO_27-CR-19-25578_Notice of Hearing_2023-01-10_20240430092255.pdf")</f>
        <v>MCRO_27-CR-19-25578_Notice of Hearing_2023-01-10_20240430092255.pdf</v>
      </c>
      <c r="C570" s="1" t="n">
        <v>4</v>
      </c>
      <c r="D570" s="1" t="n">
        <v>1</v>
      </c>
      <c r="E570" s="1" t="n">
        <v>1</v>
      </c>
      <c r="F570" s="3" t="s">
        <v>20</v>
      </c>
      <c r="G570" s="3" t="s">
        <v>2404</v>
      </c>
      <c r="H570" s="1" t="s">
        <v>22</v>
      </c>
      <c r="I570" s="1" t="n">
        <v>20240430092255</v>
      </c>
      <c r="J570" s="3" t="s">
        <v>2405</v>
      </c>
      <c r="K570" s="3" t="s">
        <v>2406</v>
      </c>
      <c r="L570" s="3" t="s">
        <v>2407</v>
      </c>
      <c r="M570" s="3" t="n">
        <v>443032</v>
      </c>
      <c r="N570" s="3" t="s">
        <v>158</v>
      </c>
      <c r="O570" s="1" t="n">
        <v>426646</v>
      </c>
      <c r="P570" s="1" t="n">
        <v>96.3</v>
      </c>
      <c r="Q570" s="1" t="s">
        <v>20</v>
      </c>
      <c r="R570" s="1" t="s">
        <v>27</v>
      </c>
      <c r="S570" s="1" t="s">
        <v>28</v>
      </c>
      <c r="T570" s="1" t="s">
        <v>29</v>
      </c>
    </row>
    <row r="571" customFormat="false" ht="18.7" hidden="false" customHeight="true" outlineLevel="0" collapsed="false">
      <c r="A571" s="1" t="n">
        <v>570</v>
      </c>
      <c r="B571" s="6" t="str">
        <f aca="false">HYPERLINK("https://mncourtfraud.com/file/MCRO_27-CR-19-25578_Order-Evaluation for Competency to Proceed (Rule 20.01)_2022-11-07_20240430092259.pdf","MCRO_27-CR-19-25578_Order-Evaluation for Competency to Proceed (Rule 20.01)_2022-11-07_20240430092259.pdf")</f>
        <v>MCRO_27-CR-19-25578_Order-Evaluation for Competency to Proceed (Rule 20.01)_2022-11-07_20240430092259.pdf</v>
      </c>
      <c r="C571" s="1" t="n">
        <v>4</v>
      </c>
      <c r="D571" s="1" t="n">
        <v>1</v>
      </c>
      <c r="E571" s="1" t="n">
        <v>1</v>
      </c>
      <c r="F571" s="3" t="s">
        <v>20</v>
      </c>
      <c r="G571" s="3" t="s">
        <v>2408</v>
      </c>
      <c r="H571" s="1" t="s">
        <v>22</v>
      </c>
      <c r="I571" s="1" t="n">
        <v>20240430092259</v>
      </c>
      <c r="J571" s="3" t="s">
        <v>2409</v>
      </c>
      <c r="K571" s="3" t="s">
        <v>2410</v>
      </c>
      <c r="L571" s="3" t="s">
        <v>2411</v>
      </c>
      <c r="M571" s="3" t="n">
        <v>1022749</v>
      </c>
      <c r="N571" s="3" t="s">
        <v>1128</v>
      </c>
      <c r="O571" s="1" t="n">
        <v>1006363</v>
      </c>
      <c r="P571" s="1" t="n">
        <v>98.4</v>
      </c>
      <c r="Q571" s="1" t="s">
        <v>20</v>
      </c>
      <c r="R571" s="1" t="s">
        <v>27</v>
      </c>
      <c r="S571" s="1" t="s">
        <v>28</v>
      </c>
      <c r="T571" s="1" t="s">
        <v>29</v>
      </c>
    </row>
    <row r="572" customFormat="false" ht="18.7" hidden="false" customHeight="true" outlineLevel="0" collapsed="false">
      <c r="A572" s="1" t="n">
        <v>571</v>
      </c>
      <c r="B572" s="6" t="str">
        <f aca="false">HYPERLINK("https://mncourtfraud.com/file/MCRO_27-CR-19-25578_Order for Dismissal_2023-06-29_20240430092254.pdf","MCRO_27-CR-19-25578_Order for Dismissal_2023-06-29_20240430092254.pdf")</f>
        <v>MCRO_27-CR-19-25578_Order for Dismissal_2023-06-29_20240430092254.pdf</v>
      </c>
      <c r="C572" s="1" t="n">
        <v>7</v>
      </c>
      <c r="D572" s="1" t="n">
        <v>3</v>
      </c>
      <c r="E572" s="1" t="n">
        <v>3</v>
      </c>
      <c r="F572" s="3" t="s">
        <v>20</v>
      </c>
      <c r="G572" s="3" t="s">
        <v>2412</v>
      </c>
      <c r="H572" s="1" t="s">
        <v>22</v>
      </c>
      <c r="I572" s="1" t="n">
        <v>20240430092254</v>
      </c>
      <c r="J572" s="3" t="s">
        <v>2413</v>
      </c>
      <c r="K572" s="3" t="s">
        <v>2414</v>
      </c>
      <c r="L572" s="3" t="s">
        <v>2415</v>
      </c>
      <c r="M572" s="3" t="n">
        <v>243495</v>
      </c>
      <c r="N572" s="3" t="s">
        <v>2416</v>
      </c>
      <c r="O572" s="1" t="n">
        <v>227109</v>
      </c>
      <c r="P572" s="1" t="n">
        <v>93.27</v>
      </c>
      <c r="Q572" s="1" t="s">
        <v>20</v>
      </c>
      <c r="R572" s="1" t="s">
        <v>27</v>
      </c>
      <c r="S572" s="1" t="s">
        <v>28</v>
      </c>
      <c r="T572" s="1" t="s">
        <v>29</v>
      </c>
    </row>
    <row r="573" customFormat="false" ht="18.7" hidden="false" customHeight="true" outlineLevel="0" collapsed="false">
      <c r="A573" s="1" t="n">
        <v>572</v>
      </c>
      <c r="B573" s="6" t="str">
        <f aca="false">HYPERLINK("https://mncourtfraud.com/file/MCRO_27-CR-19-25578_Request for Disclosure_2022-08-15_20240430092301.pdf","MCRO_27-CR-19-25578_Request for Disclosure_2022-08-15_20240430092301.pdf")</f>
        <v>MCRO_27-CR-19-25578_Request for Disclosure_2022-08-15_20240430092301.pdf</v>
      </c>
      <c r="C573" s="1" t="n">
        <v>3</v>
      </c>
      <c r="D573" s="1" t="n">
        <v>1</v>
      </c>
      <c r="E573" s="1" t="n">
        <v>1</v>
      </c>
      <c r="F573" s="3" t="s">
        <v>20</v>
      </c>
      <c r="G573" s="3" t="s">
        <v>2417</v>
      </c>
      <c r="H573" s="1" t="s">
        <v>22</v>
      </c>
      <c r="I573" s="1" t="n">
        <v>20240430092301</v>
      </c>
      <c r="J573" s="3" t="s">
        <v>2418</v>
      </c>
      <c r="K573" s="3" t="s">
        <v>2419</v>
      </c>
      <c r="L573" s="3" t="s">
        <v>2420</v>
      </c>
      <c r="M573" s="3" t="n">
        <v>139571</v>
      </c>
      <c r="N573" s="3" t="s">
        <v>2421</v>
      </c>
      <c r="O573" s="1" t="n">
        <v>123185</v>
      </c>
      <c r="P573" s="1" t="n">
        <v>88.26</v>
      </c>
      <c r="Q573" s="1" t="s">
        <v>20</v>
      </c>
      <c r="R573" s="1" t="s">
        <v>27</v>
      </c>
      <c r="S573" s="1" t="s">
        <v>28</v>
      </c>
      <c r="T573" s="1" t="s">
        <v>29</v>
      </c>
    </row>
    <row r="574" customFormat="false" ht="18.7" hidden="false" customHeight="true" outlineLevel="0" collapsed="false">
      <c r="A574" s="1" t="n">
        <v>573</v>
      </c>
      <c r="B574" s="6" t="str">
        <f aca="false">HYPERLINK("https://mncourtfraud.com/file/MCRO_27-CR-19-25578_Returned Mail_2019-11-01_20240430092306.pdf","MCRO_27-CR-19-25578_Returned Mail_2019-11-01_20240430092306.pdf")</f>
        <v>MCRO_27-CR-19-25578_Returned Mail_2019-11-01_20240430092306.pdf</v>
      </c>
      <c r="C574" s="1" t="n">
        <v>4</v>
      </c>
      <c r="D574" s="1" t="n">
        <v>1</v>
      </c>
      <c r="E574" s="1" t="n">
        <v>1</v>
      </c>
      <c r="F574" s="3" t="s">
        <v>20</v>
      </c>
      <c r="G574" s="3" t="s">
        <v>2422</v>
      </c>
      <c r="H574" s="1" t="s">
        <v>22</v>
      </c>
      <c r="I574" s="1" t="n">
        <v>20240430092306</v>
      </c>
      <c r="J574" s="3" t="s">
        <v>2423</v>
      </c>
      <c r="K574" s="3" t="s">
        <v>2424</v>
      </c>
      <c r="L574" s="3" t="s">
        <v>2425</v>
      </c>
      <c r="M574" s="3" t="n">
        <v>166733</v>
      </c>
      <c r="N574" s="3" t="s">
        <v>892</v>
      </c>
      <c r="O574" s="1" t="n">
        <v>150347</v>
      </c>
      <c r="P574" s="1" t="n">
        <v>90.17</v>
      </c>
      <c r="Q574" s="1" t="s">
        <v>20</v>
      </c>
      <c r="R574" s="1" t="s">
        <v>27</v>
      </c>
      <c r="S574" s="1" t="s">
        <v>28</v>
      </c>
      <c r="T574" s="1" t="s">
        <v>29</v>
      </c>
    </row>
    <row r="575" customFormat="false" ht="18.7" hidden="false" customHeight="true" outlineLevel="0" collapsed="false">
      <c r="A575" s="1" t="n">
        <v>574</v>
      </c>
      <c r="B575" s="6" t="str">
        <f aca="false">HYPERLINK("https://mncourtfraud.com/file/MCRO_27-CR-19-25578_Returned Mail_2021-06-23_20240430092304.pdf","MCRO_27-CR-19-25578_Returned Mail_2021-06-23_20240430092304.pdf")</f>
        <v>MCRO_27-CR-19-25578_Returned Mail_2021-06-23_20240430092304.pdf</v>
      </c>
      <c r="C575" s="1" t="n">
        <v>4</v>
      </c>
      <c r="D575" s="1" t="n">
        <v>1</v>
      </c>
      <c r="E575" s="1" t="n">
        <v>1</v>
      </c>
      <c r="F575" s="3" t="s">
        <v>20</v>
      </c>
      <c r="G575" s="3" t="s">
        <v>2426</v>
      </c>
      <c r="H575" s="1" t="s">
        <v>22</v>
      </c>
      <c r="I575" s="1" t="n">
        <v>20240430092304</v>
      </c>
      <c r="J575" s="3" t="s">
        <v>2427</v>
      </c>
      <c r="K575" s="3" t="s">
        <v>2428</v>
      </c>
      <c r="L575" s="3" t="s">
        <v>2429</v>
      </c>
      <c r="M575" s="3" t="n">
        <v>291880</v>
      </c>
      <c r="N575" s="3" t="s">
        <v>456</v>
      </c>
      <c r="O575" s="1" t="n">
        <v>275494</v>
      </c>
      <c r="P575" s="1" t="n">
        <v>94.39</v>
      </c>
      <c r="Q575" s="1" t="s">
        <v>20</v>
      </c>
      <c r="R575" s="1" t="s">
        <v>27</v>
      </c>
      <c r="S575" s="1" t="s">
        <v>28</v>
      </c>
      <c r="T575" s="1" t="s">
        <v>29</v>
      </c>
    </row>
    <row r="576" customFormat="false" ht="18.7" hidden="false" customHeight="true" outlineLevel="0" collapsed="false">
      <c r="A576" s="1" t="n">
        <v>575</v>
      </c>
      <c r="B576" s="6" t="str">
        <f aca="false">HYPERLINK("https://mncourtfraud.com/file/MCRO_27-CR-19-25578_Summons_2019-10-15_20240430092307.pdf","MCRO_27-CR-19-25578_Summons_2019-10-15_20240430092307.pdf")</f>
        <v>MCRO_27-CR-19-25578_Summons_2019-10-15_20240430092307.pdf</v>
      </c>
      <c r="C576" s="1" t="n">
        <v>3</v>
      </c>
      <c r="D576" s="1" t="n">
        <v>1</v>
      </c>
      <c r="E576" s="1" t="n">
        <v>1</v>
      </c>
      <c r="F576" s="3" t="s">
        <v>20</v>
      </c>
      <c r="G576" s="3" t="s">
        <v>2430</v>
      </c>
      <c r="H576" s="1" t="s">
        <v>22</v>
      </c>
      <c r="I576" s="1" t="n">
        <v>20240430092307</v>
      </c>
      <c r="J576" s="3" t="s">
        <v>2431</v>
      </c>
      <c r="K576" s="3" t="s">
        <v>2432</v>
      </c>
      <c r="L576" s="3" t="s">
        <v>2433</v>
      </c>
      <c r="M576" s="3" t="n">
        <v>274170</v>
      </c>
      <c r="N576" s="3" t="s">
        <v>2368</v>
      </c>
      <c r="O576" s="1" t="n">
        <v>257784</v>
      </c>
      <c r="P576" s="1" t="n">
        <v>94.02</v>
      </c>
      <c r="Q576" s="1" t="s">
        <v>20</v>
      </c>
      <c r="R576" s="1" t="s">
        <v>27</v>
      </c>
      <c r="S576" s="1" t="s">
        <v>28</v>
      </c>
      <c r="T576" s="1" t="s">
        <v>29</v>
      </c>
    </row>
    <row r="577" customFormat="false" ht="18.7" hidden="false" customHeight="true" outlineLevel="0" collapsed="false">
      <c r="A577" s="1" t="n">
        <v>576</v>
      </c>
      <c r="B577" s="6" t="str">
        <f aca="false">HYPERLINK("https://mncourtfraud.com/file/MCRO_27-CR-19-25578_Warrant Issued_2020-01-15_20240430092305.pdf","MCRO_27-CR-19-25578_Warrant Issued_2020-01-15_20240430092305.pdf")</f>
        <v>MCRO_27-CR-19-25578_Warrant Issued_2020-01-15_20240430092305.pdf</v>
      </c>
      <c r="C577" s="1" t="n">
        <v>4</v>
      </c>
      <c r="D577" s="1" t="n">
        <v>1</v>
      </c>
      <c r="E577" s="1" t="n">
        <v>1</v>
      </c>
      <c r="F577" s="3" t="s">
        <v>20</v>
      </c>
      <c r="G577" s="3" t="s">
        <v>2434</v>
      </c>
      <c r="H577" s="1" t="s">
        <v>22</v>
      </c>
      <c r="I577" s="1" t="n">
        <v>20240430092305</v>
      </c>
      <c r="J577" s="3" t="s">
        <v>2435</v>
      </c>
      <c r="K577" s="3" t="s">
        <v>2436</v>
      </c>
      <c r="L577" s="3" t="s">
        <v>2437</v>
      </c>
      <c r="M577" s="3" t="n">
        <v>88485</v>
      </c>
      <c r="N577" s="3" t="s">
        <v>352</v>
      </c>
      <c r="O577" s="1" t="n">
        <v>72099</v>
      </c>
      <c r="P577" s="1" t="n">
        <v>81.48</v>
      </c>
      <c r="Q577" s="1" t="s">
        <v>20</v>
      </c>
      <c r="R577" s="1" t="s">
        <v>27</v>
      </c>
      <c r="S577" s="1" t="s">
        <v>28</v>
      </c>
      <c r="T577" s="1" t="s">
        <v>29</v>
      </c>
    </row>
    <row r="578" customFormat="false" ht="18.7" hidden="false" customHeight="true" outlineLevel="0" collapsed="false">
      <c r="A578" s="1" t="n">
        <v>577</v>
      </c>
      <c r="B578" s="6" t="str">
        <f aca="false">HYPERLINK("https://mncourtfraud.com/file/MCRO_27-CR-19-28883_Correspondence for Judicial Approval_2022-09-14_20240430092347.pdf","MCRO_27-CR-19-28883_Correspondence for Judicial Approval_2022-09-14_20240430092347.pdf")</f>
        <v>MCRO_27-CR-19-28883_Correspondence for Judicial Approval_2022-09-14_20240430092347.pdf</v>
      </c>
      <c r="C578" s="1" t="n">
        <v>3</v>
      </c>
      <c r="D578" s="1" t="n">
        <v>1</v>
      </c>
      <c r="E578" s="1" t="n">
        <v>1</v>
      </c>
      <c r="F578" s="3" t="s">
        <v>20</v>
      </c>
      <c r="G578" s="3" t="s">
        <v>2438</v>
      </c>
      <c r="H578" s="1" t="s">
        <v>22</v>
      </c>
      <c r="I578" s="1" t="n">
        <v>20240430092347</v>
      </c>
      <c r="J578" s="3" t="s">
        <v>2439</v>
      </c>
      <c r="K578" s="3" t="s">
        <v>2440</v>
      </c>
      <c r="L578" s="3" t="s">
        <v>2441</v>
      </c>
      <c r="M578" s="3" t="n">
        <v>242912</v>
      </c>
      <c r="N578" s="3" t="s">
        <v>1673</v>
      </c>
      <c r="O578" s="1" t="n">
        <v>226526</v>
      </c>
      <c r="P578" s="1" t="n">
        <v>93.25</v>
      </c>
      <c r="Q578" s="1" t="s">
        <v>20</v>
      </c>
      <c r="R578" s="1" t="s">
        <v>27</v>
      </c>
      <c r="S578" s="1" t="s">
        <v>28</v>
      </c>
      <c r="T578" s="1" t="s">
        <v>29</v>
      </c>
    </row>
    <row r="579" customFormat="false" ht="18.7" hidden="false" customHeight="true" outlineLevel="0" collapsed="false">
      <c r="A579" s="1" t="n">
        <v>578</v>
      </c>
      <c r="B579" s="6" t="str">
        <f aca="false">HYPERLINK("https://mncourtfraud.com/file/MCRO_27-CR-19-28883_Demand or Request for Discovery_2019-11-27_20240430092415.pdf","MCRO_27-CR-19-28883_Demand or Request for Discovery_2019-11-27_20240430092415.pdf")</f>
        <v>MCRO_27-CR-19-28883_Demand or Request for Discovery_2019-11-27_20240430092415.pdf</v>
      </c>
      <c r="C579" s="1" t="n">
        <v>3</v>
      </c>
      <c r="D579" s="1" t="n">
        <v>1</v>
      </c>
      <c r="E579" s="1" t="n">
        <v>1</v>
      </c>
      <c r="F579" s="3" t="s">
        <v>20</v>
      </c>
      <c r="G579" s="3" t="s">
        <v>2442</v>
      </c>
      <c r="H579" s="1" t="s">
        <v>22</v>
      </c>
      <c r="I579" s="1" t="n">
        <v>20240430092415</v>
      </c>
      <c r="J579" s="3" t="s">
        <v>2443</v>
      </c>
      <c r="K579" s="3" t="s">
        <v>2444</v>
      </c>
      <c r="L579" s="3" t="s">
        <v>2445</v>
      </c>
      <c r="M579" s="3" t="n">
        <v>805926</v>
      </c>
      <c r="N579" s="3" t="s">
        <v>2446</v>
      </c>
      <c r="O579" s="1" t="n">
        <v>789540</v>
      </c>
      <c r="P579" s="1" t="n">
        <v>97.97</v>
      </c>
      <c r="Q579" s="1" t="s">
        <v>20</v>
      </c>
      <c r="R579" s="1" t="s">
        <v>27</v>
      </c>
      <c r="S579" s="1" t="s">
        <v>28</v>
      </c>
      <c r="T579" s="1" t="s">
        <v>29</v>
      </c>
    </row>
    <row r="580" customFormat="false" ht="18.7" hidden="false" customHeight="true" outlineLevel="0" collapsed="false">
      <c r="A580" s="1" t="n">
        <v>579</v>
      </c>
      <c r="B580" s="6" t="str">
        <f aca="false">HYPERLINK("https://mncourtfraud.com/file/MCRO_27-CR-19-28883_Dismissal by Prosecuting Attorney_2023-02-22_20240430092343.pdf","MCRO_27-CR-19-28883_Dismissal by Prosecuting Attorney_2023-02-22_20240430092343.pdf")</f>
        <v>MCRO_27-CR-19-28883_Dismissal by Prosecuting Attorney_2023-02-22_20240430092343.pdf</v>
      </c>
      <c r="C580" s="1" t="n">
        <v>3</v>
      </c>
      <c r="D580" s="1" t="n">
        <v>1</v>
      </c>
      <c r="E580" s="1" t="n">
        <v>1</v>
      </c>
      <c r="F580" s="3" t="s">
        <v>20</v>
      </c>
      <c r="G580" s="3" t="s">
        <v>2447</v>
      </c>
      <c r="H580" s="1" t="s">
        <v>22</v>
      </c>
      <c r="I580" s="1" t="n">
        <v>20240430092343</v>
      </c>
      <c r="J580" s="3" t="s">
        <v>2448</v>
      </c>
      <c r="K580" s="3" t="s">
        <v>2449</v>
      </c>
      <c r="L580" s="3" t="s">
        <v>2450</v>
      </c>
      <c r="M580" s="3" t="n">
        <v>139393</v>
      </c>
      <c r="N580" s="3" t="s">
        <v>629</v>
      </c>
      <c r="O580" s="1" t="n">
        <v>123007</v>
      </c>
      <c r="P580" s="1" t="n">
        <v>88.24</v>
      </c>
      <c r="Q580" s="1" t="s">
        <v>20</v>
      </c>
      <c r="R580" s="1" t="s">
        <v>27</v>
      </c>
      <c r="S580" s="1" t="s">
        <v>28</v>
      </c>
      <c r="T580" s="1" t="s">
        <v>29</v>
      </c>
    </row>
    <row r="581" customFormat="false" ht="18.7" hidden="false" customHeight="true" outlineLevel="0" collapsed="false">
      <c r="A581" s="1" t="n">
        <v>580</v>
      </c>
      <c r="B581" s="6" t="str">
        <f aca="false">HYPERLINK("https://mncourtfraud.com/file/MCRO_27-CR-19-28883_E-filed Comp-Warrant_2019-11-22_20240430092416.pdf","MCRO_27-CR-19-28883_E-filed Comp-Warrant_2019-11-22_20240430092416.pdf")</f>
        <v>MCRO_27-CR-19-28883_E-filed Comp-Warrant_2019-11-22_20240430092416.pdf</v>
      </c>
      <c r="C581" s="1" t="n">
        <v>4</v>
      </c>
      <c r="D581" s="1" t="n">
        <v>2</v>
      </c>
      <c r="E581" s="1" t="n">
        <v>2</v>
      </c>
      <c r="F581" s="3" t="s">
        <v>20</v>
      </c>
      <c r="G581" s="3" t="s">
        <v>2451</v>
      </c>
      <c r="H581" s="1" t="s">
        <v>22</v>
      </c>
      <c r="I581" s="1" t="n">
        <v>20240430092416</v>
      </c>
      <c r="J581" s="3" t="s">
        <v>2452</v>
      </c>
      <c r="K581" s="3" t="s">
        <v>2453</v>
      </c>
      <c r="L581" s="3" t="s">
        <v>2454</v>
      </c>
      <c r="M581" s="3" t="n">
        <v>476235</v>
      </c>
      <c r="N581" s="3" t="s">
        <v>1480</v>
      </c>
      <c r="O581" s="1" t="n">
        <v>459849</v>
      </c>
      <c r="P581" s="1" t="n">
        <v>96.56</v>
      </c>
      <c r="Q581" s="1" t="s">
        <v>20</v>
      </c>
      <c r="R581" s="1" t="s">
        <v>27</v>
      </c>
      <c r="S581" s="1" t="s">
        <v>28</v>
      </c>
      <c r="T581" s="1" t="s">
        <v>29</v>
      </c>
    </row>
    <row r="582" customFormat="false" ht="18.7" hidden="false" customHeight="true" outlineLevel="0" collapsed="false">
      <c r="A582" s="1" t="n">
        <v>581</v>
      </c>
      <c r="B582" s="6" t="str">
        <f aca="false">HYPERLINK("https://mncourtfraud.com/file/MCRO_27-CR-19-28883_Findings and Order_2022-02-01_20240430092356.pdf","MCRO_27-CR-19-28883_Findings and Order_2022-02-01_20240430092356.pdf")</f>
        <v>MCRO_27-CR-19-28883_Findings and Order_2022-02-01_20240430092356.pdf</v>
      </c>
      <c r="C582" s="1" t="n">
        <v>4</v>
      </c>
      <c r="D582" s="1" t="n">
        <v>2</v>
      </c>
      <c r="E582" s="1" t="n">
        <v>2</v>
      </c>
      <c r="F582" s="3" t="s">
        <v>20</v>
      </c>
      <c r="G582" s="3" t="s">
        <v>2455</v>
      </c>
      <c r="H582" s="1" t="s">
        <v>22</v>
      </c>
      <c r="I582" s="1" t="n">
        <v>20240430092356</v>
      </c>
      <c r="J582" s="3" t="s">
        <v>2456</v>
      </c>
      <c r="K582" s="3" t="s">
        <v>2457</v>
      </c>
      <c r="L582" s="3" t="s">
        <v>2458</v>
      </c>
      <c r="M582" s="3" t="n">
        <v>338947</v>
      </c>
      <c r="N582" s="3" t="s">
        <v>2459</v>
      </c>
      <c r="O582" s="1" t="n">
        <v>322561</v>
      </c>
      <c r="P582" s="1" t="n">
        <v>95.17</v>
      </c>
      <c r="Q582" s="1" t="s">
        <v>20</v>
      </c>
      <c r="R582" s="1" t="s">
        <v>27</v>
      </c>
      <c r="S582" s="1" t="s">
        <v>28</v>
      </c>
      <c r="T582" s="1" t="s">
        <v>29</v>
      </c>
    </row>
    <row r="583" customFormat="false" ht="18.7" hidden="false" customHeight="true" outlineLevel="0" collapsed="false">
      <c r="A583" s="1" t="n">
        <v>582</v>
      </c>
      <c r="B583" s="6" t="str">
        <f aca="false">HYPERLINK("https://mncourtfraud.com/file/MCRO_27-CR-19-28883_Find of Fact-Order, Pet Commitment-Dfd Found Incompetent_2020-01-14_20240430092412.pdf","MCRO_27-CR-19-28883_Find of Fact-Order, Pet Commitment-Dfd Found Incompetent_2020-01-14_20240430092412.pdf")</f>
        <v>MCRO_27-CR-19-28883_Find of Fact-Order, Pet Commitment-Dfd Found Incompetent_2020-01-14_20240430092412.pdf</v>
      </c>
      <c r="C583" s="1" t="n">
        <v>5</v>
      </c>
      <c r="D583" s="1" t="n">
        <v>1</v>
      </c>
      <c r="E583" s="1" t="n">
        <v>1</v>
      </c>
      <c r="F583" s="3" t="s">
        <v>20</v>
      </c>
      <c r="G583" s="3" t="s">
        <v>2460</v>
      </c>
      <c r="H583" s="1" t="s">
        <v>22</v>
      </c>
      <c r="I583" s="1" t="n">
        <v>20240430092412</v>
      </c>
      <c r="J583" s="3" t="s">
        <v>2461</v>
      </c>
      <c r="K583" s="3" t="s">
        <v>2462</v>
      </c>
      <c r="L583" s="3" t="s">
        <v>2463</v>
      </c>
      <c r="M583" s="3" t="n">
        <v>256118</v>
      </c>
      <c r="N583" s="3" t="s">
        <v>395</v>
      </c>
      <c r="O583" s="1" t="n">
        <v>239732</v>
      </c>
      <c r="P583" s="1" t="n">
        <v>93.6</v>
      </c>
      <c r="Q583" s="1" t="s">
        <v>20</v>
      </c>
      <c r="R583" s="1" t="s">
        <v>27</v>
      </c>
      <c r="S583" s="1" t="s">
        <v>28</v>
      </c>
      <c r="T583" s="1" t="s">
        <v>29</v>
      </c>
    </row>
    <row r="584" customFormat="false" ht="18.7" hidden="false" customHeight="true" outlineLevel="0" collapsed="false">
      <c r="A584" s="1" t="n">
        <v>583</v>
      </c>
      <c r="B584" s="6" t="str">
        <f aca="false">HYPERLINK("https://mncourtfraud.com/file/MCRO_27-CR-19-28883_Notice of Case Reassignment_2020-01-03_20240430092413.pdf","MCRO_27-CR-19-28883_Notice of Case Reassignment_2020-01-03_20240430092413.pdf")</f>
        <v>MCRO_27-CR-19-28883_Notice of Case Reassignment_2020-01-03_20240430092413.pdf</v>
      </c>
      <c r="C584" s="1" t="n">
        <v>4</v>
      </c>
      <c r="D584" s="1" t="n">
        <v>1</v>
      </c>
      <c r="E584" s="1" t="n">
        <v>1</v>
      </c>
      <c r="F584" s="3" t="s">
        <v>20</v>
      </c>
      <c r="G584" s="3" t="s">
        <v>2464</v>
      </c>
      <c r="H584" s="1" t="s">
        <v>22</v>
      </c>
      <c r="I584" s="1" t="n">
        <v>20240430092413</v>
      </c>
      <c r="J584" s="3" t="s">
        <v>2465</v>
      </c>
      <c r="K584" s="3" t="s">
        <v>2466</v>
      </c>
      <c r="L584" s="3" t="s">
        <v>2467</v>
      </c>
      <c r="M584" s="3" t="n">
        <v>95452</v>
      </c>
      <c r="N584" s="3" t="s">
        <v>137</v>
      </c>
      <c r="O584" s="1" t="n">
        <v>79066</v>
      </c>
      <c r="P584" s="1" t="n">
        <v>82.83</v>
      </c>
      <c r="Q584" s="1" t="s">
        <v>20</v>
      </c>
      <c r="R584" s="1" t="s">
        <v>27</v>
      </c>
      <c r="S584" s="1" t="s">
        <v>28</v>
      </c>
      <c r="T584" s="1" t="s">
        <v>29</v>
      </c>
    </row>
    <row r="585" customFormat="false" ht="18.7" hidden="false" customHeight="true" outlineLevel="0" collapsed="false">
      <c r="A585" s="1" t="n">
        <v>584</v>
      </c>
      <c r="B585" s="6" t="str">
        <f aca="false">HYPERLINK("https://mncourtfraud.com/file/MCRO_27-CR-19-28883_Notice of Case Reassignment_2021-03-30_20240430092403.pdf","MCRO_27-CR-19-28883_Notice of Case Reassignment_2021-03-30_20240430092403.pdf")</f>
        <v>MCRO_27-CR-19-28883_Notice of Case Reassignment_2021-03-30_20240430092403.pdf</v>
      </c>
      <c r="C585" s="1" t="n">
        <v>4</v>
      </c>
      <c r="D585" s="1" t="n">
        <v>1</v>
      </c>
      <c r="E585" s="1" t="n">
        <v>1</v>
      </c>
      <c r="F585" s="3" t="s">
        <v>20</v>
      </c>
      <c r="G585" s="3" t="s">
        <v>2468</v>
      </c>
      <c r="H585" s="1" t="s">
        <v>22</v>
      </c>
      <c r="I585" s="1" t="n">
        <v>20240430092403</v>
      </c>
      <c r="J585" s="3" t="s">
        <v>2469</v>
      </c>
      <c r="K585" s="3" t="s">
        <v>2470</v>
      </c>
      <c r="L585" s="3" t="s">
        <v>2471</v>
      </c>
      <c r="M585" s="3" t="n">
        <v>102651</v>
      </c>
      <c r="N585" s="3" t="s">
        <v>456</v>
      </c>
      <c r="O585" s="1" t="n">
        <v>86265</v>
      </c>
      <c r="P585" s="1" t="n">
        <v>84.04</v>
      </c>
      <c r="Q585" s="1" t="s">
        <v>20</v>
      </c>
      <c r="R585" s="1" t="s">
        <v>27</v>
      </c>
      <c r="S585" s="1" t="s">
        <v>28</v>
      </c>
      <c r="T585" s="1" t="s">
        <v>29</v>
      </c>
    </row>
    <row r="586" customFormat="false" ht="18.7" hidden="false" customHeight="true" outlineLevel="0" collapsed="false">
      <c r="A586" s="1" t="n">
        <v>585</v>
      </c>
      <c r="B586" s="6" t="str">
        <f aca="false">HYPERLINK("https://mncourtfraud.com/file/MCRO_27-CR-19-28883_Notice of Case Reassignment_2022-04-01_20240430092354.pdf","MCRO_27-CR-19-28883_Notice of Case Reassignment_2022-04-01_20240430092354.pdf")</f>
        <v>MCRO_27-CR-19-28883_Notice of Case Reassignment_2022-04-01_20240430092354.pdf</v>
      </c>
      <c r="C586" s="1" t="n">
        <v>4</v>
      </c>
      <c r="D586" s="1" t="n">
        <v>1</v>
      </c>
      <c r="E586" s="1" t="n">
        <v>1</v>
      </c>
      <c r="F586" s="3" t="s">
        <v>20</v>
      </c>
      <c r="G586" s="3" t="s">
        <v>2472</v>
      </c>
      <c r="H586" s="1" t="s">
        <v>22</v>
      </c>
      <c r="I586" s="1" t="n">
        <v>20240430092354</v>
      </c>
      <c r="J586" s="3" t="s">
        <v>2473</v>
      </c>
      <c r="K586" s="3" t="s">
        <v>2474</v>
      </c>
      <c r="L586" s="3" t="s">
        <v>2475</v>
      </c>
      <c r="M586" s="3" t="n">
        <v>97628</v>
      </c>
      <c r="N586" s="3" t="s">
        <v>456</v>
      </c>
      <c r="O586" s="1" t="n">
        <v>81242</v>
      </c>
      <c r="P586" s="1" t="n">
        <v>83.22</v>
      </c>
      <c r="Q586" s="1" t="s">
        <v>20</v>
      </c>
      <c r="R586" s="1" t="s">
        <v>27</v>
      </c>
      <c r="S586" s="1" t="s">
        <v>28</v>
      </c>
      <c r="T586" s="1" t="s">
        <v>29</v>
      </c>
    </row>
    <row r="587" customFormat="false" ht="18.7" hidden="false" customHeight="true" outlineLevel="0" collapsed="false">
      <c r="A587" s="1" t="n">
        <v>586</v>
      </c>
      <c r="B587" s="6" t="str">
        <f aca="false">HYPERLINK("https://mncourtfraud.com/file/MCRO_27-CR-19-28883_Notice of Case Reassignment_2023-01-13_20240430092344.pdf","MCRO_27-CR-19-28883_Notice of Case Reassignment_2023-01-13_20240430092344.pdf")</f>
        <v>MCRO_27-CR-19-28883_Notice of Case Reassignment_2023-01-13_20240430092344.pdf</v>
      </c>
      <c r="C587" s="1" t="n">
        <v>4</v>
      </c>
      <c r="D587" s="1" t="n">
        <v>1</v>
      </c>
      <c r="E587" s="1" t="n">
        <v>1</v>
      </c>
      <c r="F587" s="3" t="s">
        <v>20</v>
      </c>
      <c r="G587" s="3" t="s">
        <v>2476</v>
      </c>
      <c r="H587" s="1" t="s">
        <v>22</v>
      </c>
      <c r="I587" s="1" t="n">
        <v>20240430092344</v>
      </c>
      <c r="J587" s="3" t="s">
        <v>2477</v>
      </c>
      <c r="K587" s="3" t="s">
        <v>2478</v>
      </c>
      <c r="L587" s="3" t="s">
        <v>2479</v>
      </c>
      <c r="M587" s="3" t="n">
        <v>313566</v>
      </c>
      <c r="N587" s="3" t="s">
        <v>158</v>
      </c>
      <c r="O587" s="1" t="n">
        <v>297180</v>
      </c>
      <c r="P587" s="1" t="n">
        <v>94.77</v>
      </c>
      <c r="Q587" s="1" t="s">
        <v>20</v>
      </c>
      <c r="R587" s="1" t="s">
        <v>27</v>
      </c>
      <c r="S587" s="1" t="s">
        <v>28</v>
      </c>
      <c r="T587" s="1" t="s">
        <v>29</v>
      </c>
    </row>
    <row r="588" customFormat="false" ht="18.7" hidden="false" customHeight="true" outlineLevel="0" collapsed="false">
      <c r="A588" s="1" t="n">
        <v>587</v>
      </c>
      <c r="B588" s="6" t="str">
        <f aca="false">HYPERLINK("https://mncourtfraud.com/file/MCRO_27-CR-19-28883_Notice of Remote Hearing with Instructions_2021-03-11_20240430092408.pdf","MCRO_27-CR-19-28883_Notice of Remote Hearing with Instructions_2021-03-11_20240430092408.pdf")</f>
        <v>MCRO_27-CR-19-28883_Notice of Remote Hearing with Instructions_2021-03-11_20240430092408.pdf</v>
      </c>
      <c r="C588" s="1" t="n">
        <v>4</v>
      </c>
      <c r="D588" s="1" t="n">
        <v>1</v>
      </c>
      <c r="E588" s="1" t="n">
        <v>1</v>
      </c>
      <c r="F588" s="3" t="s">
        <v>20</v>
      </c>
      <c r="G588" s="3" t="s">
        <v>2480</v>
      </c>
      <c r="H588" s="1" t="s">
        <v>22</v>
      </c>
      <c r="I588" s="1" t="n">
        <v>20240430092408</v>
      </c>
      <c r="J588" s="3" t="s">
        <v>2481</v>
      </c>
      <c r="K588" s="3" t="s">
        <v>2482</v>
      </c>
      <c r="L588" s="3" t="s">
        <v>2483</v>
      </c>
      <c r="M588" s="3" t="n">
        <v>159512</v>
      </c>
      <c r="N588" s="3" t="s">
        <v>1065</v>
      </c>
      <c r="O588" s="1" t="n">
        <v>143126</v>
      </c>
      <c r="P588" s="1" t="n">
        <v>89.73</v>
      </c>
      <c r="Q588" s="1" t="s">
        <v>20</v>
      </c>
      <c r="R588" s="1" t="s">
        <v>27</v>
      </c>
      <c r="S588" s="1" t="s">
        <v>28</v>
      </c>
      <c r="T588" s="1" t="s">
        <v>29</v>
      </c>
    </row>
    <row r="589" customFormat="false" ht="18.7" hidden="false" customHeight="true" outlineLevel="0" collapsed="false">
      <c r="A589" s="1" t="n">
        <v>588</v>
      </c>
      <c r="B589" s="6" t="str">
        <f aca="false">HYPERLINK("https://mncourtfraud.com/file/MCRO_27-CR-19-28883_Notice of Remote Hearing with Instructions_2021-07-23_20240430092400.pdf","MCRO_27-CR-19-28883_Notice of Remote Hearing with Instructions_2021-07-23_20240430092400.pdf")</f>
        <v>MCRO_27-CR-19-28883_Notice of Remote Hearing with Instructions_2021-07-23_20240430092400.pdf</v>
      </c>
      <c r="C589" s="1" t="n">
        <v>4</v>
      </c>
      <c r="D589" s="1" t="n">
        <v>1</v>
      </c>
      <c r="E589" s="1" t="n">
        <v>1</v>
      </c>
      <c r="F589" s="3" t="s">
        <v>20</v>
      </c>
      <c r="G589" s="3" t="s">
        <v>2484</v>
      </c>
      <c r="H589" s="1" t="s">
        <v>22</v>
      </c>
      <c r="I589" s="1" t="n">
        <v>20240430092400</v>
      </c>
      <c r="J589" s="3" t="s">
        <v>2485</v>
      </c>
      <c r="K589" s="3" t="s">
        <v>2486</v>
      </c>
      <c r="L589" s="3" t="s">
        <v>2487</v>
      </c>
      <c r="M589" s="3" t="n">
        <v>160480</v>
      </c>
      <c r="N589" s="3" t="s">
        <v>1065</v>
      </c>
      <c r="O589" s="1" t="n">
        <v>144094</v>
      </c>
      <c r="P589" s="1" t="n">
        <v>89.79</v>
      </c>
      <c r="Q589" s="1" t="s">
        <v>20</v>
      </c>
      <c r="R589" s="1" t="s">
        <v>27</v>
      </c>
      <c r="S589" s="1" t="s">
        <v>28</v>
      </c>
      <c r="T589" s="1" t="s">
        <v>29</v>
      </c>
    </row>
    <row r="590" customFormat="false" ht="18.7" hidden="false" customHeight="true" outlineLevel="0" collapsed="false">
      <c r="A590" s="1" t="n">
        <v>589</v>
      </c>
      <c r="B590" s="6" t="str">
        <f aca="false">HYPERLINK("https://mncourtfraud.com/file/MCRO_27-CR-19-28883_Order-Evaluation for Competency to Proceed (Rule 20.01)_2019-12-12_20240430092414.pdf","MCRO_27-CR-19-28883_Order-Evaluation for Competency to Proceed (Rule 20.01)_2019-12-12_20240430092414.pdf")</f>
        <v>MCRO_27-CR-19-28883_Order-Evaluation for Competency to Proceed (Rule 20.01)_2019-12-12_20240430092414.pdf</v>
      </c>
      <c r="C590" s="1" t="n">
        <v>4</v>
      </c>
      <c r="D590" s="1" t="n">
        <v>1</v>
      </c>
      <c r="E590" s="1" t="n">
        <v>1</v>
      </c>
      <c r="F590" s="3" t="s">
        <v>20</v>
      </c>
      <c r="G590" s="3" t="s">
        <v>2488</v>
      </c>
      <c r="H590" s="1" t="s">
        <v>22</v>
      </c>
      <c r="I590" s="1" t="n">
        <v>20240430092414</v>
      </c>
      <c r="J590" s="3" t="s">
        <v>2489</v>
      </c>
      <c r="K590" s="3" t="s">
        <v>2490</v>
      </c>
      <c r="L590" s="3" t="s">
        <v>2491</v>
      </c>
      <c r="M590" s="3" t="n">
        <v>177846</v>
      </c>
      <c r="N590" s="3" t="s">
        <v>777</v>
      </c>
      <c r="O590" s="1" t="n">
        <v>161460</v>
      </c>
      <c r="P590" s="1" t="n">
        <v>90.79</v>
      </c>
      <c r="Q590" s="1" t="s">
        <v>20</v>
      </c>
      <c r="R590" s="1" t="s">
        <v>27</v>
      </c>
      <c r="S590" s="1" t="s">
        <v>28</v>
      </c>
      <c r="T590" s="1" t="s">
        <v>29</v>
      </c>
    </row>
    <row r="591" customFormat="false" ht="18.7" hidden="false" customHeight="true" outlineLevel="0" collapsed="false">
      <c r="A591" s="1" t="n">
        <v>590</v>
      </c>
      <c r="B591" s="6" t="str">
        <f aca="false">HYPERLINK("https://mncourtfraud.com/file/MCRO_27-CR-19-28883_Order-Evaluation for Competency to Proceed (Rule 20.01)_2020-05-15_20240430092410.pdf","MCRO_27-CR-19-28883_Order-Evaluation for Competency to Proceed (Rule 20.01)_2020-05-15_20240430092410.pdf")</f>
        <v>MCRO_27-CR-19-28883_Order-Evaluation for Competency to Proceed (Rule 20.01)_2020-05-15_20240430092410.pdf</v>
      </c>
      <c r="C591" s="1" t="n">
        <v>3</v>
      </c>
      <c r="D591" s="1" t="n">
        <v>1</v>
      </c>
      <c r="E591" s="1" t="n">
        <v>1</v>
      </c>
      <c r="F591" s="3" t="s">
        <v>20</v>
      </c>
      <c r="G591" s="3" t="s">
        <v>2492</v>
      </c>
      <c r="H591" s="1" t="s">
        <v>22</v>
      </c>
      <c r="I591" s="1" t="n">
        <v>20240430092410</v>
      </c>
      <c r="J591" s="3" t="s">
        <v>2493</v>
      </c>
      <c r="K591" s="3" t="s">
        <v>2494</v>
      </c>
      <c r="L591" s="3" t="s">
        <v>2495</v>
      </c>
      <c r="M591" s="3" t="n">
        <v>481490</v>
      </c>
      <c r="N591" s="3" t="s">
        <v>2496</v>
      </c>
      <c r="O591" s="1" t="n">
        <v>465104</v>
      </c>
      <c r="P591" s="1" t="n">
        <v>96.6</v>
      </c>
      <c r="Q591" s="1" t="s">
        <v>20</v>
      </c>
      <c r="R591" s="1" t="s">
        <v>27</v>
      </c>
      <c r="S591" s="1" t="s">
        <v>28</v>
      </c>
      <c r="T591" s="1" t="s">
        <v>29</v>
      </c>
    </row>
    <row r="592" customFormat="false" ht="18.7" hidden="false" customHeight="true" outlineLevel="0" collapsed="false">
      <c r="A592" s="1" t="n">
        <v>591</v>
      </c>
      <c r="B592" s="6" t="str">
        <f aca="false">HYPERLINK("https://mncourtfraud.com/file/MCRO_27-CR-19-28883_Order-Evaluation for Competency to Proceed (Rule 20.01)_2021-03-12_20240430092406.pdf","MCRO_27-CR-19-28883_Order-Evaluation for Competency to Proceed (Rule 20.01)_2021-03-12_20240430092406.pdf")</f>
        <v>MCRO_27-CR-19-28883_Order-Evaluation for Competency to Proceed (Rule 20.01)_2021-03-12_20240430092406.pdf</v>
      </c>
      <c r="C592" s="1" t="n">
        <v>5</v>
      </c>
      <c r="D592" s="1" t="n">
        <v>2</v>
      </c>
      <c r="E592" s="1" t="n">
        <v>2</v>
      </c>
      <c r="F592" s="3" t="s">
        <v>27</v>
      </c>
      <c r="G592" s="3" t="s">
        <v>2497</v>
      </c>
      <c r="H592" s="1" t="s">
        <v>22</v>
      </c>
      <c r="I592" s="1" t="n">
        <v>20240430092406</v>
      </c>
      <c r="J592" s="3" t="s">
        <v>2498</v>
      </c>
      <c r="K592" s="3" t="s">
        <v>2499</v>
      </c>
      <c r="L592" s="3" t="s">
        <v>2500</v>
      </c>
      <c r="M592" s="3" t="n">
        <v>907567</v>
      </c>
      <c r="N592" s="3" t="s">
        <v>786</v>
      </c>
      <c r="O592" s="1" t="n">
        <v>891181</v>
      </c>
      <c r="P592" s="1" t="n">
        <v>98.19</v>
      </c>
      <c r="Q592" s="1" t="s">
        <v>20</v>
      </c>
      <c r="R592" s="1" t="s">
        <v>27</v>
      </c>
      <c r="S592" s="1" t="s">
        <v>28</v>
      </c>
      <c r="T592" s="1" t="s">
        <v>29</v>
      </c>
    </row>
    <row r="593" customFormat="false" ht="18.7" hidden="false" customHeight="true" outlineLevel="0" collapsed="false">
      <c r="A593" s="1" t="n">
        <v>592</v>
      </c>
      <c r="B593" s="6" t="str">
        <f aca="false">HYPERLINK("https://mncourtfraud.com/file/MCRO_27-CR-19-28883_Order-Evaluation for Competency to Proceed (Rule 20.01)_2021-03-17_20240430092405.pdf","MCRO_27-CR-19-28883_Order-Evaluation for Competency to Proceed (Rule 20.01)_2021-03-17_20240430092405.pdf")</f>
        <v>MCRO_27-CR-19-28883_Order-Evaluation for Competency to Proceed (Rule 20.01)_2021-03-17_20240430092405.pdf</v>
      </c>
      <c r="C593" s="1" t="n">
        <v>4</v>
      </c>
      <c r="D593" s="1" t="n">
        <v>1</v>
      </c>
      <c r="E593" s="1" t="n">
        <v>1</v>
      </c>
      <c r="F593" s="3" t="s">
        <v>20</v>
      </c>
      <c r="G593" s="3" t="s">
        <v>2501</v>
      </c>
      <c r="H593" s="1" t="s">
        <v>22</v>
      </c>
      <c r="I593" s="1" t="n">
        <v>20240430092405</v>
      </c>
      <c r="J593" s="3" t="s">
        <v>2502</v>
      </c>
      <c r="K593" s="3" t="s">
        <v>2503</v>
      </c>
      <c r="L593" s="3" t="s">
        <v>2504</v>
      </c>
      <c r="M593" s="3" t="n">
        <v>773057</v>
      </c>
      <c r="N593" s="3" t="s">
        <v>2505</v>
      </c>
      <c r="O593" s="1" t="n">
        <v>756671</v>
      </c>
      <c r="P593" s="1" t="n">
        <v>97.88</v>
      </c>
      <c r="Q593" s="1" t="s">
        <v>20</v>
      </c>
      <c r="R593" s="1" t="s">
        <v>27</v>
      </c>
      <c r="S593" s="1" t="s">
        <v>28</v>
      </c>
      <c r="T593" s="1" t="s">
        <v>29</v>
      </c>
    </row>
    <row r="594" customFormat="false" ht="18.7" hidden="false" customHeight="true" outlineLevel="0" collapsed="false">
      <c r="A594" s="1" t="n">
        <v>593</v>
      </c>
      <c r="B594" s="6" t="str">
        <f aca="false">HYPERLINK("https://mncourtfraud.com/file/MCRO_27-CR-19-28883_Order-Evaluation for Competency to Proceed (Rule 20.01)_2021-07-23_20240430092359.pdf","MCRO_27-CR-19-28883_Order-Evaluation for Competency to Proceed (Rule 20.01)_2021-07-23_20240430092359.pdf")</f>
        <v>MCRO_27-CR-19-28883_Order-Evaluation for Competency to Proceed (Rule 20.01)_2021-07-23_20240430092359.pdf</v>
      </c>
      <c r="C594" s="1" t="n">
        <v>4</v>
      </c>
      <c r="D594" s="1" t="n">
        <v>1</v>
      </c>
      <c r="E594" s="1" t="n">
        <v>1</v>
      </c>
      <c r="F594" s="3" t="s">
        <v>20</v>
      </c>
      <c r="G594" s="3" t="s">
        <v>2506</v>
      </c>
      <c r="H594" s="1" t="s">
        <v>22</v>
      </c>
      <c r="I594" s="1" t="n">
        <v>20240430092359</v>
      </c>
      <c r="J594" s="3" t="s">
        <v>2507</v>
      </c>
      <c r="K594" s="3" t="s">
        <v>2508</v>
      </c>
      <c r="L594" s="3" t="s">
        <v>2509</v>
      </c>
      <c r="M594" s="3" t="n">
        <v>185687</v>
      </c>
      <c r="N594" s="3" t="s">
        <v>1065</v>
      </c>
      <c r="O594" s="1" t="n">
        <v>169301</v>
      </c>
      <c r="P594" s="1" t="n">
        <v>91.18</v>
      </c>
      <c r="Q594" s="1" t="s">
        <v>20</v>
      </c>
      <c r="R594" s="1" t="s">
        <v>27</v>
      </c>
      <c r="S594" s="1" t="s">
        <v>28</v>
      </c>
      <c r="T594" s="1" t="s">
        <v>29</v>
      </c>
    </row>
    <row r="595" customFormat="false" ht="18.7" hidden="false" customHeight="true" outlineLevel="0" collapsed="false">
      <c r="A595" s="1" t="n">
        <v>594</v>
      </c>
      <c r="B595" s="6" t="str">
        <f aca="false">HYPERLINK("https://mncourtfraud.com/file/MCRO_27-CR-19-28883_Order-Evaluation for Competency to Proceed (Rule 20.01)_2021-12-17_20240430092357.pdf","MCRO_27-CR-19-28883_Order-Evaluation for Competency to Proceed (Rule 20.01)_2021-12-17_20240430092357.pdf")</f>
        <v>MCRO_27-CR-19-28883_Order-Evaluation for Competency to Proceed (Rule 20.01)_2021-12-17_20240430092357.pdf</v>
      </c>
      <c r="C595" s="1" t="n">
        <v>4</v>
      </c>
      <c r="D595" s="1" t="n">
        <v>1</v>
      </c>
      <c r="E595" s="1" t="n">
        <v>1</v>
      </c>
      <c r="F595" s="3" t="s">
        <v>20</v>
      </c>
      <c r="G595" s="3" t="s">
        <v>2510</v>
      </c>
      <c r="H595" s="1" t="s">
        <v>22</v>
      </c>
      <c r="I595" s="1" t="n">
        <v>20240430092357</v>
      </c>
      <c r="J595" s="3" t="s">
        <v>2511</v>
      </c>
      <c r="K595" s="3" t="s">
        <v>2512</v>
      </c>
      <c r="L595" s="3" t="s">
        <v>2513</v>
      </c>
      <c r="M595" s="3" t="n">
        <v>194874</v>
      </c>
      <c r="N595" s="3" t="s">
        <v>1065</v>
      </c>
      <c r="O595" s="1" t="n">
        <v>178488</v>
      </c>
      <c r="P595" s="1" t="n">
        <v>91.59</v>
      </c>
      <c r="Q595" s="1" t="s">
        <v>20</v>
      </c>
      <c r="R595" s="1" t="s">
        <v>27</v>
      </c>
      <c r="S595" s="1" t="s">
        <v>28</v>
      </c>
      <c r="T595" s="1" t="s">
        <v>29</v>
      </c>
    </row>
    <row r="596" customFormat="false" ht="18.7" hidden="false" customHeight="true" outlineLevel="0" collapsed="false">
      <c r="A596" s="1" t="n">
        <v>595</v>
      </c>
      <c r="B596" s="6" t="str">
        <f aca="false">HYPERLINK("https://mncourtfraud.com/file/MCRO_27-CR-19-28883_Order-Evaluation for Competency to Proceed (Rule 20.01)_2022-05-11_20240430092356.pdf","MCRO_27-CR-19-28883_Order-Evaluation for Competency to Proceed (Rule 20.01)_2022-05-11_20240430092356.pdf")</f>
        <v>MCRO_27-CR-19-28883_Order-Evaluation for Competency to Proceed (Rule 20.01)_2022-05-11_20240430092356.pdf</v>
      </c>
      <c r="C596" s="1" t="n">
        <v>3</v>
      </c>
      <c r="D596" s="1" t="n">
        <v>1</v>
      </c>
      <c r="E596" s="1" t="n">
        <v>1</v>
      </c>
      <c r="F596" s="3" t="s">
        <v>20</v>
      </c>
      <c r="G596" s="3" t="s">
        <v>2514</v>
      </c>
      <c r="H596" s="1" t="s">
        <v>22</v>
      </c>
      <c r="I596" s="1" t="n">
        <v>20240430092356</v>
      </c>
      <c r="J596" s="3" t="s">
        <v>2456</v>
      </c>
      <c r="K596" s="3" t="s">
        <v>2457</v>
      </c>
      <c r="L596" s="3" t="s">
        <v>2515</v>
      </c>
      <c r="M596" s="3" t="n">
        <v>277732</v>
      </c>
      <c r="N596" s="3" t="s">
        <v>79</v>
      </c>
      <c r="O596" s="1" t="n">
        <v>261346</v>
      </c>
      <c r="P596" s="1" t="n">
        <v>94.1</v>
      </c>
      <c r="Q596" s="1" t="s">
        <v>20</v>
      </c>
      <c r="R596" s="1" t="s">
        <v>27</v>
      </c>
      <c r="S596" s="1" t="s">
        <v>28</v>
      </c>
      <c r="T596" s="1" t="s">
        <v>29</v>
      </c>
    </row>
    <row r="597" customFormat="false" ht="18.7" hidden="false" customHeight="true" outlineLevel="0" collapsed="false">
      <c r="A597" s="1" t="n">
        <v>596</v>
      </c>
      <c r="B597" s="6" t="str">
        <f aca="false">HYPERLINK("https://mncourtfraud.com/file/MCRO_27-CR-19-28883_Order-Evaluation for Competency to Proceed (Rule 20.01)_2022-11-23_20240430092345.pdf","MCRO_27-CR-19-28883_Order-Evaluation for Competency to Proceed (Rule 20.01)_2022-11-23_20240430092345.pdf")</f>
        <v>MCRO_27-CR-19-28883_Order-Evaluation for Competency to Proceed (Rule 20.01)_2022-11-23_20240430092345.pdf</v>
      </c>
      <c r="C597" s="1" t="n">
        <v>3</v>
      </c>
      <c r="D597" s="1" t="n">
        <v>1</v>
      </c>
      <c r="E597" s="1" t="n">
        <v>1</v>
      </c>
      <c r="F597" s="3" t="s">
        <v>20</v>
      </c>
      <c r="G597" s="3" t="s">
        <v>2516</v>
      </c>
      <c r="H597" s="1" t="s">
        <v>22</v>
      </c>
      <c r="I597" s="1" t="n">
        <v>20240430092345</v>
      </c>
      <c r="J597" s="3" t="s">
        <v>2517</v>
      </c>
      <c r="K597" s="3" t="s">
        <v>2518</v>
      </c>
      <c r="L597" s="3" t="s">
        <v>2519</v>
      </c>
      <c r="M597" s="3" t="n">
        <v>811295</v>
      </c>
      <c r="N597" s="3" t="s">
        <v>2520</v>
      </c>
      <c r="O597" s="1" t="n">
        <v>794909</v>
      </c>
      <c r="P597" s="1" t="n">
        <v>97.98</v>
      </c>
      <c r="Q597" s="1" t="s">
        <v>20</v>
      </c>
      <c r="R597" s="1" t="s">
        <v>27</v>
      </c>
      <c r="S597" s="1" t="s">
        <v>28</v>
      </c>
      <c r="T597" s="1" t="s">
        <v>29</v>
      </c>
    </row>
    <row r="598" customFormat="false" ht="18.7" hidden="false" customHeight="true" outlineLevel="0" collapsed="false">
      <c r="A598" s="1" t="n">
        <v>597</v>
      </c>
      <c r="B598" s="6" t="str">
        <f aca="false">HYPERLINK("https://mncourtfraud.com/file/MCRO_27-CR-19-28883_Order for Conditional Release_2020-02-12_20240430092411.pdf","MCRO_27-CR-19-28883_Order for Conditional Release_2020-02-12_20240430092411.pdf")</f>
        <v>MCRO_27-CR-19-28883_Order for Conditional Release_2020-02-12_20240430092411.pdf</v>
      </c>
      <c r="C598" s="1" t="n">
        <v>4</v>
      </c>
      <c r="D598" s="1" t="n">
        <v>1</v>
      </c>
      <c r="E598" s="1" t="n">
        <v>1</v>
      </c>
      <c r="F598" s="3" t="s">
        <v>20</v>
      </c>
      <c r="G598" s="3" t="s">
        <v>2521</v>
      </c>
      <c r="H598" s="1" t="s">
        <v>22</v>
      </c>
      <c r="I598" s="1" t="n">
        <v>20240430092411</v>
      </c>
      <c r="J598" s="3" t="s">
        <v>2522</v>
      </c>
      <c r="K598" s="3" t="s">
        <v>2523</v>
      </c>
      <c r="L598" s="3" t="s">
        <v>2524</v>
      </c>
      <c r="M598" s="3" t="n">
        <v>641679</v>
      </c>
      <c r="N598" s="3" t="s">
        <v>137</v>
      </c>
      <c r="O598" s="1" t="n">
        <v>625293</v>
      </c>
      <c r="P598" s="1" t="n">
        <v>97.45</v>
      </c>
      <c r="Q598" s="1" t="s">
        <v>20</v>
      </c>
      <c r="R598" s="1" t="s">
        <v>27</v>
      </c>
      <c r="S598" s="1" t="s">
        <v>28</v>
      </c>
      <c r="T598" s="1" t="s">
        <v>29</v>
      </c>
    </row>
    <row r="599" customFormat="false" ht="18.7" hidden="false" customHeight="true" outlineLevel="0" collapsed="false">
      <c r="A599" s="1" t="n">
        <v>598</v>
      </c>
      <c r="B599" s="6" t="str">
        <f aca="false">HYPERLINK("https://mncourtfraud.com/file/MCRO_27-CR-19-28883_Order for Conditional Release_2020-12-16_20240430092409.pdf","MCRO_27-CR-19-28883_Order for Conditional Release_2020-12-16_20240430092409.pdf")</f>
        <v>MCRO_27-CR-19-28883_Order for Conditional Release_2020-12-16_20240430092409.pdf</v>
      </c>
      <c r="C599" s="1" t="n">
        <v>4</v>
      </c>
      <c r="D599" s="1" t="n">
        <v>1</v>
      </c>
      <c r="E599" s="1" t="n">
        <v>1</v>
      </c>
      <c r="F599" s="3" t="s">
        <v>20</v>
      </c>
      <c r="G599" s="3" t="s">
        <v>2525</v>
      </c>
      <c r="H599" s="1" t="s">
        <v>22</v>
      </c>
      <c r="I599" s="1" t="n">
        <v>20240430092409</v>
      </c>
      <c r="J599" s="3" t="s">
        <v>2526</v>
      </c>
      <c r="K599" s="3" t="s">
        <v>2527</v>
      </c>
      <c r="L599" s="3" t="s">
        <v>2528</v>
      </c>
      <c r="M599" s="3" t="n">
        <v>943167</v>
      </c>
      <c r="N599" s="3" t="s">
        <v>456</v>
      </c>
      <c r="O599" s="1" t="n">
        <v>926781</v>
      </c>
      <c r="P599" s="1" t="n">
        <v>98.26</v>
      </c>
      <c r="Q599" s="1" t="s">
        <v>20</v>
      </c>
      <c r="R599" s="1" t="s">
        <v>27</v>
      </c>
      <c r="S599" s="1" t="s">
        <v>28</v>
      </c>
      <c r="T599" s="1" t="s">
        <v>29</v>
      </c>
    </row>
    <row r="600" customFormat="false" ht="18.7" hidden="false" customHeight="true" outlineLevel="0" collapsed="false">
      <c r="A600" s="1" t="n">
        <v>599</v>
      </c>
      <c r="B600" s="6" t="str">
        <f aca="false">HYPERLINK("https://mncourtfraud.com/file/MCRO_27-CR-19-28883_Order for Conditional Release_2021-07-23_20240430092401.pdf","MCRO_27-CR-19-28883_Order for Conditional Release_2021-07-23_20240430092401.pdf")</f>
        <v>MCRO_27-CR-19-28883_Order for Conditional Release_2021-07-23_20240430092401.pdf</v>
      </c>
      <c r="C600" s="1" t="n">
        <v>4</v>
      </c>
      <c r="D600" s="1" t="n">
        <v>1</v>
      </c>
      <c r="E600" s="1" t="n">
        <v>1</v>
      </c>
      <c r="F600" s="3" t="s">
        <v>20</v>
      </c>
      <c r="G600" s="3" t="s">
        <v>2529</v>
      </c>
      <c r="H600" s="1" t="s">
        <v>22</v>
      </c>
      <c r="I600" s="1" t="n">
        <v>20240430092401</v>
      </c>
      <c r="J600" s="3" t="s">
        <v>2530</v>
      </c>
      <c r="K600" s="3" t="s">
        <v>2531</v>
      </c>
      <c r="L600" s="3" t="s">
        <v>2532</v>
      </c>
      <c r="M600" s="3" t="n">
        <v>134002</v>
      </c>
      <c r="N600" s="3" t="s">
        <v>456</v>
      </c>
      <c r="O600" s="1" t="n">
        <v>117616</v>
      </c>
      <c r="P600" s="1" t="n">
        <v>87.77</v>
      </c>
      <c r="Q600" s="1" t="s">
        <v>20</v>
      </c>
      <c r="R600" s="1" t="s">
        <v>27</v>
      </c>
      <c r="S600" s="1" t="s">
        <v>28</v>
      </c>
      <c r="T600" s="1" t="s">
        <v>29</v>
      </c>
    </row>
    <row r="601" customFormat="false" ht="18.7" hidden="false" customHeight="true" outlineLevel="0" collapsed="false">
      <c r="A601" s="1" t="n">
        <v>600</v>
      </c>
      <c r="B601" s="6" t="str">
        <f aca="false">HYPERLINK("https://mncourtfraud.com/file/MCRO_27-CR-19-28883_Order for Conditional Release_2021-12-17_20240430092358.pdf","MCRO_27-CR-19-28883_Order for Conditional Release_2021-12-17_20240430092358.pdf")</f>
        <v>MCRO_27-CR-19-28883_Order for Conditional Release_2021-12-17_20240430092358.pdf</v>
      </c>
      <c r="C601" s="1" t="n">
        <v>4</v>
      </c>
      <c r="D601" s="1" t="n">
        <v>1</v>
      </c>
      <c r="E601" s="1" t="n">
        <v>1</v>
      </c>
      <c r="F601" s="3" t="s">
        <v>20</v>
      </c>
      <c r="G601" s="3" t="s">
        <v>2533</v>
      </c>
      <c r="H601" s="1" t="s">
        <v>22</v>
      </c>
      <c r="I601" s="1" t="n">
        <v>20240430092358</v>
      </c>
      <c r="J601" s="3" t="s">
        <v>2534</v>
      </c>
      <c r="K601" s="3" t="s">
        <v>2535</v>
      </c>
      <c r="L601" s="3" t="s">
        <v>2536</v>
      </c>
      <c r="M601" s="3" t="n">
        <v>137768</v>
      </c>
      <c r="N601" s="3" t="s">
        <v>456</v>
      </c>
      <c r="O601" s="1" t="n">
        <v>121382</v>
      </c>
      <c r="P601" s="1" t="n">
        <v>88.11</v>
      </c>
      <c r="Q601" s="1" t="s">
        <v>20</v>
      </c>
      <c r="R601" s="1" t="s">
        <v>27</v>
      </c>
      <c r="S601" s="1" t="s">
        <v>28</v>
      </c>
      <c r="T601" s="1" t="s">
        <v>29</v>
      </c>
    </row>
    <row r="602" customFormat="false" ht="18.7" hidden="false" customHeight="true" outlineLevel="0" collapsed="false">
      <c r="A602" s="1" t="n">
        <v>601</v>
      </c>
      <c r="B602" s="6" t="str">
        <f aca="false">HYPERLINK("https://mncourtfraud.com/file/MCRO_27-CR-19-28883_Order for Conditional Release_2022-02-01_20240430092356.pdf","MCRO_27-CR-19-28883_Order for Conditional Release_2022-02-01_20240430092356.pdf")</f>
        <v>MCRO_27-CR-19-28883_Order for Conditional Release_2022-02-01_20240430092356.pdf</v>
      </c>
      <c r="C602" s="1" t="n">
        <v>4</v>
      </c>
      <c r="D602" s="1" t="n">
        <v>1</v>
      </c>
      <c r="E602" s="1" t="n">
        <v>1</v>
      </c>
      <c r="F602" s="3" t="s">
        <v>20</v>
      </c>
      <c r="G602" s="3" t="s">
        <v>2537</v>
      </c>
      <c r="H602" s="1" t="s">
        <v>22</v>
      </c>
      <c r="I602" s="1" t="n">
        <v>20240430092356</v>
      </c>
      <c r="J602" s="3" t="s">
        <v>2538</v>
      </c>
      <c r="K602" s="3" t="s">
        <v>2539</v>
      </c>
      <c r="L602" s="3" t="s">
        <v>2540</v>
      </c>
      <c r="M602" s="3" t="n">
        <v>209924</v>
      </c>
      <c r="N602" s="3" t="s">
        <v>2541</v>
      </c>
      <c r="O602" s="1" t="n">
        <v>193538</v>
      </c>
      <c r="P602" s="1" t="n">
        <v>92.19</v>
      </c>
      <c r="Q602" s="1" t="s">
        <v>20</v>
      </c>
      <c r="R602" s="1" t="s">
        <v>27</v>
      </c>
      <c r="S602" s="1" t="s">
        <v>28</v>
      </c>
      <c r="T602" s="1" t="s">
        <v>29</v>
      </c>
    </row>
    <row r="603" customFormat="false" ht="18.7" hidden="false" customHeight="true" outlineLevel="0" collapsed="false">
      <c r="A603" s="1" t="n">
        <v>602</v>
      </c>
      <c r="B603" s="6" t="str">
        <f aca="false">HYPERLINK("https://mncourtfraud.com/file/MCRO_27-CR-19-28883_Order for Conditional Release_2022-09-07_20240430092350.pdf","MCRO_27-CR-19-28883_Order for Conditional Release_2022-09-07_20240430092350.pdf")</f>
        <v>MCRO_27-CR-19-28883_Order for Conditional Release_2022-09-07_20240430092350.pdf</v>
      </c>
      <c r="C603" s="1" t="n">
        <v>3</v>
      </c>
      <c r="D603" s="1" t="n">
        <v>1</v>
      </c>
      <c r="E603" s="1" t="n">
        <v>1</v>
      </c>
      <c r="F603" s="3" t="s">
        <v>20</v>
      </c>
      <c r="G603" s="3" t="s">
        <v>2542</v>
      </c>
      <c r="H603" s="1" t="s">
        <v>22</v>
      </c>
      <c r="I603" s="1" t="n">
        <v>20240430092350</v>
      </c>
      <c r="J603" s="3" t="s">
        <v>2543</v>
      </c>
      <c r="K603" s="3" t="s">
        <v>2544</v>
      </c>
      <c r="L603" s="3" t="s">
        <v>2545</v>
      </c>
      <c r="M603" s="3" t="n">
        <v>185639</v>
      </c>
      <c r="N603" s="3" t="s">
        <v>984</v>
      </c>
      <c r="O603" s="1" t="n">
        <v>169253</v>
      </c>
      <c r="P603" s="1" t="n">
        <v>91.17</v>
      </c>
      <c r="Q603" s="1" t="s">
        <v>20</v>
      </c>
      <c r="R603" s="1" t="s">
        <v>27</v>
      </c>
      <c r="S603" s="1" t="s">
        <v>28</v>
      </c>
      <c r="T603" s="1" t="s">
        <v>29</v>
      </c>
    </row>
    <row r="604" customFormat="false" ht="18.7" hidden="false" customHeight="true" outlineLevel="0" collapsed="false">
      <c r="A604" s="1" t="n">
        <v>603</v>
      </c>
      <c r="B604" s="6" t="str">
        <f aca="false">HYPERLINK("https://mncourtfraud.com/file/MCRO_27-CR-19-28883_Order-Other_2022-09-07_20240430092349.pdf","MCRO_27-CR-19-28883_Order-Other_2022-09-07_20240430092349.pdf")</f>
        <v>MCRO_27-CR-19-28883_Order-Other_2022-09-07_20240430092349.pdf</v>
      </c>
      <c r="C604" s="1" t="n">
        <v>3</v>
      </c>
      <c r="D604" s="1" t="n">
        <v>1</v>
      </c>
      <c r="E604" s="1" t="n">
        <v>1</v>
      </c>
      <c r="F604" s="3" t="s">
        <v>20</v>
      </c>
      <c r="G604" s="3" t="s">
        <v>2546</v>
      </c>
      <c r="H604" s="1" t="s">
        <v>22</v>
      </c>
      <c r="I604" s="1" t="n">
        <v>20240430092349</v>
      </c>
      <c r="J604" s="3" t="s">
        <v>2547</v>
      </c>
      <c r="K604" s="3" t="s">
        <v>2548</v>
      </c>
      <c r="L604" s="3" t="s">
        <v>2549</v>
      </c>
      <c r="M604" s="3" t="n">
        <v>243964</v>
      </c>
      <c r="N604" s="3" t="s">
        <v>84</v>
      </c>
      <c r="O604" s="1" t="n">
        <v>227578</v>
      </c>
      <c r="P604" s="1" t="n">
        <v>93.28</v>
      </c>
      <c r="Q604" s="1" t="s">
        <v>20</v>
      </c>
      <c r="R604" s="1" t="s">
        <v>27</v>
      </c>
      <c r="S604" s="1" t="s">
        <v>28</v>
      </c>
      <c r="T604" s="1" t="s">
        <v>29</v>
      </c>
    </row>
    <row r="605" customFormat="false" ht="18.7" hidden="false" customHeight="true" outlineLevel="0" collapsed="false">
      <c r="A605" s="1" t="n">
        <v>604</v>
      </c>
      <c r="B605" s="6" t="str">
        <f aca="false">HYPERLINK("https://mncourtfraud.com/file/MCRO_27-CR-19-28883_Probation Referral Notification_2021-03-12_20240430092407.pdf","MCRO_27-CR-19-28883_Probation Referral Notification_2021-03-12_20240430092407.pdf")</f>
        <v>MCRO_27-CR-19-28883_Probation Referral Notification_2021-03-12_20240430092407.pdf</v>
      </c>
      <c r="C605" s="1" t="n">
        <v>4</v>
      </c>
      <c r="D605" s="1" t="n">
        <v>1</v>
      </c>
      <c r="E605" s="1" t="n">
        <v>1</v>
      </c>
      <c r="F605" s="3" t="s">
        <v>20</v>
      </c>
      <c r="G605" s="3" t="s">
        <v>2550</v>
      </c>
      <c r="H605" s="1" t="s">
        <v>22</v>
      </c>
      <c r="I605" s="1" t="n">
        <v>20240430092407</v>
      </c>
      <c r="J605" s="3" t="s">
        <v>2498</v>
      </c>
      <c r="K605" s="3" t="s">
        <v>2499</v>
      </c>
      <c r="L605" s="3" t="s">
        <v>2551</v>
      </c>
      <c r="M605" s="3" t="n">
        <v>497920</v>
      </c>
      <c r="N605" s="3" t="s">
        <v>2552</v>
      </c>
      <c r="O605" s="1" t="n">
        <v>481534</v>
      </c>
      <c r="P605" s="1" t="n">
        <v>96.71</v>
      </c>
      <c r="Q605" s="1" t="s">
        <v>20</v>
      </c>
      <c r="R605" s="1" t="s">
        <v>27</v>
      </c>
      <c r="S605" s="1" t="s">
        <v>28</v>
      </c>
      <c r="T605" s="1" t="s">
        <v>29</v>
      </c>
    </row>
    <row r="606" customFormat="false" ht="18.7" hidden="false" customHeight="true" outlineLevel="0" collapsed="false">
      <c r="A606" s="1" t="n">
        <v>605</v>
      </c>
      <c r="B606" s="6" t="str">
        <f aca="false">HYPERLINK("https://mncourtfraud.com/file/MCRO_27-CR-19-28883_Proposed Order or Document_2022-09-14_20240430092346.pdf","MCRO_27-CR-19-28883_Proposed Order or Document_2022-09-14_20240430092346.pdf")</f>
        <v>MCRO_27-CR-19-28883_Proposed Order or Document_2022-09-14_20240430092346.pdf</v>
      </c>
      <c r="C606" s="1" t="n">
        <v>4</v>
      </c>
      <c r="D606" s="1" t="n">
        <v>1</v>
      </c>
      <c r="E606" s="1" t="n">
        <v>1</v>
      </c>
      <c r="F606" s="3" t="s">
        <v>20</v>
      </c>
      <c r="G606" s="3" t="s">
        <v>2553</v>
      </c>
      <c r="H606" s="1" t="s">
        <v>22</v>
      </c>
      <c r="I606" s="1" t="n">
        <v>20240430092346</v>
      </c>
      <c r="J606" s="3" t="s">
        <v>2554</v>
      </c>
      <c r="K606" s="3" t="s">
        <v>2555</v>
      </c>
      <c r="L606" s="3" t="s">
        <v>2556</v>
      </c>
      <c r="M606" s="3" t="n">
        <v>219604</v>
      </c>
      <c r="N606" s="3" t="s">
        <v>2557</v>
      </c>
      <c r="O606" s="1" t="n">
        <v>203218</v>
      </c>
      <c r="P606" s="1" t="n">
        <v>92.54</v>
      </c>
      <c r="Q606" s="1" t="s">
        <v>20</v>
      </c>
      <c r="R606" s="1" t="s">
        <v>27</v>
      </c>
      <c r="S606" s="1" t="s">
        <v>28</v>
      </c>
      <c r="T606" s="1" t="s">
        <v>29</v>
      </c>
    </row>
    <row r="607" customFormat="false" ht="18.7" hidden="false" customHeight="true" outlineLevel="0" collapsed="false">
      <c r="A607" s="1" t="n">
        <v>606</v>
      </c>
      <c r="B607" s="6" t="str">
        <f aca="false">HYPERLINK("https://mncourtfraud.com/file/MCRO_27-CR-19-28883_Returned Mail_2021-04-08_20240430092402.pdf","MCRO_27-CR-19-28883_Returned Mail_2021-04-08_20240430092402.pdf")</f>
        <v>MCRO_27-CR-19-28883_Returned Mail_2021-04-08_20240430092402.pdf</v>
      </c>
      <c r="C607" s="1" t="n">
        <v>4</v>
      </c>
      <c r="D607" s="1" t="n">
        <v>1</v>
      </c>
      <c r="E607" s="1" t="n">
        <v>1</v>
      </c>
      <c r="F607" s="3" t="s">
        <v>20</v>
      </c>
      <c r="G607" s="3" t="s">
        <v>2558</v>
      </c>
      <c r="H607" s="1" t="s">
        <v>22</v>
      </c>
      <c r="I607" s="1" t="n">
        <v>20240430092402</v>
      </c>
      <c r="J607" s="3" t="s">
        <v>2559</v>
      </c>
      <c r="K607" s="3" t="s">
        <v>2560</v>
      </c>
      <c r="L607" s="3" t="s">
        <v>2561</v>
      </c>
      <c r="M607" s="3" t="n">
        <v>97992</v>
      </c>
      <c r="N607" s="3" t="s">
        <v>456</v>
      </c>
      <c r="O607" s="1" t="n">
        <v>81606</v>
      </c>
      <c r="P607" s="1" t="n">
        <v>83.28</v>
      </c>
      <c r="Q607" s="1" t="s">
        <v>20</v>
      </c>
      <c r="R607" s="1" t="s">
        <v>27</v>
      </c>
      <c r="S607" s="1" t="s">
        <v>28</v>
      </c>
      <c r="T607" s="1" t="s">
        <v>29</v>
      </c>
    </row>
    <row r="608" customFormat="false" ht="18.7" hidden="false" customHeight="true" outlineLevel="0" collapsed="false">
      <c r="A608" s="1" t="n">
        <v>607</v>
      </c>
      <c r="B608" s="6" t="str">
        <f aca="false">HYPERLINK("https://mncourtfraud.com/file/MCRO_27-CR-19-28883_Returned Mail_2022-04-12_20240430092353.pdf","MCRO_27-CR-19-28883_Returned Mail_2022-04-12_20240430092353.pdf")</f>
        <v>MCRO_27-CR-19-28883_Returned Mail_2022-04-12_20240430092353.pdf</v>
      </c>
      <c r="C608" s="1" t="n">
        <v>4</v>
      </c>
      <c r="D608" s="1" t="n">
        <v>1</v>
      </c>
      <c r="E608" s="1" t="n">
        <v>1</v>
      </c>
      <c r="F608" s="3" t="s">
        <v>20</v>
      </c>
      <c r="G608" s="3" t="s">
        <v>2562</v>
      </c>
      <c r="H608" s="1" t="s">
        <v>22</v>
      </c>
      <c r="I608" s="1" t="n">
        <v>20240430092353</v>
      </c>
      <c r="J608" s="3" t="s">
        <v>2563</v>
      </c>
      <c r="K608" s="3" t="s">
        <v>2564</v>
      </c>
      <c r="L608" s="3" t="s">
        <v>2565</v>
      </c>
      <c r="M608" s="3" t="n">
        <v>76162</v>
      </c>
      <c r="N608" s="3" t="s">
        <v>1307</v>
      </c>
      <c r="O608" s="1" t="n">
        <v>59776</v>
      </c>
      <c r="P608" s="1" t="n">
        <v>78.49</v>
      </c>
      <c r="Q608" s="1" t="s">
        <v>20</v>
      </c>
      <c r="R608" s="1" t="s">
        <v>27</v>
      </c>
      <c r="S608" s="1" t="s">
        <v>28</v>
      </c>
      <c r="T608" s="1" t="s">
        <v>29</v>
      </c>
    </row>
    <row r="609" customFormat="false" ht="18.7" hidden="false" customHeight="true" outlineLevel="0" collapsed="false">
      <c r="A609" s="1" t="n">
        <v>608</v>
      </c>
      <c r="B609" s="6" t="str">
        <f aca="false">HYPERLINK("https://mncourtfraud.com/file/MCRO_27-CR-19-3539_Amended Order_2019-10-04_20240430091355.pdf","MCRO_27-CR-19-3539_Amended Order_2019-10-04_20240430091355.pdf")</f>
        <v>MCRO_27-CR-19-3539_Amended Order_2019-10-04_20240430091355.pdf</v>
      </c>
      <c r="C609" s="1" t="n">
        <v>4</v>
      </c>
      <c r="D609" s="1" t="n">
        <v>1</v>
      </c>
      <c r="E609" s="1" t="n">
        <v>1</v>
      </c>
      <c r="F609" s="3" t="s">
        <v>20</v>
      </c>
      <c r="G609" s="3" t="s">
        <v>2566</v>
      </c>
      <c r="H609" s="1" t="s">
        <v>22</v>
      </c>
      <c r="I609" s="1" t="n">
        <v>20240430091355</v>
      </c>
      <c r="J609" s="3" t="s">
        <v>2567</v>
      </c>
      <c r="K609" s="3" t="s">
        <v>2568</v>
      </c>
      <c r="L609" s="3" t="s">
        <v>1848</v>
      </c>
      <c r="M609" s="3" t="n">
        <v>91713</v>
      </c>
      <c r="N609" s="3" t="s">
        <v>137</v>
      </c>
      <c r="O609" s="1" t="n">
        <v>75327</v>
      </c>
      <c r="P609" s="1" t="n">
        <v>82.13</v>
      </c>
      <c r="Q609" s="1" t="s">
        <v>20</v>
      </c>
      <c r="R609" s="1" t="s">
        <v>27</v>
      </c>
      <c r="S609" s="1" t="s">
        <v>28</v>
      </c>
      <c r="T609" s="1" t="s">
        <v>29</v>
      </c>
    </row>
    <row r="610" customFormat="false" ht="18.7" hidden="false" customHeight="true" outlineLevel="0" collapsed="false">
      <c r="A610" s="1" t="n">
        <v>609</v>
      </c>
      <c r="B610" s="6" t="str">
        <f aca="false">HYPERLINK("https://mncourtfraud.com/file/MCRO_27-CR-19-3539_Correspondence for Judicial Approval_2020-06-04_20240430091351.pdf","MCRO_27-CR-19-3539_Correspondence for Judicial Approval_2020-06-04_20240430091351.pdf")</f>
        <v>MCRO_27-CR-19-3539_Correspondence for Judicial Approval_2020-06-04_20240430091351.pdf</v>
      </c>
      <c r="C610" s="1" t="n">
        <v>4</v>
      </c>
      <c r="D610" s="1" t="n">
        <v>1</v>
      </c>
      <c r="E610" s="1" t="n">
        <v>1</v>
      </c>
      <c r="F610" s="3" t="s">
        <v>20</v>
      </c>
      <c r="G610" s="3" t="s">
        <v>2569</v>
      </c>
      <c r="H610" s="1" t="s">
        <v>22</v>
      </c>
      <c r="I610" s="1" t="n">
        <v>20240430091351</v>
      </c>
      <c r="J610" s="3" t="s">
        <v>2570</v>
      </c>
      <c r="K610" s="3" t="s">
        <v>2571</v>
      </c>
      <c r="L610" s="3" t="s">
        <v>1852</v>
      </c>
      <c r="M610" s="3" t="n">
        <v>308465</v>
      </c>
      <c r="N610" s="3" t="s">
        <v>366</v>
      </c>
      <c r="O610" s="1" t="n">
        <v>292079</v>
      </c>
      <c r="P610" s="1" t="n">
        <v>94.69</v>
      </c>
      <c r="Q610" s="1" t="s">
        <v>20</v>
      </c>
      <c r="R610" s="1" t="s">
        <v>27</v>
      </c>
      <c r="S610" s="1" t="s">
        <v>28</v>
      </c>
      <c r="T610" s="1" t="s">
        <v>29</v>
      </c>
    </row>
    <row r="611" customFormat="false" ht="18.7" hidden="false" customHeight="true" outlineLevel="0" collapsed="false">
      <c r="A611" s="1" t="n">
        <v>610</v>
      </c>
      <c r="B611" s="6" t="str">
        <f aca="false">HYPERLINK("https://mncourtfraud.com/file/MCRO_27-CR-19-3539_Correspondence for Judicial Approval_2022-07-14_20240430091335.pdf","MCRO_27-CR-19-3539_Correspondence for Judicial Approval_2022-07-14_20240430091335.pdf")</f>
        <v>MCRO_27-CR-19-3539_Correspondence for Judicial Approval_2022-07-14_20240430091335.pdf</v>
      </c>
      <c r="C611" s="1" t="n">
        <v>3</v>
      </c>
      <c r="D611" s="1" t="n">
        <v>1</v>
      </c>
      <c r="E611" s="1" t="n">
        <v>1</v>
      </c>
      <c r="F611" s="3" t="s">
        <v>20</v>
      </c>
      <c r="G611" s="3" t="s">
        <v>2572</v>
      </c>
      <c r="H611" s="1" t="s">
        <v>22</v>
      </c>
      <c r="I611" s="1" t="n">
        <v>20240430091335</v>
      </c>
      <c r="J611" s="3" t="s">
        <v>2573</v>
      </c>
      <c r="K611" s="3" t="s">
        <v>2574</v>
      </c>
      <c r="L611" s="3" t="s">
        <v>2575</v>
      </c>
      <c r="M611" s="3" t="n">
        <v>193491</v>
      </c>
      <c r="N611" s="3" t="s">
        <v>371</v>
      </c>
      <c r="O611" s="1" t="n">
        <v>177105</v>
      </c>
      <c r="P611" s="1" t="n">
        <v>91.53</v>
      </c>
      <c r="Q611" s="1" t="s">
        <v>20</v>
      </c>
      <c r="R611" s="1" t="s">
        <v>27</v>
      </c>
      <c r="S611" s="1" t="s">
        <v>28</v>
      </c>
      <c r="T611" s="1" t="s">
        <v>29</v>
      </c>
    </row>
    <row r="612" customFormat="false" ht="18.7" hidden="false" customHeight="true" outlineLevel="0" collapsed="false">
      <c r="A612" s="1" t="n">
        <v>611</v>
      </c>
      <c r="B612" s="6" t="str">
        <f aca="false">HYPERLINK("https://mncourtfraud.com/file/MCRO_27-CR-19-3539_E-filed Comp-Summons_2019-02-11_20240430091400.pdf","MCRO_27-CR-19-3539_E-filed Comp-Summons_2019-02-11_20240430091400.pdf")</f>
        <v>MCRO_27-CR-19-3539_E-filed Comp-Summons_2019-02-11_20240430091400.pdf</v>
      </c>
      <c r="C612" s="1" t="n">
        <v>4</v>
      </c>
      <c r="D612" s="1" t="n">
        <v>2</v>
      </c>
      <c r="E612" s="1" t="n">
        <v>2</v>
      </c>
      <c r="F612" s="3" t="s">
        <v>20</v>
      </c>
      <c r="G612" s="3" t="s">
        <v>2576</v>
      </c>
      <c r="H612" s="1" t="s">
        <v>22</v>
      </c>
      <c r="I612" s="1" t="n">
        <v>20240430091400</v>
      </c>
      <c r="J612" s="3" t="s">
        <v>2577</v>
      </c>
      <c r="K612" s="3" t="s">
        <v>2578</v>
      </c>
      <c r="L612" s="3" t="s">
        <v>2579</v>
      </c>
      <c r="M612" s="3" t="n">
        <v>475444</v>
      </c>
      <c r="N612" s="3" t="s">
        <v>2580</v>
      </c>
      <c r="O612" s="1" t="n">
        <v>459058</v>
      </c>
      <c r="P612" s="1" t="n">
        <v>96.55</v>
      </c>
      <c r="Q612" s="1" t="s">
        <v>20</v>
      </c>
      <c r="R612" s="1" t="s">
        <v>27</v>
      </c>
      <c r="S612" s="1" t="s">
        <v>28</v>
      </c>
      <c r="T612" s="1" t="s">
        <v>29</v>
      </c>
    </row>
    <row r="613" customFormat="false" ht="18.7" hidden="false" customHeight="true" outlineLevel="0" collapsed="false">
      <c r="A613" s="1" t="n">
        <v>612</v>
      </c>
      <c r="B613" s="6" t="str">
        <f aca="false">HYPERLINK("https://mncourtfraud.com/file/MCRO_27-CR-19-3539_Finding of Incompetency and Order_2023-06-06_20240430091325.pdf","MCRO_27-CR-19-3539_Finding of Incompetency and Order_2023-06-06_20240430091325.pdf")</f>
        <v>MCRO_27-CR-19-3539_Finding of Incompetency and Order_2023-06-06_20240430091325.pdf</v>
      </c>
      <c r="C613" s="1" t="n">
        <v>9</v>
      </c>
      <c r="D613" s="1" t="n">
        <v>3</v>
      </c>
      <c r="E613" s="1" t="n">
        <v>3</v>
      </c>
      <c r="F613" s="3" t="s">
        <v>27</v>
      </c>
      <c r="G613" s="3" t="s">
        <v>2581</v>
      </c>
      <c r="H613" s="1" t="s">
        <v>22</v>
      </c>
      <c r="I613" s="1" t="n">
        <v>20240430091325</v>
      </c>
      <c r="J613" s="3" t="s">
        <v>2582</v>
      </c>
      <c r="K613" s="3" t="s">
        <v>2583</v>
      </c>
      <c r="L613" s="3" t="s">
        <v>1711</v>
      </c>
      <c r="M613" s="3" t="n">
        <v>963637</v>
      </c>
      <c r="N613" s="3" t="s">
        <v>385</v>
      </c>
      <c r="O613" s="1" t="n">
        <v>947251</v>
      </c>
      <c r="P613" s="1" t="n">
        <v>98.3</v>
      </c>
      <c r="Q613" s="1" t="s">
        <v>20</v>
      </c>
      <c r="R613" s="1" t="s">
        <v>27</v>
      </c>
      <c r="S613" s="1" t="s">
        <v>28</v>
      </c>
      <c r="T613" s="1" t="s">
        <v>29</v>
      </c>
    </row>
    <row r="614" customFormat="false" ht="18.7" hidden="false" customHeight="true" outlineLevel="0" collapsed="false">
      <c r="A614" s="1" t="n">
        <v>613</v>
      </c>
      <c r="B614" s="6" t="str">
        <f aca="false">HYPERLINK("https://mncourtfraud.com/file/MCRO_27-CR-19-3539_Finding of Incompetency and Order_2024-03-20_20240430091319.pdf","MCRO_27-CR-19-3539_Finding of Incompetency and Order_2024-03-20_20240430091319.pdf")</f>
        <v>MCRO_27-CR-19-3539_Finding of Incompetency and Order_2024-03-20_20240430091319.pdf</v>
      </c>
      <c r="C614" s="1" t="n">
        <v>9</v>
      </c>
      <c r="D614" s="1" t="n">
        <v>3</v>
      </c>
      <c r="E614" s="1" t="n">
        <v>3</v>
      </c>
      <c r="F614" s="3" t="s">
        <v>20</v>
      </c>
      <c r="G614" s="3" t="s">
        <v>2584</v>
      </c>
      <c r="H614" s="1" t="s">
        <v>22</v>
      </c>
      <c r="I614" s="1" t="n">
        <v>20240430091319</v>
      </c>
      <c r="J614" s="3" t="s">
        <v>2585</v>
      </c>
      <c r="K614" s="3" t="s">
        <v>2586</v>
      </c>
      <c r="L614" s="3" t="s">
        <v>389</v>
      </c>
      <c r="M614" s="3" t="n">
        <v>959873</v>
      </c>
      <c r="N614" s="3" t="s">
        <v>390</v>
      </c>
      <c r="O614" s="1" t="n">
        <v>943487</v>
      </c>
      <c r="P614" s="1" t="n">
        <v>98.29</v>
      </c>
      <c r="Q614" s="1" t="s">
        <v>20</v>
      </c>
      <c r="R614" s="1" t="s">
        <v>27</v>
      </c>
      <c r="S614" s="1" t="s">
        <v>28</v>
      </c>
      <c r="T614" s="1" t="s">
        <v>29</v>
      </c>
    </row>
    <row r="615" customFormat="false" ht="18.7" hidden="false" customHeight="true" outlineLevel="0" collapsed="false">
      <c r="A615" s="1" t="n">
        <v>614</v>
      </c>
      <c r="B615" s="6" t="str">
        <f aca="false">HYPERLINK("https://mncourtfraud.com/file/MCRO_27-CR-19-3539_Find of Fact-Order, Pet Commitment-Dfd Found Incompetent_2019-02-26_20240430091359.pdf","MCRO_27-CR-19-3539_Find of Fact-Order, Pet Commitment-Dfd Found Incompetent_2019-02-26_20240430091359.pdf")</f>
        <v>MCRO_27-CR-19-3539_Find of Fact-Order, Pet Commitment-Dfd Found Incompetent_2019-02-26_20240430091359.pdf</v>
      </c>
      <c r="C615" s="1" t="n">
        <v>4</v>
      </c>
      <c r="D615" s="1" t="n">
        <v>2</v>
      </c>
      <c r="E615" s="1" t="n">
        <v>2</v>
      </c>
      <c r="F615" s="3" t="s">
        <v>20</v>
      </c>
      <c r="G615" s="3" t="s">
        <v>2587</v>
      </c>
      <c r="H615" s="1" t="s">
        <v>22</v>
      </c>
      <c r="I615" s="1" t="n">
        <v>20240430091359</v>
      </c>
      <c r="J615" s="3" t="s">
        <v>2588</v>
      </c>
      <c r="K615" s="3" t="s">
        <v>2589</v>
      </c>
      <c r="L615" s="3" t="s">
        <v>2590</v>
      </c>
      <c r="M615" s="3" t="n">
        <v>277272</v>
      </c>
      <c r="N615" s="3" t="s">
        <v>395</v>
      </c>
      <c r="O615" s="1" t="n">
        <v>260886</v>
      </c>
      <c r="P615" s="1" t="n">
        <v>94.09</v>
      </c>
      <c r="Q615" s="1" t="s">
        <v>20</v>
      </c>
      <c r="R615" s="1" t="s">
        <v>27</v>
      </c>
      <c r="S615" s="1" t="s">
        <v>28</v>
      </c>
      <c r="T615" s="1" t="s">
        <v>29</v>
      </c>
    </row>
    <row r="616" customFormat="false" ht="18.7" hidden="false" customHeight="true" outlineLevel="0" collapsed="false">
      <c r="A616" s="1" t="n">
        <v>615</v>
      </c>
      <c r="B616" s="6" t="str">
        <f aca="false">HYPERLINK("https://mncourtfraud.com/file/MCRO_27-CR-19-3539_Find of Fact-Order, Pet Commitment-Dfd Found Incompetent_2019-08-27_20240430091356.pdf","MCRO_27-CR-19-3539_Find of Fact-Order, Pet Commitment-Dfd Found Incompetent_2019-08-27_20240430091356.pdf")</f>
        <v>MCRO_27-CR-19-3539_Find of Fact-Order, Pet Commitment-Dfd Found Incompetent_2019-08-27_20240430091356.pdf</v>
      </c>
      <c r="C616" s="1" t="n">
        <v>4</v>
      </c>
      <c r="D616" s="1" t="n">
        <v>2</v>
      </c>
      <c r="E616" s="1" t="n">
        <v>2</v>
      </c>
      <c r="F616" s="3" t="s">
        <v>20</v>
      </c>
      <c r="G616" s="3" t="s">
        <v>2591</v>
      </c>
      <c r="H616" s="1" t="s">
        <v>22</v>
      </c>
      <c r="I616" s="1" t="n">
        <v>20240430091356</v>
      </c>
      <c r="J616" s="3" t="s">
        <v>2592</v>
      </c>
      <c r="K616" s="3" t="s">
        <v>2593</v>
      </c>
      <c r="L616" s="3" t="s">
        <v>2594</v>
      </c>
      <c r="M616" s="3" t="n">
        <v>302469</v>
      </c>
      <c r="N616" s="3" t="s">
        <v>400</v>
      </c>
      <c r="O616" s="1" t="n">
        <v>286083</v>
      </c>
      <c r="P616" s="1" t="n">
        <v>94.58</v>
      </c>
      <c r="Q616" s="1" t="s">
        <v>20</v>
      </c>
      <c r="R616" s="1" t="s">
        <v>27</v>
      </c>
      <c r="S616" s="1" t="s">
        <v>28</v>
      </c>
      <c r="T616" s="1" t="s">
        <v>29</v>
      </c>
    </row>
    <row r="617" customFormat="false" ht="18.7" hidden="false" customHeight="true" outlineLevel="0" collapsed="false">
      <c r="A617" s="1" t="n">
        <v>616</v>
      </c>
      <c r="B617" s="6" t="str">
        <f aca="false">HYPERLINK("https://mncourtfraud.com/file/MCRO_27-CR-19-3539_Notice by Attorney or Party_2021-04-01_20240430091342.pdf","MCRO_27-CR-19-3539_Notice by Attorney or Party_2021-04-01_20240430091342.pdf")</f>
        <v>MCRO_27-CR-19-3539_Notice by Attorney or Party_2021-04-01_20240430091342.pdf</v>
      </c>
      <c r="C617" s="1" t="n">
        <v>4</v>
      </c>
      <c r="D617" s="1" t="n">
        <v>1</v>
      </c>
      <c r="E617" s="1" t="n">
        <v>1</v>
      </c>
      <c r="F617" s="3" t="s">
        <v>20</v>
      </c>
      <c r="G617" s="3" t="s">
        <v>2595</v>
      </c>
      <c r="H617" s="1" t="s">
        <v>22</v>
      </c>
      <c r="I617" s="1" t="n">
        <v>20240430091342</v>
      </c>
      <c r="J617" s="3" t="s">
        <v>2596</v>
      </c>
      <c r="K617" s="3" t="s">
        <v>2597</v>
      </c>
      <c r="L617" s="3" t="s">
        <v>1884</v>
      </c>
      <c r="M617" s="3" t="n">
        <v>143450</v>
      </c>
      <c r="N617" s="3" t="s">
        <v>418</v>
      </c>
      <c r="O617" s="1" t="n">
        <v>127064</v>
      </c>
      <c r="P617" s="1" t="n">
        <v>88.58</v>
      </c>
      <c r="Q617" s="1" t="s">
        <v>20</v>
      </c>
      <c r="R617" s="1" t="s">
        <v>27</v>
      </c>
      <c r="S617" s="1" t="s">
        <v>28</v>
      </c>
      <c r="T617" s="1" t="s">
        <v>29</v>
      </c>
    </row>
    <row r="618" customFormat="false" ht="18.7" hidden="false" customHeight="true" outlineLevel="0" collapsed="false">
      <c r="A618" s="1" t="n">
        <v>617</v>
      </c>
      <c r="B618" s="6" t="str">
        <f aca="false">HYPERLINK("https://mncourtfraud.com/file/MCRO_27-CR-19-3539_Notice of Appearance_2020-02-25_20240430091352.pdf","MCRO_27-CR-19-3539_Notice of Appearance_2020-02-25_20240430091352.pdf")</f>
        <v>MCRO_27-CR-19-3539_Notice of Appearance_2020-02-25_20240430091352.pdf</v>
      </c>
      <c r="C618" s="1" t="n">
        <v>4</v>
      </c>
      <c r="D618" s="1" t="n">
        <v>1</v>
      </c>
      <c r="E618" s="1" t="n">
        <v>1</v>
      </c>
      <c r="F618" s="3" t="s">
        <v>20</v>
      </c>
      <c r="G618" s="3" t="s">
        <v>2598</v>
      </c>
      <c r="H618" s="1" t="s">
        <v>22</v>
      </c>
      <c r="I618" s="1" t="n">
        <v>20240430091352</v>
      </c>
      <c r="J618" s="3" t="s">
        <v>2599</v>
      </c>
      <c r="K618" s="3" t="s">
        <v>2600</v>
      </c>
      <c r="L618" s="3" t="s">
        <v>2601</v>
      </c>
      <c r="M618" s="3" t="n">
        <v>516249</v>
      </c>
      <c r="N618" s="3" t="s">
        <v>137</v>
      </c>
      <c r="O618" s="1" t="n">
        <v>499863</v>
      </c>
      <c r="P618" s="1" t="n">
        <v>96.83</v>
      </c>
      <c r="Q618" s="1" t="s">
        <v>20</v>
      </c>
      <c r="R618" s="1" t="s">
        <v>27</v>
      </c>
      <c r="S618" s="1" t="s">
        <v>28</v>
      </c>
      <c r="T618" s="1" t="s">
        <v>29</v>
      </c>
    </row>
    <row r="619" customFormat="false" ht="18.7" hidden="false" customHeight="true" outlineLevel="0" collapsed="false">
      <c r="A619" s="1" t="n">
        <v>618</v>
      </c>
      <c r="B619" s="6" t="str">
        <f aca="false">HYPERLINK("https://mncourtfraud.com/file/MCRO_27-CR-19-3539_Notice of Hearing_2020-09-02_20240430091348.pdf","MCRO_27-CR-19-3539_Notice of Hearing_2020-09-02_20240430091348.pdf")</f>
        <v>MCRO_27-CR-19-3539_Notice of Hearing_2020-09-02_20240430091348.pdf</v>
      </c>
      <c r="C619" s="1" t="n">
        <v>4</v>
      </c>
      <c r="D619" s="1" t="n">
        <v>1</v>
      </c>
      <c r="E619" s="1" t="n">
        <v>1</v>
      </c>
      <c r="F619" s="3" t="s">
        <v>20</v>
      </c>
      <c r="G619" s="3" t="s">
        <v>2602</v>
      </c>
      <c r="H619" s="1" t="s">
        <v>22</v>
      </c>
      <c r="I619" s="1" t="n">
        <v>20240430091348</v>
      </c>
      <c r="J619" s="3" t="s">
        <v>2603</v>
      </c>
      <c r="K619" s="3" t="s">
        <v>2604</v>
      </c>
      <c r="L619" s="3" t="s">
        <v>1896</v>
      </c>
      <c r="M619" s="3" t="n">
        <v>101108</v>
      </c>
      <c r="N619" s="3" t="s">
        <v>137</v>
      </c>
      <c r="O619" s="1" t="n">
        <v>84722</v>
      </c>
      <c r="P619" s="1" t="n">
        <v>83.79</v>
      </c>
      <c r="Q619" s="1" t="s">
        <v>20</v>
      </c>
      <c r="R619" s="1" t="s">
        <v>27</v>
      </c>
      <c r="S619" s="1" t="s">
        <v>28</v>
      </c>
      <c r="T619" s="1" t="s">
        <v>29</v>
      </c>
    </row>
    <row r="620" customFormat="false" ht="18.7" hidden="false" customHeight="true" outlineLevel="0" collapsed="false">
      <c r="A620" s="1" t="n">
        <v>619</v>
      </c>
      <c r="B620" s="6" t="str">
        <f aca="false">HYPERLINK("https://mncourtfraud.com/file/MCRO_27-CR-19-3539_Notice of Hearing_2020-09-23_20240430091347.pdf","MCRO_27-CR-19-3539_Notice of Hearing_2020-09-23_20240430091347.pdf")</f>
        <v>MCRO_27-CR-19-3539_Notice of Hearing_2020-09-23_20240430091347.pdf</v>
      </c>
      <c r="C620" s="1" t="n">
        <v>4</v>
      </c>
      <c r="D620" s="1" t="n">
        <v>1</v>
      </c>
      <c r="E620" s="1" t="n">
        <v>1</v>
      </c>
      <c r="F620" s="3" t="s">
        <v>20</v>
      </c>
      <c r="G620" s="3" t="s">
        <v>2605</v>
      </c>
      <c r="H620" s="1" t="s">
        <v>22</v>
      </c>
      <c r="I620" s="1" t="n">
        <v>20240430091347</v>
      </c>
      <c r="J620" s="3" t="s">
        <v>2606</v>
      </c>
      <c r="K620" s="3" t="s">
        <v>2607</v>
      </c>
      <c r="L620" s="3" t="s">
        <v>2608</v>
      </c>
      <c r="M620" s="3" t="n">
        <v>89588</v>
      </c>
      <c r="N620" s="3" t="s">
        <v>137</v>
      </c>
      <c r="O620" s="1" t="n">
        <v>73202</v>
      </c>
      <c r="P620" s="1" t="n">
        <v>81.71</v>
      </c>
      <c r="Q620" s="1" t="s">
        <v>20</v>
      </c>
      <c r="R620" s="1" t="s">
        <v>27</v>
      </c>
      <c r="S620" s="1" t="s">
        <v>28</v>
      </c>
      <c r="T620" s="1" t="s">
        <v>29</v>
      </c>
    </row>
    <row r="621" customFormat="false" ht="18.7" hidden="false" customHeight="true" outlineLevel="0" collapsed="false">
      <c r="A621" s="1" t="n">
        <v>620</v>
      </c>
      <c r="B621" s="6" t="str">
        <f aca="false">HYPERLINK("https://mncourtfraud.com/file/MCRO_27-CR-19-3539_Notice of Hearing_2020-10-27_20240430091346.pdf","MCRO_27-CR-19-3539_Notice of Hearing_2020-10-27_20240430091346.pdf")</f>
        <v>MCRO_27-CR-19-3539_Notice of Hearing_2020-10-27_20240430091346.pdf</v>
      </c>
      <c r="C621" s="1" t="n">
        <v>4</v>
      </c>
      <c r="D621" s="1" t="n">
        <v>1</v>
      </c>
      <c r="E621" s="1" t="n">
        <v>1</v>
      </c>
      <c r="F621" s="3" t="s">
        <v>20</v>
      </c>
      <c r="G621" s="3" t="s">
        <v>2609</v>
      </c>
      <c r="H621" s="1" t="s">
        <v>22</v>
      </c>
      <c r="I621" s="1" t="n">
        <v>20240430091346</v>
      </c>
      <c r="J621" s="3" t="s">
        <v>2610</v>
      </c>
      <c r="K621" s="3" t="s">
        <v>2611</v>
      </c>
      <c r="L621" s="3" t="s">
        <v>1904</v>
      </c>
      <c r="M621" s="3" t="n">
        <v>89771</v>
      </c>
      <c r="N621" s="3" t="s">
        <v>137</v>
      </c>
      <c r="O621" s="1" t="n">
        <v>73385</v>
      </c>
      <c r="P621" s="1" t="n">
        <v>81.75</v>
      </c>
      <c r="Q621" s="1" t="s">
        <v>20</v>
      </c>
      <c r="R621" s="1" t="s">
        <v>27</v>
      </c>
      <c r="S621" s="1" t="s">
        <v>28</v>
      </c>
      <c r="T621" s="1" t="s">
        <v>29</v>
      </c>
    </row>
    <row r="622" customFormat="false" ht="18.7" hidden="false" customHeight="true" outlineLevel="0" collapsed="false">
      <c r="A622" s="1" t="n">
        <v>621</v>
      </c>
      <c r="B622" s="6" t="str">
        <f aca="false">HYPERLINK("https://mncourtfraud.com/file/MCRO_27-CR-19-3539_Notice of Hearing_2020-11-17_20240430091344.pdf","MCRO_27-CR-19-3539_Notice of Hearing_2020-11-17_20240430091344.pdf")</f>
        <v>MCRO_27-CR-19-3539_Notice of Hearing_2020-11-17_20240430091344.pdf</v>
      </c>
      <c r="C622" s="1" t="n">
        <v>4</v>
      </c>
      <c r="D622" s="1" t="n">
        <v>1</v>
      </c>
      <c r="E622" s="1" t="n">
        <v>1</v>
      </c>
      <c r="F622" s="3" t="s">
        <v>20</v>
      </c>
      <c r="G622" s="3" t="s">
        <v>2612</v>
      </c>
      <c r="H622" s="1" t="s">
        <v>22</v>
      </c>
      <c r="I622" s="1" t="n">
        <v>20240430091344</v>
      </c>
      <c r="J622" s="3" t="s">
        <v>2613</v>
      </c>
      <c r="K622" s="3" t="s">
        <v>2614</v>
      </c>
      <c r="L622" s="3" t="s">
        <v>1908</v>
      </c>
      <c r="M622" s="3" t="n">
        <v>92110</v>
      </c>
      <c r="N622" s="3" t="s">
        <v>456</v>
      </c>
      <c r="O622" s="1" t="n">
        <v>75724</v>
      </c>
      <c r="P622" s="1" t="n">
        <v>82.21</v>
      </c>
      <c r="Q622" s="1" t="s">
        <v>20</v>
      </c>
      <c r="R622" s="1" t="s">
        <v>27</v>
      </c>
      <c r="S622" s="1" t="s">
        <v>28</v>
      </c>
      <c r="T622" s="1" t="s">
        <v>29</v>
      </c>
    </row>
    <row r="623" customFormat="false" ht="18.7" hidden="false" customHeight="true" outlineLevel="0" collapsed="false">
      <c r="A623" s="1" t="n">
        <v>622</v>
      </c>
      <c r="B623" s="6" t="str">
        <f aca="false">HYPERLINK("https://mncourtfraud.com/file/MCRO_27-CR-19-3539_Notice of Hearing_2021-01-13_20240430091343.pdf","MCRO_27-CR-19-3539_Notice of Hearing_2021-01-13_20240430091343.pdf")</f>
        <v>MCRO_27-CR-19-3539_Notice of Hearing_2021-01-13_20240430091343.pdf</v>
      </c>
      <c r="C623" s="1" t="n">
        <v>4</v>
      </c>
      <c r="D623" s="1" t="n">
        <v>1</v>
      </c>
      <c r="E623" s="1" t="n">
        <v>1</v>
      </c>
      <c r="F623" s="3" t="s">
        <v>20</v>
      </c>
      <c r="G623" s="3" t="s">
        <v>2615</v>
      </c>
      <c r="H623" s="1" t="s">
        <v>22</v>
      </c>
      <c r="I623" s="1" t="n">
        <v>20240430091343</v>
      </c>
      <c r="J623" s="3" t="s">
        <v>2616</v>
      </c>
      <c r="K623" s="3" t="s">
        <v>2617</v>
      </c>
      <c r="L623" s="3" t="s">
        <v>1912</v>
      </c>
      <c r="M623" s="3" t="n">
        <v>96979</v>
      </c>
      <c r="N623" s="3" t="s">
        <v>456</v>
      </c>
      <c r="O623" s="1" t="n">
        <v>80593</v>
      </c>
      <c r="P623" s="1" t="n">
        <v>83.1</v>
      </c>
      <c r="Q623" s="1" t="s">
        <v>20</v>
      </c>
      <c r="R623" s="1" t="s">
        <v>27</v>
      </c>
      <c r="S623" s="1" t="s">
        <v>28</v>
      </c>
      <c r="T623" s="1" t="s">
        <v>29</v>
      </c>
    </row>
    <row r="624" customFormat="false" ht="18.7" hidden="false" customHeight="true" outlineLevel="0" collapsed="false">
      <c r="A624" s="1" t="n">
        <v>623</v>
      </c>
      <c r="B624" s="6" t="str">
        <f aca="false">HYPERLINK("https://mncourtfraud.com/file/MCRO_27-CR-19-3539_Notice of Hearing_2021-07-14_20240430091339.pdf","MCRO_27-CR-19-3539_Notice of Hearing_2021-07-14_20240430091339.pdf")</f>
        <v>MCRO_27-CR-19-3539_Notice of Hearing_2021-07-14_20240430091339.pdf</v>
      </c>
      <c r="C624" s="1" t="n">
        <v>4</v>
      </c>
      <c r="D624" s="1" t="n">
        <v>1</v>
      </c>
      <c r="E624" s="1" t="n">
        <v>1</v>
      </c>
      <c r="F624" s="3" t="s">
        <v>20</v>
      </c>
      <c r="G624" s="3" t="s">
        <v>2618</v>
      </c>
      <c r="H624" s="1" t="s">
        <v>22</v>
      </c>
      <c r="I624" s="1" t="n">
        <v>20240430091339</v>
      </c>
      <c r="J624" s="3" t="s">
        <v>2619</v>
      </c>
      <c r="K624" s="3" t="s">
        <v>2620</v>
      </c>
      <c r="L624" s="3" t="s">
        <v>1916</v>
      </c>
      <c r="M624" s="3" t="n">
        <v>98416</v>
      </c>
      <c r="N624" s="3" t="s">
        <v>456</v>
      </c>
      <c r="O624" s="1" t="n">
        <v>82030</v>
      </c>
      <c r="P624" s="1" t="n">
        <v>83.35</v>
      </c>
      <c r="Q624" s="1" t="s">
        <v>20</v>
      </c>
      <c r="R624" s="1" t="s">
        <v>27</v>
      </c>
      <c r="S624" s="1" t="s">
        <v>28</v>
      </c>
      <c r="T624" s="1" t="s">
        <v>29</v>
      </c>
    </row>
    <row r="625" customFormat="false" ht="18.7" hidden="false" customHeight="true" outlineLevel="0" collapsed="false">
      <c r="A625" s="1" t="n">
        <v>624</v>
      </c>
      <c r="B625" s="6" t="str">
        <f aca="false">HYPERLINK("https://mncourtfraud.com/file/MCRO_27-CR-19-3539_Notice of Hearing_2022-08-29_20240430091333.pdf","MCRO_27-CR-19-3539_Notice of Hearing_2022-08-29_20240430091333.pdf")</f>
        <v>MCRO_27-CR-19-3539_Notice of Hearing_2022-08-29_20240430091333.pdf</v>
      </c>
      <c r="C625" s="1" t="n">
        <v>5</v>
      </c>
      <c r="D625" s="1" t="n">
        <v>1</v>
      </c>
      <c r="E625" s="1" t="n">
        <v>1</v>
      </c>
      <c r="F625" s="3" t="s">
        <v>20</v>
      </c>
      <c r="G625" s="3" t="s">
        <v>2621</v>
      </c>
      <c r="H625" s="1" t="s">
        <v>22</v>
      </c>
      <c r="I625" s="1" t="n">
        <v>20240430091333</v>
      </c>
      <c r="J625" s="3" t="s">
        <v>2622</v>
      </c>
      <c r="K625" s="3" t="s">
        <v>2623</v>
      </c>
      <c r="L625" s="3" t="s">
        <v>2624</v>
      </c>
      <c r="M625" s="3" t="n">
        <v>191504</v>
      </c>
      <c r="N625" s="3" t="s">
        <v>467</v>
      </c>
      <c r="O625" s="1" t="n">
        <v>175118</v>
      </c>
      <c r="P625" s="1" t="n">
        <v>91.44</v>
      </c>
      <c r="Q625" s="1" t="s">
        <v>20</v>
      </c>
      <c r="R625" s="1" t="s">
        <v>27</v>
      </c>
      <c r="S625" s="1" t="s">
        <v>28</v>
      </c>
      <c r="T625" s="1" t="s">
        <v>29</v>
      </c>
    </row>
    <row r="626" customFormat="false" ht="18.7" hidden="false" customHeight="true" outlineLevel="0" collapsed="false">
      <c r="A626" s="1" t="n">
        <v>625</v>
      </c>
      <c r="B626" s="6" t="str">
        <f aca="false">HYPERLINK("https://mncourtfraud.com/file/MCRO_27-CR-19-3539_Notice of Hearing_2022-09-15_20240430091332.pdf","MCRO_27-CR-19-3539_Notice of Hearing_2022-09-15_20240430091332.pdf")</f>
        <v>MCRO_27-CR-19-3539_Notice of Hearing_2022-09-15_20240430091332.pdf</v>
      </c>
      <c r="C626" s="1" t="n">
        <v>5</v>
      </c>
      <c r="D626" s="1" t="n">
        <v>1</v>
      </c>
      <c r="E626" s="1" t="n">
        <v>1</v>
      </c>
      <c r="F626" s="3" t="s">
        <v>20</v>
      </c>
      <c r="G626" s="3" t="s">
        <v>2625</v>
      </c>
      <c r="H626" s="1" t="s">
        <v>22</v>
      </c>
      <c r="I626" s="1" t="n">
        <v>20240430091332</v>
      </c>
      <c r="J626" s="3" t="s">
        <v>2626</v>
      </c>
      <c r="K626" s="3" t="s">
        <v>2627</v>
      </c>
      <c r="L626" s="3" t="s">
        <v>2628</v>
      </c>
      <c r="M626" s="3" t="n">
        <v>191921</v>
      </c>
      <c r="N626" s="3" t="s">
        <v>467</v>
      </c>
      <c r="O626" s="1" t="n">
        <v>175535</v>
      </c>
      <c r="P626" s="1" t="n">
        <v>91.46</v>
      </c>
      <c r="Q626" s="1" t="s">
        <v>20</v>
      </c>
      <c r="R626" s="1" t="s">
        <v>27</v>
      </c>
      <c r="S626" s="1" t="s">
        <v>28</v>
      </c>
      <c r="T626" s="1" t="s">
        <v>29</v>
      </c>
    </row>
    <row r="627" customFormat="false" ht="18.7" hidden="false" customHeight="true" outlineLevel="0" collapsed="false">
      <c r="A627" s="1" t="n">
        <v>626</v>
      </c>
      <c r="B627" s="6" t="str">
        <f aca="false">HYPERLINK("https://mncourtfraud.com/file/MCRO_27-CR-19-3539_Notice of Hearing_2022-09-21_20240430091330.pdf","MCRO_27-CR-19-3539_Notice of Hearing_2022-09-21_20240430091330.pdf")</f>
        <v>MCRO_27-CR-19-3539_Notice of Hearing_2022-09-21_20240430091330.pdf</v>
      </c>
      <c r="C627" s="1" t="n">
        <v>5</v>
      </c>
      <c r="D627" s="1" t="n">
        <v>1</v>
      </c>
      <c r="E627" s="1" t="n">
        <v>1</v>
      </c>
      <c r="F627" s="3" t="s">
        <v>20</v>
      </c>
      <c r="G627" s="3" t="s">
        <v>2629</v>
      </c>
      <c r="H627" s="1" t="s">
        <v>22</v>
      </c>
      <c r="I627" s="1" t="n">
        <v>20240430091330</v>
      </c>
      <c r="J627" s="3" t="s">
        <v>2630</v>
      </c>
      <c r="K627" s="3" t="s">
        <v>2631</v>
      </c>
      <c r="L627" s="3" t="s">
        <v>2632</v>
      </c>
      <c r="M627" s="3" t="n">
        <v>191648</v>
      </c>
      <c r="N627" s="3" t="s">
        <v>476</v>
      </c>
      <c r="O627" s="1" t="n">
        <v>175262</v>
      </c>
      <c r="P627" s="1" t="n">
        <v>91.45</v>
      </c>
      <c r="Q627" s="1" t="s">
        <v>20</v>
      </c>
      <c r="R627" s="1" t="s">
        <v>27</v>
      </c>
      <c r="S627" s="1" t="s">
        <v>28</v>
      </c>
      <c r="T627" s="1" t="s">
        <v>29</v>
      </c>
    </row>
    <row r="628" customFormat="false" ht="18.7" hidden="false" customHeight="true" outlineLevel="0" collapsed="false">
      <c r="A628" s="1" t="n">
        <v>627</v>
      </c>
      <c r="B628" s="6" t="str">
        <f aca="false">HYPERLINK("https://mncourtfraud.com/file/MCRO_27-CR-19-3539_Notice of Motion and Motion_2019-03-06_20240430091358.pdf","MCRO_27-CR-19-3539_Notice of Motion and Motion_2019-03-06_20240430091358.pdf")</f>
        <v>MCRO_27-CR-19-3539_Notice of Motion and Motion_2019-03-06_20240430091358.pdf</v>
      </c>
      <c r="C628" s="1" t="n">
        <v>3</v>
      </c>
      <c r="D628" s="1" t="n">
        <v>1</v>
      </c>
      <c r="E628" s="1" t="n">
        <v>1</v>
      </c>
      <c r="F628" s="3" t="s">
        <v>20</v>
      </c>
      <c r="G628" s="3" t="s">
        <v>2633</v>
      </c>
      <c r="H628" s="1" t="s">
        <v>22</v>
      </c>
      <c r="I628" s="1" t="n">
        <v>20240430091358</v>
      </c>
      <c r="J628" s="3" t="s">
        <v>2634</v>
      </c>
      <c r="K628" s="3" t="s">
        <v>2635</v>
      </c>
      <c r="L628" s="3" t="s">
        <v>2636</v>
      </c>
      <c r="M628" s="3" t="n">
        <v>231447</v>
      </c>
      <c r="N628" s="3" t="s">
        <v>481</v>
      </c>
      <c r="O628" s="1" t="n">
        <v>215061</v>
      </c>
      <c r="P628" s="1" t="n">
        <v>92.92</v>
      </c>
      <c r="Q628" s="1" t="s">
        <v>20</v>
      </c>
      <c r="R628" s="1" t="s">
        <v>27</v>
      </c>
      <c r="S628" s="1" t="s">
        <v>28</v>
      </c>
      <c r="T628" s="1" t="s">
        <v>29</v>
      </c>
    </row>
    <row r="629" customFormat="false" ht="18.7" hidden="false" customHeight="true" outlineLevel="0" collapsed="false">
      <c r="A629" s="1" t="n">
        <v>628</v>
      </c>
      <c r="B629" s="6" t="str">
        <f aca="false">HYPERLINK("https://mncourtfraud.com/file/MCRO_27-CR-19-3539_Notice of Remote Hearing with Instructions_2022-01-10_20240430091338.pdf","MCRO_27-CR-19-3539_Notice of Remote Hearing with Instructions_2022-01-10_20240430091338.pdf")</f>
        <v>MCRO_27-CR-19-3539_Notice of Remote Hearing with Instructions_2022-01-10_20240430091338.pdf</v>
      </c>
      <c r="C629" s="1" t="n">
        <v>5</v>
      </c>
      <c r="D629" s="1" t="n">
        <v>1</v>
      </c>
      <c r="E629" s="1" t="n">
        <v>1</v>
      </c>
      <c r="F629" s="3" t="s">
        <v>20</v>
      </c>
      <c r="G629" s="3" t="s">
        <v>2637</v>
      </c>
      <c r="H629" s="1" t="s">
        <v>22</v>
      </c>
      <c r="I629" s="1" t="n">
        <v>20240430091338</v>
      </c>
      <c r="J629" s="3" t="s">
        <v>2638</v>
      </c>
      <c r="K629" s="3" t="s">
        <v>2639</v>
      </c>
      <c r="L629" s="3" t="s">
        <v>2640</v>
      </c>
      <c r="M629" s="3" t="n">
        <v>311900</v>
      </c>
      <c r="N629" s="3" t="s">
        <v>491</v>
      </c>
      <c r="O629" s="1" t="n">
        <v>295514</v>
      </c>
      <c r="P629" s="1" t="n">
        <v>94.75</v>
      </c>
      <c r="Q629" s="1" t="s">
        <v>20</v>
      </c>
      <c r="R629" s="1" t="s">
        <v>27</v>
      </c>
      <c r="S629" s="1" t="s">
        <v>28</v>
      </c>
      <c r="T629" s="1" t="s">
        <v>29</v>
      </c>
    </row>
    <row r="630" customFormat="false" ht="18.7" hidden="false" customHeight="true" outlineLevel="0" collapsed="false">
      <c r="A630" s="1" t="n">
        <v>629</v>
      </c>
      <c r="B630" s="6" t="str">
        <f aca="false">HYPERLINK("https://mncourtfraud.com/file/MCRO_27-CR-19-3539_Notice of Remote Hearing with Instructions_2022-01-25_20240430091337.pdf","MCRO_27-CR-19-3539_Notice of Remote Hearing with Instructions_2022-01-25_20240430091337.pdf")</f>
        <v>MCRO_27-CR-19-3539_Notice of Remote Hearing with Instructions_2022-01-25_20240430091337.pdf</v>
      </c>
      <c r="C630" s="1" t="n">
        <v>4</v>
      </c>
      <c r="D630" s="1" t="n">
        <v>1</v>
      </c>
      <c r="E630" s="1" t="n">
        <v>1</v>
      </c>
      <c r="F630" s="3" t="s">
        <v>20</v>
      </c>
      <c r="G630" s="3" t="s">
        <v>2641</v>
      </c>
      <c r="H630" s="1" t="s">
        <v>22</v>
      </c>
      <c r="I630" s="1" t="n">
        <v>20240430091337</v>
      </c>
      <c r="J630" s="3" t="s">
        <v>2642</v>
      </c>
      <c r="K630" s="3" t="s">
        <v>2643</v>
      </c>
      <c r="L630" s="3" t="s">
        <v>2644</v>
      </c>
      <c r="M630" s="3" t="n">
        <v>142889</v>
      </c>
      <c r="N630" s="3" t="s">
        <v>361</v>
      </c>
      <c r="O630" s="1" t="n">
        <v>126503</v>
      </c>
      <c r="P630" s="1" t="n">
        <v>88.53</v>
      </c>
      <c r="Q630" s="1" t="s">
        <v>20</v>
      </c>
      <c r="R630" s="1" t="s">
        <v>27</v>
      </c>
      <c r="S630" s="1" t="s">
        <v>28</v>
      </c>
      <c r="T630" s="1" t="s">
        <v>29</v>
      </c>
    </row>
    <row r="631" customFormat="false" ht="18.7" hidden="false" customHeight="true" outlineLevel="0" collapsed="false">
      <c r="A631" s="1" t="n">
        <v>630</v>
      </c>
      <c r="B631" s="6" t="str">
        <f aca="false">HYPERLINK("https://mncourtfraud.com/file/MCRO_27-CR-19-3539_Notice of Remote Hearing with Instructions_2023-02-08_20240430091328.pdf","MCRO_27-CR-19-3539_Notice of Remote Hearing with Instructions_2023-02-08_20240430091328.pdf")</f>
        <v>MCRO_27-CR-19-3539_Notice of Remote Hearing with Instructions_2023-02-08_20240430091328.pdf</v>
      </c>
      <c r="C631" s="1" t="n">
        <v>5</v>
      </c>
      <c r="D631" s="1" t="n">
        <v>1</v>
      </c>
      <c r="E631" s="1" t="n">
        <v>1</v>
      </c>
      <c r="F631" s="3" t="s">
        <v>20</v>
      </c>
      <c r="G631" s="3" t="s">
        <v>2645</v>
      </c>
      <c r="H631" s="1" t="s">
        <v>22</v>
      </c>
      <c r="I631" s="1" t="n">
        <v>20240430091328</v>
      </c>
      <c r="J631" s="3" t="s">
        <v>2646</v>
      </c>
      <c r="K631" s="3" t="s">
        <v>2647</v>
      </c>
      <c r="L631" s="3" t="s">
        <v>2648</v>
      </c>
      <c r="M631" s="3" t="n">
        <v>848938</v>
      </c>
      <c r="N631" s="3" t="s">
        <v>500</v>
      </c>
      <c r="O631" s="1" t="n">
        <v>832552</v>
      </c>
      <c r="P631" s="1" t="n">
        <v>98.07</v>
      </c>
      <c r="Q631" s="1" t="s">
        <v>20</v>
      </c>
      <c r="R631" s="1" t="s">
        <v>27</v>
      </c>
      <c r="S631" s="1" t="s">
        <v>28</v>
      </c>
      <c r="T631" s="1" t="s">
        <v>29</v>
      </c>
    </row>
    <row r="632" customFormat="false" ht="18.7" hidden="false" customHeight="true" outlineLevel="0" collapsed="false">
      <c r="A632" s="1" t="n">
        <v>631</v>
      </c>
      <c r="B632" s="6" t="str">
        <f aca="false">HYPERLINK("https://mncourtfraud.com/file/MCRO_27-CR-19-3539_Notice of Remote Hearing with Instructions_2023-04-05_20240430091326.pdf","MCRO_27-CR-19-3539_Notice of Remote Hearing with Instructions_2023-04-05_20240430091326.pdf")</f>
        <v>MCRO_27-CR-19-3539_Notice of Remote Hearing with Instructions_2023-04-05_20240430091326.pdf</v>
      </c>
      <c r="C632" s="1" t="n">
        <v>5</v>
      </c>
      <c r="D632" s="1" t="n">
        <v>1</v>
      </c>
      <c r="E632" s="1" t="n">
        <v>1</v>
      </c>
      <c r="F632" s="3" t="s">
        <v>20</v>
      </c>
      <c r="G632" s="3" t="s">
        <v>2649</v>
      </c>
      <c r="H632" s="1" t="s">
        <v>22</v>
      </c>
      <c r="I632" s="1" t="n">
        <v>20240430091326</v>
      </c>
      <c r="J632" s="3" t="s">
        <v>2650</v>
      </c>
      <c r="K632" s="3" t="s">
        <v>2651</v>
      </c>
      <c r="L632" s="3" t="s">
        <v>2652</v>
      </c>
      <c r="M632" s="3" t="n">
        <v>849821</v>
      </c>
      <c r="N632" s="3" t="s">
        <v>505</v>
      </c>
      <c r="O632" s="1" t="n">
        <v>833435</v>
      </c>
      <c r="P632" s="1" t="n">
        <v>98.07</v>
      </c>
      <c r="Q632" s="1" t="s">
        <v>20</v>
      </c>
      <c r="R632" s="1" t="s">
        <v>27</v>
      </c>
      <c r="S632" s="1" t="s">
        <v>28</v>
      </c>
      <c r="T632" s="1" t="s">
        <v>29</v>
      </c>
    </row>
    <row r="633" customFormat="false" ht="18.7" hidden="false" customHeight="true" outlineLevel="0" collapsed="false">
      <c r="A633" s="1" t="n">
        <v>632</v>
      </c>
      <c r="B633" s="6" t="str">
        <f aca="false">HYPERLINK("https://mncourtfraud.com/file/MCRO_27-CR-19-3539_Notice of Remote Hearing with Instructions_2023-06-12_20240430091324.pdf","MCRO_27-CR-19-3539_Notice of Remote Hearing with Instructions_2023-06-12_20240430091324.pdf")</f>
        <v>MCRO_27-CR-19-3539_Notice of Remote Hearing with Instructions_2023-06-12_20240430091324.pdf</v>
      </c>
      <c r="C633" s="1" t="n">
        <v>5</v>
      </c>
      <c r="D633" s="1" t="n">
        <v>1</v>
      </c>
      <c r="E633" s="1" t="n">
        <v>1</v>
      </c>
      <c r="F633" s="3" t="s">
        <v>20</v>
      </c>
      <c r="G633" s="3" t="s">
        <v>2653</v>
      </c>
      <c r="H633" s="1" t="s">
        <v>22</v>
      </c>
      <c r="I633" s="1" t="n">
        <v>20240430091324</v>
      </c>
      <c r="J633" s="3" t="s">
        <v>2654</v>
      </c>
      <c r="K633" s="3" t="s">
        <v>2655</v>
      </c>
      <c r="L633" s="3" t="s">
        <v>2656</v>
      </c>
      <c r="M633" s="3" t="n">
        <v>843735</v>
      </c>
      <c r="N633" s="3" t="s">
        <v>510</v>
      </c>
      <c r="O633" s="1" t="n">
        <v>827349</v>
      </c>
      <c r="P633" s="1" t="n">
        <v>98.06</v>
      </c>
      <c r="Q633" s="1" t="s">
        <v>20</v>
      </c>
      <c r="R633" s="1" t="s">
        <v>27</v>
      </c>
      <c r="S633" s="1" t="s">
        <v>28</v>
      </c>
      <c r="T633" s="1" t="s">
        <v>29</v>
      </c>
    </row>
    <row r="634" customFormat="false" ht="18.7" hidden="false" customHeight="true" outlineLevel="0" collapsed="false">
      <c r="A634" s="1" t="n">
        <v>633</v>
      </c>
      <c r="B634" s="6" t="str">
        <f aca="false">HYPERLINK("https://mncourtfraud.com/file/MCRO_27-CR-19-3539_Notice of Remote Hearing with Instructions_2024-01-02_20240430091321.pdf","MCRO_27-CR-19-3539_Notice of Remote Hearing with Instructions_2024-01-02_20240430091321.pdf")</f>
        <v>MCRO_27-CR-19-3539_Notice of Remote Hearing with Instructions_2024-01-02_20240430091321.pdf</v>
      </c>
      <c r="C634" s="1" t="n">
        <v>4</v>
      </c>
      <c r="D634" s="1" t="n">
        <v>1</v>
      </c>
      <c r="E634" s="1" t="n">
        <v>1</v>
      </c>
      <c r="F634" s="3" t="s">
        <v>20</v>
      </c>
      <c r="G634" s="3" t="s">
        <v>2657</v>
      </c>
      <c r="H634" s="1" t="s">
        <v>22</v>
      </c>
      <c r="I634" s="1" t="n">
        <v>20240430091321</v>
      </c>
      <c r="J634" s="3" t="s">
        <v>2658</v>
      </c>
      <c r="K634" s="3" t="s">
        <v>2659</v>
      </c>
      <c r="L634" s="3" t="s">
        <v>2660</v>
      </c>
      <c r="M634" s="3" t="n">
        <v>269832</v>
      </c>
      <c r="N634" s="3" t="s">
        <v>74</v>
      </c>
      <c r="O634" s="1" t="n">
        <v>253446</v>
      </c>
      <c r="P634" s="1" t="n">
        <v>93.93</v>
      </c>
      <c r="Q634" s="1" t="s">
        <v>20</v>
      </c>
      <c r="R634" s="1" t="s">
        <v>27</v>
      </c>
      <c r="S634" s="1" t="s">
        <v>28</v>
      </c>
      <c r="T634" s="1" t="s">
        <v>29</v>
      </c>
    </row>
    <row r="635" customFormat="false" ht="18.7" hidden="false" customHeight="true" outlineLevel="0" collapsed="false">
      <c r="A635" s="1" t="n">
        <v>634</v>
      </c>
      <c r="B635" s="6" t="str">
        <f aca="false">HYPERLINK("https://mncourtfraud.com/file/MCRO_27-CR-19-3539_Notice of Remote Hearing with Instructions_2024-03-12_20240430091319.pdf","MCRO_27-CR-19-3539_Notice of Remote Hearing with Instructions_2024-03-12_20240430091319.pdf")</f>
        <v>MCRO_27-CR-19-3539_Notice of Remote Hearing with Instructions_2024-03-12_20240430091319.pdf</v>
      </c>
      <c r="C635" s="1" t="n">
        <v>4</v>
      </c>
      <c r="D635" s="1" t="n">
        <v>1</v>
      </c>
      <c r="E635" s="1" t="n">
        <v>1</v>
      </c>
      <c r="F635" s="3" t="s">
        <v>20</v>
      </c>
      <c r="G635" s="3" t="s">
        <v>2661</v>
      </c>
      <c r="H635" s="1" t="s">
        <v>22</v>
      </c>
      <c r="I635" s="1" t="n">
        <v>20240430091319</v>
      </c>
      <c r="J635" s="3" t="s">
        <v>2662</v>
      </c>
      <c r="K635" s="3" t="s">
        <v>2663</v>
      </c>
      <c r="L635" s="3" t="s">
        <v>2664</v>
      </c>
      <c r="M635" s="3" t="n">
        <v>254783</v>
      </c>
      <c r="N635" s="3" t="s">
        <v>74</v>
      </c>
      <c r="O635" s="1" t="n">
        <v>238397</v>
      </c>
      <c r="P635" s="1" t="n">
        <v>93.57</v>
      </c>
      <c r="Q635" s="1" t="s">
        <v>20</v>
      </c>
      <c r="R635" s="1" t="s">
        <v>27</v>
      </c>
      <c r="S635" s="1" t="s">
        <v>28</v>
      </c>
      <c r="T635" s="1" t="s">
        <v>29</v>
      </c>
    </row>
    <row r="636" customFormat="false" ht="18.7" hidden="false" customHeight="true" outlineLevel="0" collapsed="false">
      <c r="A636" s="1" t="n">
        <v>635</v>
      </c>
      <c r="B636" s="6" t="str">
        <f aca="false">HYPERLINK("https://mncourtfraud.com/file/MCRO_27-CR-19-3539_Order-Evaluation for Competency to Proceed (Rule 20.01)_2020-11-13_20240430091345.pdf","MCRO_27-CR-19-3539_Order-Evaluation for Competency to Proceed (Rule 20.01)_2020-11-13_20240430091345.pdf")</f>
        <v>MCRO_27-CR-19-3539_Order-Evaluation for Competency to Proceed (Rule 20.01)_2020-11-13_20240430091345.pdf</v>
      </c>
      <c r="C636" s="1" t="n">
        <v>3</v>
      </c>
      <c r="D636" s="1" t="n">
        <v>1</v>
      </c>
      <c r="E636" s="1" t="n">
        <v>1</v>
      </c>
      <c r="F636" s="3" t="s">
        <v>20</v>
      </c>
      <c r="G636" s="3" t="s">
        <v>2665</v>
      </c>
      <c r="H636" s="1" t="s">
        <v>22</v>
      </c>
      <c r="I636" s="1" t="n">
        <v>20240430091345</v>
      </c>
      <c r="J636" s="3" t="s">
        <v>2666</v>
      </c>
      <c r="K636" s="3" t="s">
        <v>2667</v>
      </c>
      <c r="L636" s="3" t="s">
        <v>2668</v>
      </c>
      <c r="M636" s="3" t="n">
        <v>455240</v>
      </c>
      <c r="N636" s="3" t="s">
        <v>549</v>
      </c>
      <c r="O636" s="1" t="n">
        <v>438854</v>
      </c>
      <c r="P636" s="1" t="n">
        <v>96.4</v>
      </c>
      <c r="Q636" s="1" t="s">
        <v>20</v>
      </c>
      <c r="R636" s="1" t="s">
        <v>27</v>
      </c>
      <c r="S636" s="1" t="s">
        <v>28</v>
      </c>
      <c r="T636" s="1" t="s">
        <v>29</v>
      </c>
    </row>
    <row r="637" customFormat="false" ht="18.7" hidden="false" customHeight="true" outlineLevel="0" collapsed="false">
      <c r="A637" s="1" t="n">
        <v>636</v>
      </c>
      <c r="B637" s="6" t="str">
        <f aca="false">HYPERLINK("https://mncourtfraud.com/file/MCRO_27-CR-19-3539_Order-Evaluation for Competency to Proceed (Rule 20.01)_2021-04-29_20240430091341.pdf","MCRO_27-CR-19-3539_Order-Evaluation for Competency to Proceed (Rule 20.01)_2021-04-29_20240430091341.pdf")</f>
        <v>MCRO_27-CR-19-3539_Order-Evaluation for Competency to Proceed (Rule 20.01)_2021-04-29_20240430091341.pdf</v>
      </c>
      <c r="C637" s="1" t="n">
        <v>3</v>
      </c>
      <c r="D637" s="1" t="n">
        <v>1</v>
      </c>
      <c r="E637" s="1" t="n">
        <v>1</v>
      </c>
      <c r="F637" s="3" t="s">
        <v>20</v>
      </c>
      <c r="G637" s="3" t="s">
        <v>2669</v>
      </c>
      <c r="H637" s="1" t="s">
        <v>22</v>
      </c>
      <c r="I637" s="1" t="n">
        <v>20240430091341</v>
      </c>
      <c r="J637" s="3" t="s">
        <v>2670</v>
      </c>
      <c r="K637" s="3" t="s">
        <v>2671</v>
      </c>
      <c r="L637" s="3" t="s">
        <v>2672</v>
      </c>
      <c r="M637" s="3" t="n">
        <v>454693</v>
      </c>
      <c r="N637" s="3" t="s">
        <v>554</v>
      </c>
      <c r="O637" s="1" t="n">
        <v>438307</v>
      </c>
      <c r="P637" s="1" t="n">
        <v>96.4</v>
      </c>
      <c r="Q637" s="1" t="s">
        <v>20</v>
      </c>
      <c r="R637" s="1" t="s">
        <v>27</v>
      </c>
      <c r="S637" s="1" t="s">
        <v>28</v>
      </c>
      <c r="T637" s="1" t="s">
        <v>29</v>
      </c>
    </row>
    <row r="638" customFormat="false" ht="18.7" hidden="false" customHeight="true" outlineLevel="0" collapsed="false">
      <c r="A638" s="1" t="n">
        <v>637</v>
      </c>
      <c r="B638" s="6" t="str">
        <f aca="false">HYPERLINK("https://mncourtfraud.com/file/MCRO_27-CR-19-3539_Order-Evaluation for Competency to Proceed (Rule 20.01)_2023-04-04_20240430091327.pdf","MCRO_27-CR-19-3539_Order-Evaluation for Competency to Proceed (Rule 20.01)_2023-04-04_20240430091327.pdf")</f>
        <v>MCRO_27-CR-19-3539_Order-Evaluation for Competency to Proceed (Rule 20.01)_2023-04-04_20240430091327.pdf</v>
      </c>
      <c r="C638" s="1" t="n">
        <v>6</v>
      </c>
      <c r="D638" s="1" t="n">
        <v>2</v>
      </c>
      <c r="E638" s="1" t="n">
        <v>2</v>
      </c>
      <c r="F638" s="3" t="s">
        <v>27</v>
      </c>
      <c r="G638" s="3" t="s">
        <v>2673</v>
      </c>
      <c r="H638" s="1" t="s">
        <v>22</v>
      </c>
      <c r="I638" s="1" t="n">
        <v>20240430091327</v>
      </c>
      <c r="J638" s="3" t="s">
        <v>2674</v>
      </c>
      <c r="K638" s="3" t="s">
        <v>2675</v>
      </c>
      <c r="L638" s="3" t="s">
        <v>1973</v>
      </c>
      <c r="M638" s="3" t="n">
        <v>887460</v>
      </c>
      <c r="N638" s="3" t="s">
        <v>559</v>
      </c>
      <c r="O638" s="1" t="n">
        <v>871074</v>
      </c>
      <c r="P638" s="1" t="n">
        <v>98.15</v>
      </c>
      <c r="Q638" s="1" t="s">
        <v>20</v>
      </c>
      <c r="R638" s="1" t="s">
        <v>27</v>
      </c>
      <c r="S638" s="1" t="s">
        <v>28</v>
      </c>
      <c r="T638" s="1" t="s">
        <v>29</v>
      </c>
    </row>
    <row r="639" customFormat="false" ht="18.7" hidden="false" customHeight="true" outlineLevel="0" collapsed="false">
      <c r="A639" s="1" t="n">
        <v>638</v>
      </c>
      <c r="B639" s="6" t="str">
        <f aca="false">HYPERLINK("https://mncourtfraud.com/file/MCRO_27-CR-19-3539_Order-Evaluation for Competency to Proceed (Rule 20.01)_2023-09-28_20240430091323.pdf","MCRO_27-CR-19-3539_Order-Evaluation for Competency to Proceed (Rule 20.01)_2023-09-28_20240430091323.pdf")</f>
        <v>MCRO_27-CR-19-3539_Order-Evaluation for Competency to Proceed (Rule 20.01)_2023-09-28_20240430091323.pdf</v>
      </c>
      <c r="C639" s="1" t="n">
        <v>6</v>
      </c>
      <c r="D639" s="1" t="n">
        <v>2</v>
      </c>
      <c r="E639" s="1" t="n">
        <v>2</v>
      </c>
      <c r="F639" s="3" t="s">
        <v>27</v>
      </c>
      <c r="G639" s="3" t="s">
        <v>2676</v>
      </c>
      <c r="H639" s="1" t="s">
        <v>22</v>
      </c>
      <c r="I639" s="1" t="n">
        <v>20240430091323</v>
      </c>
      <c r="J639" s="3" t="s">
        <v>2677</v>
      </c>
      <c r="K639" s="3" t="s">
        <v>2678</v>
      </c>
      <c r="L639" s="3" t="s">
        <v>2679</v>
      </c>
      <c r="M639" s="3" t="n">
        <v>867385</v>
      </c>
      <c r="N639" s="3" t="s">
        <v>564</v>
      </c>
      <c r="O639" s="1" t="n">
        <v>850999</v>
      </c>
      <c r="P639" s="1" t="n">
        <v>98.11</v>
      </c>
      <c r="Q639" s="1" t="s">
        <v>20</v>
      </c>
      <c r="R639" s="1" t="s">
        <v>27</v>
      </c>
      <c r="S639" s="1" t="s">
        <v>28</v>
      </c>
      <c r="T639" s="1" t="s">
        <v>29</v>
      </c>
    </row>
    <row r="640" customFormat="false" ht="18.7" hidden="false" customHeight="true" outlineLevel="0" collapsed="false">
      <c r="A640" s="1" t="n">
        <v>639</v>
      </c>
      <c r="B640" s="6" t="str">
        <f aca="false">HYPERLINK("https://mncourtfraud.com/file/MCRO_27-CR-19-3539_Order-Other_2019-10-09_20240430091353.pdf","MCRO_27-CR-19-3539_Order-Other_2019-10-09_20240430091353.pdf")</f>
        <v>MCRO_27-CR-19-3539_Order-Other_2019-10-09_20240430091353.pdf</v>
      </c>
      <c r="C640" s="1" t="n">
        <v>5</v>
      </c>
      <c r="D640" s="1" t="n">
        <v>7</v>
      </c>
      <c r="E640" s="1" t="n">
        <v>7</v>
      </c>
      <c r="F640" s="3" t="s">
        <v>20</v>
      </c>
      <c r="G640" s="3" t="s">
        <v>2680</v>
      </c>
      <c r="H640" s="1" t="s">
        <v>22</v>
      </c>
      <c r="I640" s="1" t="n">
        <v>20240430091353</v>
      </c>
      <c r="J640" s="3" t="s">
        <v>2681</v>
      </c>
      <c r="K640" s="3" t="s">
        <v>2682</v>
      </c>
      <c r="L640" s="3" t="s">
        <v>2683</v>
      </c>
      <c r="M640" s="3" t="n">
        <v>342152</v>
      </c>
      <c r="N640" s="3" t="s">
        <v>476</v>
      </c>
      <c r="O640" s="1" t="n">
        <v>325766</v>
      </c>
      <c r="P640" s="1" t="n">
        <v>95.21</v>
      </c>
      <c r="Q640" s="1" t="s">
        <v>20</v>
      </c>
      <c r="R640" s="1" t="s">
        <v>27</v>
      </c>
      <c r="S640" s="1" t="s">
        <v>28</v>
      </c>
      <c r="T640" s="1" t="s">
        <v>29</v>
      </c>
    </row>
    <row r="641" customFormat="false" ht="18.7" hidden="false" customHeight="true" outlineLevel="0" collapsed="false">
      <c r="A641" s="1" t="n">
        <v>640</v>
      </c>
      <c r="B641" s="6" t="str">
        <f aca="false">HYPERLINK("https://mncourtfraud.com/file/MCRO_27-CR-19-3539_Order-Other_2020-06-04_20240430091349.pdf","MCRO_27-CR-19-3539_Order-Other_2020-06-04_20240430091349.pdf")</f>
        <v>MCRO_27-CR-19-3539_Order-Other_2020-06-04_20240430091349.pdf</v>
      </c>
      <c r="C641" s="1" t="n">
        <v>3</v>
      </c>
      <c r="D641" s="1" t="n">
        <v>1</v>
      </c>
      <c r="E641" s="1" t="n">
        <v>1</v>
      </c>
      <c r="F641" s="3" t="s">
        <v>20</v>
      </c>
      <c r="G641" s="3" t="s">
        <v>2684</v>
      </c>
      <c r="H641" s="1" t="s">
        <v>22</v>
      </c>
      <c r="I641" s="1" t="n">
        <v>20240430091349</v>
      </c>
      <c r="J641" s="3" t="s">
        <v>2685</v>
      </c>
      <c r="K641" s="3" t="s">
        <v>2686</v>
      </c>
      <c r="L641" s="3" t="s">
        <v>2687</v>
      </c>
      <c r="M641" s="3" t="n">
        <v>257672</v>
      </c>
      <c r="N641" s="3" t="s">
        <v>577</v>
      </c>
      <c r="O641" s="1" t="n">
        <v>241286</v>
      </c>
      <c r="P641" s="1" t="n">
        <v>93.64</v>
      </c>
      <c r="Q641" s="1" t="s">
        <v>20</v>
      </c>
      <c r="R641" s="1" t="s">
        <v>27</v>
      </c>
      <c r="S641" s="1" t="s">
        <v>28</v>
      </c>
      <c r="T641" s="1" t="s">
        <v>29</v>
      </c>
    </row>
    <row r="642" customFormat="false" ht="18.7" hidden="false" customHeight="true" outlineLevel="0" collapsed="false">
      <c r="A642" s="1" t="n">
        <v>641</v>
      </c>
      <c r="B642" s="6" t="str">
        <f aca="false">HYPERLINK("https://mncourtfraud.com/file/MCRO_27-CR-19-3539_Order Regarding Access to Confidential or Sealed Record_2022-09-28_20240430091329.pdf","MCRO_27-CR-19-3539_Order Regarding Access to Confidential or Sealed Record_2022-09-28_20240430091329.pdf")</f>
        <v>MCRO_27-CR-19-3539_Order Regarding Access to Confidential or Sealed Record_2022-09-28_20240430091329.pdf</v>
      </c>
      <c r="C642" s="1" t="n">
        <v>3</v>
      </c>
      <c r="D642" s="1" t="n">
        <v>1</v>
      </c>
      <c r="E642" s="1" t="n">
        <v>1</v>
      </c>
      <c r="F642" s="3" t="s">
        <v>20</v>
      </c>
      <c r="G642" s="3" t="s">
        <v>2688</v>
      </c>
      <c r="H642" s="1" t="s">
        <v>22</v>
      </c>
      <c r="I642" s="1" t="n">
        <v>20240430091329</v>
      </c>
      <c r="J642" s="3" t="s">
        <v>2689</v>
      </c>
      <c r="K642" s="3" t="s">
        <v>2690</v>
      </c>
      <c r="L642" s="3" t="s">
        <v>2691</v>
      </c>
      <c r="M642" s="3" t="n">
        <v>143429</v>
      </c>
      <c r="N642" s="3" t="s">
        <v>593</v>
      </c>
      <c r="O642" s="1" t="n">
        <v>127043</v>
      </c>
      <c r="P642" s="1" t="n">
        <v>88.58</v>
      </c>
      <c r="Q642" s="1" t="s">
        <v>20</v>
      </c>
      <c r="R642" s="1" t="s">
        <v>27</v>
      </c>
      <c r="S642" s="1" t="s">
        <v>28</v>
      </c>
      <c r="T642" s="1" t="s">
        <v>29</v>
      </c>
    </row>
    <row r="643" customFormat="false" ht="18.7" hidden="false" customHeight="true" outlineLevel="0" collapsed="false">
      <c r="A643" s="1" t="n">
        <v>642</v>
      </c>
      <c r="B643" s="6" t="str">
        <f aca="false">HYPERLINK("https://mncourtfraud.com/file/MCRO_27-CR-19-3539_Order to Transport_2019-08-19_20240430091356.pdf","MCRO_27-CR-19-3539_Order to Transport_2019-08-19_20240430091356.pdf")</f>
        <v>MCRO_27-CR-19-3539_Order to Transport_2019-08-19_20240430091356.pdf</v>
      </c>
      <c r="C643" s="1" t="n">
        <v>4</v>
      </c>
      <c r="D643" s="1" t="n">
        <v>1</v>
      </c>
      <c r="E643" s="1" t="n">
        <v>1</v>
      </c>
      <c r="F643" s="3" t="s">
        <v>20</v>
      </c>
      <c r="G643" s="3" t="s">
        <v>2692</v>
      </c>
      <c r="H643" s="1" t="s">
        <v>22</v>
      </c>
      <c r="I643" s="1" t="n">
        <v>20240430091356</v>
      </c>
      <c r="J643" s="3" t="s">
        <v>2693</v>
      </c>
      <c r="K643" s="3" t="s">
        <v>2694</v>
      </c>
      <c r="L643" s="3" t="s">
        <v>1993</v>
      </c>
      <c r="M643" s="3" t="n">
        <v>89438</v>
      </c>
      <c r="N643" s="3" t="s">
        <v>137</v>
      </c>
      <c r="O643" s="1" t="n">
        <v>73052</v>
      </c>
      <c r="P643" s="1" t="n">
        <v>81.68</v>
      </c>
      <c r="Q643" s="1" t="s">
        <v>20</v>
      </c>
      <c r="R643" s="1" t="s">
        <v>27</v>
      </c>
      <c r="S643" s="1" t="s">
        <v>28</v>
      </c>
      <c r="T643" s="1" t="s">
        <v>29</v>
      </c>
    </row>
    <row r="644" customFormat="false" ht="18.7" hidden="false" customHeight="true" outlineLevel="0" collapsed="false">
      <c r="A644" s="1" t="n">
        <v>643</v>
      </c>
      <c r="B644" s="6" t="str">
        <f aca="false">HYPERLINK("https://mncourtfraud.com/file/MCRO_27-CR-19-3539_Order to Transport_2024-02-02_20240430091320.pdf","MCRO_27-CR-19-3539_Order to Transport_2024-02-02_20240430091320.pdf")</f>
        <v>MCRO_27-CR-19-3539_Order to Transport_2024-02-02_20240430091320.pdf</v>
      </c>
      <c r="C644" s="1" t="n">
        <v>5</v>
      </c>
      <c r="D644" s="1" t="n">
        <v>3</v>
      </c>
      <c r="E644" s="1" t="n">
        <v>3</v>
      </c>
      <c r="F644" s="3" t="s">
        <v>20</v>
      </c>
      <c r="G644" s="3" t="s">
        <v>2695</v>
      </c>
      <c r="H644" s="1" t="s">
        <v>22</v>
      </c>
      <c r="I644" s="1" t="n">
        <v>20240430091320</v>
      </c>
      <c r="J644" s="3" t="s">
        <v>2696</v>
      </c>
      <c r="K644" s="3" t="s">
        <v>2697</v>
      </c>
      <c r="L644" s="3" t="s">
        <v>2698</v>
      </c>
      <c r="M644" s="3" t="n">
        <v>216849</v>
      </c>
      <c r="N644" s="3" t="s">
        <v>602</v>
      </c>
      <c r="O644" s="1" t="n">
        <v>200463</v>
      </c>
      <c r="P644" s="1" t="n">
        <v>92.44</v>
      </c>
      <c r="Q644" s="1" t="s">
        <v>20</v>
      </c>
      <c r="R644" s="1" t="s">
        <v>27</v>
      </c>
      <c r="S644" s="1" t="s">
        <v>28</v>
      </c>
      <c r="T644" s="1" t="s">
        <v>29</v>
      </c>
    </row>
    <row r="645" customFormat="false" ht="18.7" hidden="false" customHeight="true" outlineLevel="0" collapsed="false">
      <c r="A645" s="1" t="n">
        <v>644</v>
      </c>
      <c r="B645" s="6" t="str">
        <f aca="false">HYPERLINK("https://mncourtfraud.com/file/MCRO_27-CR-19-3539_Proposed Order or Document_2020-06-04_20240430091350.pdf","MCRO_27-CR-19-3539_Proposed Order or Document_2020-06-04_20240430091350.pdf")</f>
        <v>MCRO_27-CR-19-3539_Proposed Order or Document_2020-06-04_20240430091350.pdf</v>
      </c>
      <c r="C645" s="1" t="n">
        <v>3</v>
      </c>
      <c r="D645" s="1" t="n">
        <v>1</v>
      </c>
      <c r="E645" s="1" t="n">
        <v>1</v>
      </c>
      <c r="F645" s="3" t="s">
        <v>20</v>
      </c>
      <c r="G645" s="3" t="s">
        <v>2699</v>
      </c>
      <c r="H645" s="1" t="s">
        <v>22</v>
      </c>
      <c r="I645" s="1" t="n">
        <v>20240430091350</v>
      </c>
      <c r="J645" s="3" t="s">
        <v>2700</v>
      </c>
      <c r="K645" s="3" t="s">
        <v>2701</v>
      </c>
      <c r="L645" s="3" t="s">
        <v>2702</v>
      </c>
      <c r="M645" s="3" t="n">
        <v>194691</v>
      </c>
      <c r="N645" s="3" t="s">
        <v>624</v>
      </c>
      <c r="O645" s="1" t="n">
        <v>178305</v>
      </c>
      <c r="P645" s="1" t="n">
        <v>91.58</v>
      </c>
      <c r="Q645" s="1" t="s">
        <v>20</v>
      </c>
      <c r="R645" s="1" t="s">
        <v>27</v>
      </c>
      <c r="S645" s="1" t="s">
        <v>28</v>
      </c>
      <c r="T645" s="1" t="s">
        <v>29</v>
      </c>
    </row>
    <row r="646" customFormat="false" ht="18.7" hidden="false" customHeight="true" outlineLevel="0" collapsed="false">
      <c r="A646" s="1" t="n">
        <v>645</v>
      </c>
      <c r="B646" s="6" t="str">
        <f aca="false">HYPERLINK("https://mncourtfraud.com/file/MCRO_27-CR-19-3539_Proposed Order or Document_2022-07-14_20240430091334.pdf","MCRO_27-CR-19-3539_Proposed Order or Document_2022-07-14_20240430091334.pdf")</f>
        <v>MCRO_27-CR-19-3539_Proposed Order or Document_2022-07-14_20240430091334.pdf</v>
      </c>
      <c r="C646" s="1" t="n">
        <v>3</v>
      </c>
      <c r="D646" s="1" t="n">
        <v>1</v>
      </c>
      <c r="E646" s="1" t="n">
        <v>1</v>
      </c>
      <c r="F646" s="3" t="s">
        <v>20</v>
      </c>
      <c r="G646" s="3" t="s">
        <v>2703</v>
      </c>
      <c r="H646" s="1" t="s">
        <v>22</v>
      </c>
      <c r="I646" s="1" t="n">
        <v>20240430091334</v>
      </c>
      <c r="J646" s="3" t="s">
        <v>2704</v>
      </c>
      <c r="K646" s="3" t="s">
        <v>2705</v>
      </c>
      <c r="L646" s="3" t="s">
        <v>2706</v>
      </c>
      <c r="M646" s="3" t="n">
        <v>141839</v>
      </c>
      <c r="N646" s="3" t="s">
        <v>629</v>
      </c>
      <c r="O646" s="1" t="n">
        <v>125453</v>
      </c>
      <c r="P646" s="1" t="n">
        <v>88.45</v>
      </c>
      <c r="Q646" s="1" t="s">
        <v>20</v>
      </c>
      <c r="R646" s="1" t="s">
        <v>27</v>
      </c>
      <c r="S646" s="1" t="s">
        <v>28</v>
      </c>
      <c r="T646" s="1" t="s">
        <v>29</v>
      </c>
    </row>
    <row r="647" customFormat="false" ht="18.7" hidden="false" customHeight="true" outlineLevel="0" collapsed="false">
      <c r="A647" s="1" t="n">
        <v>646</v>
      </c>
      <c r="B647" s="6" t="str">
        <f aca="false">HYPERLINK("https://mncourtfraud.com/file/MCRO_27-CR-19-3539_Returned Mail_2022-02-28_20240430091336.pdf","MCRO_27-CR-19-3539_Returned Mail_2022-02-28_20240430091336.pdf")</f>
        <v>MCRO_27-CR-19-3539_Returned Mail_2022-02-28_20240430091336.pdf</v>
      </c>
      <c r="C647" s="1" t="n">
        <v>4</v>
      </c>
      <c r="D647" s="1" t="n">
        <v>1</v>
      </c>
      <c r="E647" s="1" t="n">
        <v>1</v>
      </c>
      <c r="F647" s="3" t="s">
        <v>20</v>
      </c>
      <c r="G647" s="3" t="s">
        <v>2707</v>
      </c>
      <c r="H647" s="1" t="s">
        <v>22</v>
      </c>
      <c r="I647" s="1" t="n">
        <v>20240430091336</v>
      </c>
      <c r="J647" s="3" t="s">
        <v>2708</v>
      </c>
      <c r="K647" s="3" t="s">
        <v>2709</v>
      </c>
      <c r="L647" s="3" t="s">
        <v>2710</v>
      </c>
      <c r="M647" s="3" t="n">
        <v>93617</v>
      </c>
      <c r="N647" s="3" t="s">
        <v>456</v>
      </c>
      <c r="O647" s="1" t="n">
        <v>77231</v>
      </c>
      <c r="P647" s="1" t="n">
        <v>82.5</v>
      </c>
      <c r="Q647" s="1" t="s">
        <v>20</v>
      </c>
      <c r="R647" s="1" t="s">
        <v>27</v>
      </c>
      <c r="S647" s="1" t="s">
        <v>28</v>
      </c>
      <c r="T647" s="1" t="s">
        <v>29</v>
      </c>
    </row>
    <row r="648" customFormat="false" ht="18.7" hidden="false" customHeight="true" outlineLevel="0" collapsed="false">
      <c r="A648" s="1" t="n">
        <v>647</v>
      </c>
      <c r="B648" s="6" t="str">
        <f aca="false">HYPERLINK("https://mncourtfraud.com/file/MCRO_27-CR-19-3539_Returned Mail_2022-09-20_20240430091331.pdf","MCRO_27-CR-19-3539_Returned Mail_2022-09-20_20240430091331.pdf")</f>
        <v>MCRO_27-CR-19-3539_Returned Mail_2022-09-20_20240430091331.pdf</v>
      </c>
      <c r="C648" s="1" t="n">
        <v>4</v>
      </c>
      <c r="D648" s="1" t="n">
        <v>1</v>
      </c>
      <c r="E648" s="1" t="n">
        <v>1</v>
      </c>
      <c r="F648" s="3" t="s">
        <v>20</v>
      </c>
      <c r="G648" s="3" t="s">
        <v>2711</v>
      </c>
      <c r="H648" s="1" t="s">
        <v>22</v>
      </c>
      <c r="I648" s="1" t="n">
        <v>20240430091331</v>
      </c>
      <c r="J648" s="3" t="s">
        <v>2712</v>
      </c>
      <c r="K648" s="3" t="s">
        <v>2713</v>
      </c>
      <c r="L648" s="3" t="s">
        <v>1836</v>
      </c>
      <c r="M648" s="3" t="n">
        <v>308851</v>
      </c>
      <c r="N648" s="3" t="s">
        <v>119</v>
      </c>
      <c r="O648" s="1" t="n">
        <v>292465</v>
      </c>
      <c r="P648" s="1" t="n">
        <v>94.69</v>
      </c>
      <c r="Q648" s="1" t="s">
        <v>20</v>
      </c>
      <c r="R648" s="1" t="s">
        <v>27</v>
      </c>
      <c r="S648" s="1" t="s">
        <v>28</v>
      </c>
      <c r="T648" s="1" t="s">
        <v>29</v>
      </c>
    </row>
    <row r="649" customFormat="false" ht="18.7" hidden="false" customHeight="true" outlineLevel="0" collapsed="false">
      <c r="A649" s="1" t="n">
        <v>648</v>
      </c>
      <c r="B649" s="6" t="str">
        <f aca="false">HYPERLINK("https://mncourtfraud.com/file/MCRO_27-CR-19-901_E-filed Comp-Order for Detention_2019-01-10_20240430091141.pdf","MCRO_27-CR-19-901_E-filed Comp-Order for Detention_2019-01-10_20240430091141.pdf")</f>
        <v>MCRO_27-CR-19-901_E-filed Comp-Order for Detention_2019-01-10_20240430091141.pdf</v>
      </c>
      <c r="C649" s="1" t="n">
        <v>4</v>
      </c>
      <c r="D649" s="1" t="n">
        <v>2</v>
      </c>
      <c r="E649" s="1" t="n">
        <v>2</v>
      </c>
      <c r="F649" s="3" t="s">
        <v>20</v>
      </c>
      <c r="G649" s="3" t="s">
        <v>2714</v>
      </c>
      <c r="H649" s="1" t="s">
        <v>22</v>
      </c>
      <c r="I649" s="1" t="n">
        <v>20240430091141</v>
      </c>
      <c r="J649" s="3" t="s">
        <v>2715</v>
      </c>
      <c r="K649" s="3" t="s">
        <v>2716</v>
      </c>
      <c r="L649" s="3" t="s">
        <v>2717</v>
      </c>
      <c r="M649" s="3" t="n">
        <v>525004</v>
      </c>
      <c r="N649" s="3" t="s">
        <v>2718</v>
      </c>
      <c r="O649" s="1" t="n">
        <v>508618</v>
      </c>
      <c r="P649" s="1" t="n">
        <v>96.88</v>
      </c>
      <c r="Q649" s="1" t="s">
        <v>20</v>
      </c>
      <c r="R649" s="1" t="s">
        <v>27</v>
      </c>
      <c r="S649" s="1" t="s">
        <v>28</v>
      </c>
      <c r="T649" s="1" t="s">
        <v>29</v>
      </c>
    </row>
    <row r="650" customFormat="false" ht="18.7" hidden="false" customHeight="true" outlineLevel="0" collapsed="false">
      <c r="A650" s="1" t="n">
        <v>649</v>
      </c>
      <c r="B650" s="6" t="str">
        <f aca="false">HYPERLINK("https://mncourtfraud.com/file/MCRO_27-CR-19-901_Finding of Incompetency and Order_2023-02-15_20240430091100.pdf","MCRO_27-CR-19-901_Finding of Incompetency and Order_2023-02-15_20240430091100.pdf")</f>
        <v>MCRO_27-CR-19-901_Finding of Incompetency and Order_2023-02-15_20240430091100.pdf</v>
      </c>
      <c r="C650" s="1" t="n">
        <v>9</v>
      </c>
      <c r="D650" s="1" t="n">
        <v>3</v>
      </c>
      <c r="E650" s="1" t="n">
        <v>3</v>
      </c>
      <c r="F650" s="3" t="s">
        <v>27</v>
      </c>
      <c r="G650" s="3" t="s">
        <v>2719</v>
      </c>
      <c r="H650" s="1" t="s">
        <v>22</v>
      </c>
      <c r="I650" s="1" t="n">
        <v>20240430091100</v>
      </c>
      <c r="J650" s="3" t="s">
        <v>2720</v>
      </c>
      <c r="K650" s="3" t="s">
        <v>2721</v>
      </c>
      <c r="L650" s="3" t="s">
        <v>2722</v>
      </c>
      <c r="M650" s="3" t="n">
        <v>952007</v>
      </c>
      <c r="N650" s="3" t="s">
        <v>2723</v>
      </c>
      <c r="O650" s="1" t="n">
        <v>935621</v>
      </c>
      <c r="P650" s="1" t="n">
        <v>98.28</v>
      </c>
      <c r="Q650" s="1" t="s">
        <v>20</v>
      </c>
      <c r="R650" s="1" t="s">
        <v>27</v>
      </c>
      <c r="S650" s="1" t="s">
        <v>28</v>
      </c>
      <c r="T650" s="1" t="s">
        <v>29</v>
      </c>
    </row>
    <row r="651" customFormat="false" ht="18.7" hidden="false" customHeight="true" outlineLevel="0" collapsed="false">
      <c r="A651" s="1" t="n">
        <v>650</v>
      </c>
      <c r="B651" s="6" t="str">
        <f aca="false">HYPERLINK("https://mncourtfraud.com/file/MCRO_27-CR-19-901_Findings and Order_2022-08-02_20240430091104.pdf","MCRO_27-CR-19-901_Findings and Order_2022-08-02_20240430091104.pdf")</f>
        <v>MCRO_27-CR-19-901_Findings and Order_2022-08-02_20240430091104.pdf</v>
      </c>
      <c r="C651" s="1" t="n">
        <v>4</v>
      </c>
      <c r="D651" s="1" t="n">
        <v>2</v>
      </c>
      <c r="E651" s="1" t="n">
        <v>2</v>
      </c>
      <c r="F651" s="3" t="s">
        <v>20</v>
      </c>
      <c r="G651" s="3" t="s">
        <v>2724</v>
      </c>
      <c r="H651" s="1" t="s">
        <v>22</v>
      </c>
      <c r="I651" s="1" t="n">
        <v>20240430091104</v>
      </c>
      <c r="J651" s="3" t="s">
        <v>2725</v>
      </c>
      <c r="K651" s="3" t="s">
        <v>2726</v>
      </c>
      <c r="L651" s="3" t="s">
        <v>2727</v>
      </c>
      <c r="M651" s="3" t="n">
        <v>287863</v>
      </c>
      <c r="N651" s="3" t="s">
        <v>2728</v>
      </c>
      <c r="O651" s="1" t="n">
        <v>271477</v>
      </c>
      <c r="P651" s="1" t="n">
        <v>94.31</v>
      </c>
      <c r="Q651" s="1" t="s">
        <v>20</v>
      </c>
      <c r="R651" s="1" t="s">
        <v>27</v>
      </c>
      <c r="S651" s="1" t="s">
        <v>28</v>
      </c>
      <c r="T651" s="1" t="s">
        <v>29</v>
      </c>
    </row>
    <row r="652" customFormat="false" ht="18.7" hidden="false" customHeight="true" outlineLevel="0" collapsed="false">
      <c r="A652" s="1" t="n">
        <v>651</v>
      </c>
      <c r="B652" s="6" t="str">
        <f aca="false">HYPERLINK("https://mncourtfraud.com/file/MCRO_27-CR-19-901_Law Enforcement Notice of Release and Appearance_2019-01-11_20240430091138.pdf","MCRO_27-CR-19-901_Law Enforcement Notice of Release and Appearance_2019-01-11_20240430091138.pdf")</f>
        <v>MCRO_27-CR-19-901_Law Enforcement Notice of Release and Appearance_2019-01-11_20240430091138.pdf</v>
      </c>
      <c r="C652" s="1" t="n">
        <v>4</v>
      </c>
      <c r="D652" s="1" t="n">
        <v>1</v>
      </c>
      <c r="E652" s="1" t="n">
        <v>1</v>
      </c>
      <c r="F652" s="3" t="s">
        <v>20</v>
      </c>
      <c r="G652" s="3" t="s">
        <v>2729</v>
      </c>
      <c r="H652" s="1" t="s">
        <v>22</v>
      </c>
      <c r="I652" s="1" t="n">
        <v>20240430091138</v>
      </c>
      <c r="J652" s="3" t="s">
        <v>2730</v>
      </c>
      <c r="K652" s="3" t="s">
        <v>2731</v>
      </c>
      <c r="L652" s="3" t="s">
        <v>2732</v>
      </c>
      <c r="M652" s="3" t="n">
        <v>122493</v>
      </c>
      <c r="N652" s="3" t="s">
        <v>119</v>
      </c>
      <c r="O652" s="1" t="n">
        <v>106107</v>
      </c>
      <c r="P652" s="1" t="n">
        <v>86.62</v>
      </c>
      <c r="Q652" s="1" t="s">
        <v>20</v>
      </c>
      <c r="R652" s="1" t="s">
        <v>27</v>
      </c>
      <c r="S652" s="1" t="s">
        <v>28</v>
      </c>
      <c r="T652" s="1" t="s">
        <v>29</v>
      </c>
    </row>
    <row r="653" customFormat="false" ht="18.7" hidden="false" customHeight="true" outlineLevel="0" collapsed="false">
      <c r="A653" s="1" t="n">
        <v>652</v>
      </c>
      <c r="B653" s="6" t="str">
        <f aca="false">HYPERLINK("https://mncourtfraud.com/file/MCRO_27-CR-19-901_Non-Cash Bond Posted_2019-01-10_20240430091140.pdf","MCRO_27-CR-19-901_Non-Cash Bond Posted_2019-01-10_20240430091140.pdf")</f>
        <v>MCRO_27-CR-19-901_Non-Cash Bond Posted_2019-01-10_20240430091140.pdf</v>
      </c>
      <c r="C653" s="1" t="n">
        <v>4</v>
      </c>
      <c r="D653" s="1" t="n">
        <v>1</v>
      </c>
      <c r="E653" s="1" t="n">
        <v>1</v>
      </c>
      <c r="F653" s="3" t="s">
        <v>20</v>
      </c>
      <c r="G653" s="3" t="s">
        <v>2733</v>
      </c>
      <c r="H653" s="1" t="s">
        <v>22</v>
      </c>
      <c r="I653" s="1" t="n">
        <v>20240430091140</v>
      </c>
      <c r="J653" s="3" t="s">
        <v>2734</v>
      </c>
      <c r="K653" s="3" t="s">
        <v>2735</v>
      </c>
      <c r="L653" s="3" t="s">
        <v>2736</v>
      </c>
      <c r="M653" s="3" t="n">
        <v>207678</v>
      </c>
      <c r="N653" s="3" t="s">
        <v>158</v>
      </c>
      <c r="O653" s="1" t="n">
        <v>191292</v>
      </c>
      <c r="P653" s="1" t="n">
        <v>92.11</v>
      </c>
      <c r="Q653" s="1" t="s">
        <v>20</v>
      </c>
      <c r="R653" s="1" t="s">
        <v>27</v>
      </c>
      <c r="S653" s="1" t="s">
        <v>28</v>
      </c>
      <c r="T653" s="1" t="s">
        <v>29</v>
      </c>
    </row>
    <row r="654" customFormat="false" ht="18.7" hidden="false" customHeight="true" outlineLevel="0" collapsed="false">
      <c r="A654" s="1" t="n">
        <v>653</v>
      </c>
      <c r="B654" s="6" t="str">
        <f aca="false">HYPERLINK("https://mncourtfraud.com/file/MCRO_27-CR-19-901_Norgaard Plea_2019-04-19_20240430091131.pdf","MCRO_27-CR-19-901_Norgaard Plea_2019-04-19_20240430091131.pdf")</f>
        <v>MCRO_27-CR-19-901_Norgaard Plea_2019-04-19_20240430091131.pdf</v>
      </c>
      <c r="C654" s="1" t="n">
        <v>4</v>
      </c>
      <c r="D654" s="1" t="n">
        <v>1</v>
      </c>
      <c r="E654" s="1" t="n">
        <v>1</v>
      </c>
      <c r="F654" s="3" t="s">
        <v>20</v>
      </c>
      <c r="G654" s="3" t="s">
        <v>2737</v>
      </c>
      <c r="H654" s="1" t="s">
        <v>22</v>
      </c>
      <c r="I654" s="1" t="n">
        <v>20240430091131</v>
      </c>
      <c r="J654" s="3" t="s">
        <v>2738</v>
      </c>
      <c r="K654" s="3" t="s">
        <v>2739</v>
      </c>
      <c r="L654" s="3" t="s">
        <v>2740</v>
      </c>
      <c r="M654" s="3" t="n">
        <v>1990163</v>
      </c>
      <c r="N654" s="3" t="s">
        <v>777</v>
      </c>
      <c r="O654" s="1" t="n">
        <v>1973777</v>
      </c>
      <c r="P654" s="1" t="n">
        <v>99.18</v>
      </c>
      <c r="Q654" s="1" t="s">
        <v>20</v>
      </c>
      <c r="R654" s="1" t="s">
        <v>27</v>
      </c>
      <c r="S654" s="1" t="s">
        <v>28</v>
      </c>
      <c r="T654" s="1" t="s">
        <v>29</v>
      </c>
    </row>
    <row r="655" customFormat="false" ht="18.7" hidden="false" customHeight="true" outlineLevel="0" collapsed="false">
      <c r="A655" s="1" t="n">
        <v>654</v>
      </c>
      <c r="B655" s="6" t="str">
        <f aca="false">HYPERLINK("https://mncourtfraud.com/file/MCRO_27-CR-19-901_Notice of Appearance_2019-04-16_20240430091134.pdf","MCRO_27-CR-19-901_Notice of Appearance_2019-04-16_20240430091134.pdf")</f>
        <v>MCRO_27-CR-19-901_Notice of Appearance_2019-04-16_20240430091134.pdf</v>
      </c>
      <c r="C655" s="1" t="n">
        <v>4</v>
      </c>
      <c r="D655" s="1" t="n">
        <v>1</v>
      </c>
      <c r="E655" s="1" t="n">
        <v>1</v>
      </c>
      <c r="F655" s="3" t="s">
        <v>20</v>
      </c>
      <c r="G655" s="3" t="s">
        <v>2741</v>
      </c>
      <c r="H655" s="1" t="s">
        <v>22</v>
      </c>
      <c r="I655" s="1" t="n">
        <v>20240430091134</v>
      </c>
      <c r="J655" s="3" t="s">
        <v>2742</v>
      </c>
      <c r="K655" s="3" t="s">
        <v>2743</v>
      </c>
      <c r="L655" s="3" t="s">
        <v>2744</v>
      </c>
      <c r="M655" s="3" t="n">
        <v>107423</v>
      </c>
      <c r="N655" s="3" t="s">
        <v>435</v>
      </c>
      <c r="O655" s="1" t="n">
        <v>91037</v>
      </c>
      <c r="P655" s="1" t="n">
        <v>84.75</v>
      </c>
      <c r="Q655" s="1" t="s">
        <v>20</v>
      </c>
      <c r="R655" s="1" t="s">
        <v>27</v>
      </c>
      <c r="S655" s="1" t="s">
        <v>28</v>
      </c>
      <c r="T655" s="1" t="s">
        <v>29</v>
      </c>
    </row>
    <row r="656" customFormat="false" ht="18.7" hidden="false" customHeight="true" outlineLevel="0" collapsed="false">
      <c r="A656" s="1" t="n">
        <v>655</v>
      </c>
      <c r="B656" s="6" t="str">
        <f aca="false">HYPERLINK("https://mncourtfraud.com/file/MCRO_27-CR-19-901_Notice of Hearing_2019-01-25_20240430091137.pdf","MCRO_27-CR-19-901_Notice of Hearing_2019-01-25_20240430091137.pdf")</f>
        <v>MCRO_27-CR-19-901_Notice of Hearing_2019-01-25_20240430091137.pdf</v>
      </c>
      <c r="C656" s="1" t="n">
        <v>4</v>
      </c>
      <c r="D656" s="1" t="n">
        <v>1</v>
      </c>
      <c r="E656" s="1" t="n">
        <v>1</v>
      </c>
      <c r="F656" s="3" t="s">
        <v>20</v>
      </c>
      <c r="G656" s="3" t="s">
        <v>2745</v>
      </c>
      <c r="H656" s="1" t="s">
        <v>22</v>
      </c>
      <c r="I656" s="1" t="n">
        <v>20240430091137</v>
      </c>
      <c r="J656" s="3" t="s">
        <v>2746</v>
      </c>
      <c r="K656" s="3" t="s">
        <v>2747</v>
      </c>
      <c r="L656" s="3" t="s">
        <v>2748</v>
      </c>
      <c r="M656" s="3" t="n">
        <v>110652</v>
      </c>
      <c r="N656" s="3" t="s">
        <v>614</v>
      </c>
      <c r="O656" s="1" t="n">
        <v>94266</v>
      </c>
      <c r="P656" s="1" t="n">
        <v>85.19</v>
      </c>
      <c r="Q656" s="1" t="s">
        <v>20</v>
      </c>
      <c r="R656" s="1" t="s">
        <v>27</v>
      </c>
      <c r="S656" s="1" t="s">
        <v>28</v>
      </c>
      <c r="T656" s="1" t="s">
        <v>29</v>
      </c>
    </row>
    <row r="657" customFormat="false" ht="18.7" hidden="false" customHeight="true" outlineLevel="0" collapsed="false">
      <c r="A657" s="1" t="n">
        <v>656</v>
      </c>
      <c r="B657" s="6" t="str">
        <f aca="false">HYPERLINK("https://mncourtfraud.com/file/MCRO_27-CR-19-901_Notice of Hearing_2019-03-04_20240430091135 (1).pdf","MCRO_27-CR-19-901_Notice of Hearing_2019-03-04_20240430091135 (1).pdf")</f>
        <v>MCRO_27-CR-19-901_Notice of Hearing_2019-03-04_20240430091135 (1).pdf</v>
      </c>
      <c r="C657" s="1" t="n">
        <v>4</v>
      </c>
      <c r="D657" s="1" t="n">
        <v>1</v>
      </c>
      <c r="E657" s="1" t="n">
        <v>1</v>
      </c>
      <c r="F657" s="3" t="s">
        <v>20</v>
      </c>
      <c r="G657" s="3" t="s">
        <v>2749</v>
      </c>
      <c r="H657" s="1" t="s">
        <v>22</v>
      </c>
      <c r="I657" s="1" t="n">
        <v>20240430091135</v>
      </c>
      <c r="J657" s="3" t="s">
        <v>2750</v>
      </c>
      <c r="K657" s="3" t="s">
        <v>2751</v>
      </c>
      <c r="L657" s="3" t="s">
        <v>2752</v>
      </c>
      <c r="M657" s="3" t="n">
        <v>113226</v>
      </c>
      <c r="N657" s="3" t="s">
        <v>435</v>
      </c>
      <c r="O657" s="1" t="n">
        <v>96840</v>
      </c>
      <c r="P657" s="1" t="n">
        <v>85.53</v>
      </c>
      <c r="Q657" s="1" t="s">
        <v>20</v>
      </c>
      <c r="R657" s="1" t="s">
        <v>27</v>
      </c>
      <c r="S657" s="1" t="s">
        <v>28</v>
      </c>
      <c r="T657" s="1" t="s">
        <v>29</v>
      </c>
    </row>
    <row r="658" customFormat="false" ht="18.7" hidden="false" customHeight="true" outlineLevel="0" collapsed="false">
      <c r="A658" s="1" t="n">
        <v>657</v>
      </c>
      <c r="B658" s="6" t="str">
        <f aca="false">HYPERLINK("https://mncourtfraud.com/file/MCRO_27-CR-19-901_Notice of Hearing_2019-03-04_20240430091135.pdf","MCRO_27-CR-19-901_Notice of Hearing_2019-03-04_20240430091135.pdf")</f>
        <v>MCRO_27-CR-19-901_Notice of Hearing_2019-03-04_20240430091135.pdf</v>
      </c>
      <c r="C658" s="1" t="n">
        <v>4</v>
      </c>
      <c r="D658" s="1" t="n">
        <v>1</v>
      </c>
      <c r="E658" s="1" t="n">
        <v>1</v>
      </c>
      <c r="F658" s="3" t="s">
        <v>20</v>
      </c>
      <c r="G658" s="3" t="s">
        <v>2753</v>
      </c>
      <c r="H658" s="1" t="s">
        <v>22</v>
      </c>
      <c r="I658" s="1" t="n">
        <v>20240430091135</v>
      </c>
      <c r="J658" s="3" t="s">
        <v>2750</v>
      </c>
      <c r="K658" s="3" t="s">
        <v>2751</v>
      </c>
      <c r="L658" s="3" t="s">
        <v>2754</v>
      </c>
      <c r="M658" s="3" t="n">
        <v>112995</v>
      </c>
      <c r="N658" s="3" t="s">
        <v>435</v>
      </c>
      <c r="O658" s="1" t="n">
        <v>96609</v>
      </c>
      <c r="P658" s="1" t="n">
        <v>85.5</v>
      </c>
      <c r="Q658" s="1" t="s">
        <v>20</v>
      </c>
      <c r="R658" s="1" t="s">
        <v>27</v>
      </c>
      <c r="S658" s="1" t="s">
        <v>28</v>
      </c>
      <c r="T658" s="1" t="s">
        <v>29</v>
      </c>
    </row>
    <row r="659" customFormat="false" ht="18.7" hidden="false" customHeight="true" outlineLevel="0" collapsed="false">
      <c r="A659" s="1" t="n">
        <v>658</v>
      </c>
      <c r="B659" s="6" t="str">
        <f aca="false">HYPERLINK("https://mncourtfraud.com/file/MCRO_27-CR-19-901_Notice of Hearing_2019-04-19_20240430091132.pdf","MCRO_27-CR-19-901_Notice of Hearing_2019-04-19_20240430091132.pdf")</f>
        <v>MCRO_27-CR-19-901_Notice of Hearing_2019-04-19_20240430091132.pdf</v>
      </c>
      <c r="C659" s="1" t="n">
        <v>4</v>
      </c>
      <c r="D659" s="1" t="n">
        <v>1</v>
      </c>
      <c r="E659" s="1" t="n">
        <v>1</v>
      </c>
      <c r="F659" s="3" t="s">
        <v>20</v>
      </c>
      <c r="G659" s="3" t="s">
        <v>2755</v>
      </c>
      <c r="H659" s="1" t="s">
        <v>22</v>
      </c>
      <c r="I659" s="1" t="n">
        <v>20240430091132</v>
      </c>
      <c r="J659" s="3" t="s">
        <v>2756</v>
      </c>
      <c r="K659" s="3" t="s">
        <v>2757</v>
      </c>
      <c r="L659" s="3" t="s">
        <v>2758</v>
      </c>
      <c r="M659" s="3" t="n">
        <v>934678</v>
      </c>
      <c r="N659" s="3" t="s">
        <v>435</v>
      </c>
      <c r="O659" s="1" t="n">
        <v>918292</v>
      </c>
      <c r="P659" s="1" t="n">
        <v>98.25</v>
      </c>
      <c r="Q659" s="1" t="s">
        <v>20</v>
      </c>
      <c r="R659" s="1" t="s">
        <v>27</v>
      </c>
      <c r="S659" s="1" t="s">
        <v>28</v>
      </c>
      <c r="T659" s="1" t="s">
        <v>29</v>
      </c>
    </row>
    <row r="660" customFormat="false" ht="18.7" hidden="false" customHeight="true" outlineLevel="0" collapsed="false">
      <c r="A660" s="1" t="n">
        <v>659</v>
      </c>
      <c r="B660" s="6" t="str">
        <f aca="false">HYPERLINK("https://mncourtfraud.com/file/MCRO_27-CR-19-901_Notice of Hearing_2021-12-30_20240430091117.pdf","MCRO_27-CR-19-901_Notice of Hearing_2021-12-30_20240430091117.pdf")</f>
        <v>MCRO_27-CR-19-901_Notice of Hearing_2021-12-30_20240430091117.pdf</v>
      </c>
      <c r="C660" s="1" t="n">
        <v>5</v>
      </c>
      <c r="D660" s="1" t="n">
        <v>1</v>
      </c>
      <c r="E660" s="1" t="n">
        <v>1</v>
      </c>
      <c r="F660" s="3" t="s">
        <v>20</v>
      </c>
      <c r="G660" s="3" t="s">
        <v>2759</v>
      </c>
      <c r="H660" s="1" t="s">
        <v>22</v>
      </c>
      <c r="I660" s="1" t="n">
        <v>20240430091117</v>
      </c>
      <c r="J660" s="3" t="s">
        <v>2760</v>
      </c>
      <c r="K660" s="3" t="s">
        <v>2761</v>
      </c>
      <c r="L660" s="3" t="s">
        <v>2762</v>
      </c>
      <c r="M660" s="3" t="n">
        <v>210731</v>
      </c>
      <c r="N660" s="3" t="s">
        <v>2763</v>
      </c>
      <c r="O660" s="1" t="n">
        <v>194345</v>
      </c>
      <c r="P660" s="1" t="n">
        <v>92.22</v>
      </c>
      <c r="Q660" s="1" t="s">
        <v>20</v>
      </c>
      <c r="R660" s="1" t="s">
        <v>27</v>
      </c>
      <c r="S660" s="1" t="s">
        <v>28</v>
      </c>
      <c r="T660" s="1" t="s">
        <v>29</v>
      </c>
    </row>
    <row r="661" customFormat="false" ht="18.7" hidden="false" customHeight="true" outlineLevel="0" collapsed="false">
      <c r="A661" s="1" t="n">
        <v>660</v>
      </c>
      <c r="B661" s="6" t="str">
        <f aca="false">HYPERLINK("https://mncourtfraud.com/file/MCRO_27-CR-19-901_Notice of Hearing_2023-09-19_20240430091058.pdf","MCRO_27-CR-19-901_Notice of Hearing_2023-09-19_20240430091058.pdf")</f>
        <v>MCRO_27-CR-19-901_Notice of Hearing_2023-09-19_20240430091058.pdf</v>
      </c>
      <c r="C661" s="1" t="n">
        <v>5</v>
      </c>
      <c r="D661" s="1" t="n">
        <v>1</v>
      </c>
      <c r="E661" s="1" t="n">
        <v>1</v>
      </c>
      <c r="F661" s="3" t="s">
        <v>20</v>
      </c>
      <c r="G661" s="3" t="s">
        <v>2764</v>
      </c>
      <c r="H661" s="1" t="s">
        <v>22</v>
      </c>
      <c r="I661" s="1" t="n">
        <v>20240430091058</v>
      </c>
      <c r="J661" s="3" t="s">
        <v>2765</v>
      </c>
      <c r="K661" s="3" t="s">
        <v>2766</v>
      </c>
      <c r="L661" s="3" t="s">
        <v>2767</v>
      </c>
      <c r="M661" s="3" t="n">
        <v>740529</v>
      </c>
      <c r="N661" s="3" t="s">
        <v>2768</v>
      </c>
      <c r="O661" s="1" t="n">
        <v>724143</v>
      </c>
      <c r="P661" s="1" t="n">
        <v>97.79</v>
      </c>
      <c r="Q661" s="1" t="s">
        <v>20</v>
      </c>
      <c r="R661" s="1" t="s">
        <v>27</v>
      </c>
      <c r="S661" s="1" t="s">
        <v>28</v>
      </c>
      <c r="T661" s="1" t="s">
        <v>29</v>
      </c>
    </row>
    <row r="662" customFormat="false" ht="18.7" hidden="false" customHeight="true" outlineLevel="0" collapsed="false">
      <c r="A662" s="1" t="n">
        <v>661</v>
      </c>
      <c r="B662" s="6" t="str">
        <f aca="false">HYPERLINK("https://mncourtfraud.com/file/MCRO_27-CR-19-901_Notice of Hearing_2023-10-04_20240430091057.pdf","MCRO_27-CR-19-901_Notice of Hearing_2023-10-04_20240430091057.pdf")</f>
        <v>MCRO_27-CR-19-901_Notice of Hearing_2023-10-04_20240430091057.pdf</v>
      </c>
      <c r="C662" s="1" t="n">
        <v>4</v>
      </c>
      <c r="D662" s="1" t="n">
        <v>1</v>
      </c>
      <c r="E662" s="1" t="n">
        <v>1</v>
      </c>
      <c r="F662" s="3" t="s">
        <v>20</v>
      </c>
      <c r="G662" s="3" t="s">
        <v>2769</v>
      </c>
      <c r="H662" s="1" t="s">
        <v>22</v>
      </c>
      <c r="I662" s="1" t="n">
        <v>20240430091057</v>
      </c>
      <c r="J662" s="3" t="s">
        <v>2770</v>
      </c>
      <c r="K662" s="3" t="s">
        <v>2771</v>
      </c>
      <c r="L662" s="3" t="s">
        <v>2772</v>
      </c>
      <c r="M662" s="3" t="n">
        <v>99378</v>
      </c>
      <c r="N662" s="3" t="s">
        <v>435</v>
      </c>
      <c r="O662" s="1" t="n">
        <v>82992</v>
      </c>
      <c r="P662" s="1" t="n">
        <v>83.51</v>
      </c>
      <c r="Q662" s="1" t="s">
        <v>20</v>
      </c>
      <c r="R662" s="1" t="s">
        <v>27</v>
      </c>
      <c r="S662" s="1" t="s">
        <v>28</v>
      </c>
      <c r="T662" s="1" t="s">
        <v>29</v>
      </c>
    </row>
    <row r="663" customFormat="false" ht="18.7" hidden="false" customHeight="true" outlineLevel="0" collapsed="false">
      <c r="A663" s="1" t="n">
        <v>662</v>
      </c>
      <c r="B663" s="6" t="str">
        <f aca="false">HYPERLINK("https://mncourtfraud.com/file/MCRO_27-CR-19-901_Notice of Intent to Prosecute_2022-08-02_20240430091103.pdf","MCRO_27-CR-19-901_Notice of Intent to Prosecute_2022-08-02_20240430091103.pdf")</f>
        <v>MCRO_27-CR-19-901_Notice of Intent to Prosecute_2022-08-02_20240430091103.pdf</v>
      </c>
      <c r="C663" s="1" t="n">
        <v>3</v>
      </c>
      <c r="D663" s="1" t="n">
        <v>1</v>
      </c>
      <c r="E663" s="1" t="n">
        <v>1</v>
      </c>
      <c r="F663" s="3" t="s">
        <v>20</v>
      </c>
      <c r="G663" s="3" t="s">
        <v>2773</v>
      </c>
      <c r="H663" s="1" t="s">
        <v>22</v>
      </c>
      <c r="I663" s="1" t="n">
        <v>20240430091103</v>
      </c>
      <c r="J663" s="3" t="s">
        <v>2774</v>
      </c>
      <c r="K663" s="3" t="s">
        <v>2775</v>
      </c>
      <c r="L663" s="3" t="s">
        <v>2776</v>
      </c>
      <c r="M663" s="3" t="n">
        <v>137909</v>
      </c>
      <c r="N663" s="3" t="s">
        <v>2777</v>
      </c>
      <c r="O663" s="1" t="n">
        <v>121523</v>
      </c>
      <c r="P663" s="1" t="n">
        <v>88.12</v>
      </c>
      <c r="Q663" s="1" t="s">
        <v>20</v>
      </c>
      <c r="R663" s="1" t="s">
        <v>27</v>
      </c>
      <c r="S663" s="1" t="s">
        <v>28</v>
      </c>
      <c r="T663" s="1" t="s">
        <v>29</v>
      </c>
    </row>
    <row r="664" customFormat="false" ht="18.7" hidden="false" customHeight="true" outlineLevel="0" collapsed="false">
      <c r="A664" s="1" t="n">
        <v>663</v>
      </c>
      <c r="B664" s="6" t="str">
        <f aca="false">HYPERLINK("https://mncourtfraud.com/file/MCRO_27-CR-19-901_Notice of Remote Hearing with Instructions_2021-02-23_20240430091125.pdf","MCRO_27-CR-19-901_Notice of Remote Hearing with Instructions_2021-02-23_20240430091125.pdf")</f>
        <v>MCRO_27-CR-19-901_Notice of Remote Hearing with Instructions_2021-02-23_20240430091125.pdf</v>
      </c>
      <c r="C664" s="1" t="n">
        <v>4</v>
      </c>
      <c r="D664" s="1" t="n">
        <v>1</v>
      </c>
      <c r="E664" s="1" t="n">
        <v>1</v>
      </c>
      <c r="F664" s="3" t="s">
        <v>20</v>
      </c>
      <c r="G664" s="3" t="s">
        <v>2778</v>
      </c>
      <c r="H664" s="1" t="s">
        <v>22</v>
      </c>
      <c r="I664" s="1" t="n">
        <v>20240430091125</v>
      </c>
      <c r="J664" s="3" t="s">
        <v>2779</v>
      </c>
      <c r="K664" s="3" t="s">
        <v>2780</v>
      </c>
      <c r="L664" s="3" t="s">
        <v>2781</v>
      </c>
      <c r="M664" s="3" t="n">
        <v>157700</v>
      </c>
      <c r="N664" s="3" t="s">
        <v>1065</v>
      </c>
      <c r="O664" s="1" t="n">
        <v>141314</v>
      </c>
      <c r="P664" s="1" t="n">
        <v>89.61</v>
      </c>
      <c r="Q664" s="1" t="s">
        <v>20</v>
      </c>
      <c r="R664" s="1" t="s">
        <v>27</v>
      </c>
      <c r="S664" s="1" t="s">
        <v>28</v>
      </c>
      <c r="T664" s="1" t="s">
        <v>29</v>
      </c>
    </row>
    <row r="665" customFormat="false" ht="18.7" hidden="false" customHeight="true" outlineLevel="0" collapsed="false">
      <c r="A665" s="1" t="n">
        <v>664</v>
      </c>
      <c r="B665" s="6" t="str">
        <f aca="false">HYPERLINK("https://mncourtfraud.com/file/MCRO_27-CR-19-901_Notice of Remote Hearing with Instructions_2021-03-08_20240430091124.pdf","MCRO_27-CR-19-901_Notice of Remote Hearing with Instructions_2021-03-08_20240430091124.pdf")</f>
        <v>MCRO_27-CR-19-901_Notice of Remote Hearing with Instructions_2021-03-08_20240430091124.pdf</v>
      </c>
      <c r="C665" s="1" t="n">
        <v>6</v>
      </c>
      <c r="D665" s="1" t="n">
        <v>1</v>
      </c>
      <c r="E665" s="1" t="n">
        <v>1</v>
      </c>
      <c r="F665" s="3" t="s">
        <v>20</v>
      </c>
      <c r="G665" s="3" t="s">
        <v>2782</v>
      </c>
      <c r="H665" s="1" t="s">
        <v>22</v>
      </c>
      <c r="I665" s="1" t="n">
        <v>20240430091124</v>
      </c>
      <c r="J665" s="3" t="s">
        <v>2783</v>
      </c>
      <c r="K665" s="3" t="s">
        <v>2784</v>
      </c>
      <c r="L665" s="3" t="s">
        <v>2785</v>
      </c>
      <c r="M665" s="3" t="n">
        <v>1313970</v>
      </c>
      <c r="N665" s="3" t="s">
        <v>2786</v>
      </c>
      <c r="O665" s="1" t="n">
        <v>1297584</v>
      </c>
      <c r="P665" s="1" t="n">
        <v>98.75</v>
      </c>
      <c r="Q665" s="1" t="s">
        <v>20</v>
      </c>
      <c r="R665" s="1" t="s">
        <v>27</v>
      </c>
      <c r="S665" s="1" t="s">
        <v>28</v>
      </c>
      <c r="T665" s="1" t="s">
        <v>29</v>
      </c>
    </row>
    <row r="666" customFormat="false" ht="18.7" hidden="false" customHeight="true" outlineLevel="0" collapsed="false">
      <c r="A666" s="1" t="n">
        <v>665</v>
      </c>
      <c r="B666" s="6" t="str">
        <f aca="false">HYPERLINK("https://mncourtfraud.com/file/MCRO_27-CR-19-901_Notice of Remote Hearing with Instructions_2021-05-06_20240430091123.pdf","MCRO_27-CR-19-901_Notice of Remote Hearing with Instructions_2021-05-06_20240430091123.pdf")</f>
        <v>MCRO_27-CR-19-901_Notice of Remote Hearing with Instructions_2021-05-06_20240430091123.pdf</v>
      </c>
      <c r="C666" s="1" t="n">
        <v>4</v>
      </c>
      <c r="D666" s="1" t="n">
        <v>1</v>
      </c>
      <c r="E666" s="1" t="n">
        <v>1</v>
      </c>
      <c r="F666" s="3" t="s">
        <v>20</v>
      </c>
      <c r="G666" s="3" t="s">
        <v>2787</v>
      </c>
      <c r="H666" s="1" t="s">
        <v>22</v>
      </c>
      <c r="I666" s="1" t="n">
        <v>20240430091123</v>
      </c>
      <c r="J666" s="3" t="s">
        <v>2788</v>
      </c>
      <c r="K666" s="3" t="s">
        <v>2789</v>
      </c>
      <c r="L666" s="3" t="s">
        <v>2790</v>
      </c>
      <c r="M666" s="3" t="n">
        <v>158734</v>
      </c>
      <c r="N666" s="3" t="s">
        <v>1065</v>
      </c>
      <c r="O666" s="1" t="n">
        <v>142348</v>
      </c>
      <c r="P666" s="1" t="n">
        <v>89.68</v>
      </c>
      <c r="Q666" s="1" t="s">
        <v>20</v>
      </c>
      <c r="R666" s="1" t="s">
        <v>27</v>
      </c>
      <c r="S666" s="1" t="s">
        <v>28</v>
      </c>
      <c r="T666" s="1" t="s">
        <v>29</v>
      </c>
    </row>
    <row r="667" customFormat="false" ht="18.7" hidden="false" customHeight="true" outlineLevel="0" collapsed="false">
      <c r="A667" s="1" t="n">
        <v>666</v>
      </c>
      <c r="B667" s="6" t="str">
        <f aca="false">HYPERLINK("https://mncourtfraud.com/file/MCRO_27-CR-19-901_Notice of Remote Hearing with Instructions_2021-06-21_20240430091122.pdf","MCRO_27-CR-19-901_Notice of Remote Hearing with Instructions_2021-06-21_20240430091122.pdf")</f>
        <v>MCRO_27-CR-19-901_Notice of Remote Hearing with Instructions_2021-06-21_20240430091122.pdf</v>
      </c>
      <c r="C667" s="1" t="n">
        <v>4</v>
      </c>
      <c r="D667" s="1" t="n">
        <v>1</v>
      </c>
      <c r="E667" s="1" t="n">
        <v>1</v>
      </c>
      <c r="F667" s="3" t="s">
        <v>20</v>
      </c>
      <c r="G667" s="3" t="s">
        <v>2791</v>
      </c>
      <c r="H667" s="1" t="s">
        <v>22</v>
      </c>
      <c r="I667" s="1" t="n">
        <v>20240430091122</v>
      </c>
      <c r="J667" s="3" t="s">
        <v>2788</v>
      </c>
      <c r="K667" s="3" t="s">
        <v>2789</v>
      </c>
      <c r="L667" s="3" t="s">
        <v>2792</v>
      </c>
      <c r="M667" s="3" t="n">
        <v>883772</v>
      </c>
      <c r="N667" s="3" t="s">
        <v>1065</v>
      </c>
      <c r="O667" s="1" t="n">
        <v>867386</v>
      </c>
      <c r="P667" s="1" t="n">
        <v>98.15</v>
      </c>
      <c r="Q667" s="1" t="s">
        <v>20</v>
      </c>
      <c r="R667" s="1" t="s">
        <v>27</v>
      </c>
      <c r="S667" s="1" t="s">
        <v>28</v>
      </c>
      <c r="T667" s="1" t="s">
        <v>29</v>
      </c>
    </row>
    <row r="668" customFormat="false" ht="18.7" hidden="false" customHeight="true" outlineLevel="0" collapsed="false">
      <c r="A668" s="1" t="n">
        <v>667</v>
      </c>
      <c r="B668" s="6" t="str">
        <f aca="false">HYPERLINK("https://mncourtfraud.com/file/MCRO_27-CR-19-901_Notice of Remote Hearing with Instructions_2021-10-25_20240430091120.pdf","MCRO_27-CR-19-901_Notice of Remote Hearing with Instructions_2021-10-25_20240430091120.pdf")</f>
        <v>MCRO_27-CR-19-901_Notice of Remote Hearing with Instructions_2021-10-25_20240430091120.pdf</v>
      </c>
      <c r="C668" s="1" t="n">
        <v>4</v>
      </c>
      <c r="D668" s="1" t="n">
        <v>1</v>
      </c>
      <c r="E668" s="1" t="n">
        <v>1</v>
      </c>
      <c r="F668" s="3" t="s">
        <v>20</v>
      </c>
      <c r="G668" s="3" t="s">
        <v>2793</v>
      </c>
      <c r="H668" s="1" t="s">
        <v>22</v>
      </c>
      <c r="I668" s="1" t="n">
        <v>20240430091120</v>
      </c>
      <c r="J668" s="3" t="s">
        <v>2794</v>
      </c>
      <c r="K668" s="3" t="s">
        <v>2795</v>
      </c>
      <c r="L668" s="3" t="s">
        <v>2796</v>
      </c>
      <c r="M668" s="3" t="n">
        <v>155808</v>
      </c>
      <c r="N668" s="3" t="s">
        <v>1065</v>
      </c>
      <c r="O668" s="1" t="n">
        <v>139422</v>
      </c>
      <c r="P668" s="1" t="n">
        <v>89.48</v>
      </c>
      <c r="Q668" s="1" t="s">
        <v>20</v>
      </c>
      <c r="R668" s="1" t="s">
        <v>27</v>
      </c>
      <c r="S668" s="1" t="s">
        <v>28</v>
      </c>
      <c r="T668" s="1" t="s">
        <v>29</v>
      </c>
    </row>
    <row r="669" customFormat="false" ht="18.7" hidden="false" customHeight="true" outlineLevel="0" collapsed="false">
      <c r="A669" s="1" t="n">
        <v>668</v>
      </c>
      <c r="B669" s="6" t="str">
        <f aca="false">HYPERLINK("https://mncourtfraud.com/file/MCRO_27-CR-19-901_Notice of Remote Hearing with Instructions_2021-11-01_20240430091120.pdf","MCRO_27-CR-19-901_Notice of Remote Hearing with Instructions_2021-11-01_20240430091120.pdf")</f>
        <v>MCRO_27-CR-19-901_Notice of Remote Hearing with Instructions_2021-11-01_20240430091120.pdf</v>
      </c>
      <c r="C669" s="1" t="n">
        <v>5</v>
      </c>
      <c r="D669" s="1" t="n">
        <v>1</v>
      </c>
      <c r="E669" s="1" t="n">
        <v>1</v>
      </c>
      <c r="F669" s="3" t="s">
        <v>20</v>
      </c>
      <c r="G669" s="3" t="s">
        <v>2797</v>
      </c>
      <c r="H669" s="1" t="s">
        <v>22</v>
      </c>
      <c r="I669" s="1" t="n">
        <v>20240430091120</v>
      </c>
      <c r="J669" s="3" t="s">
        <v>2798</v>
      </c>
      <c r="K669" s="3" t="s">
        <v>2799</v>
      </c>
      <c r="L669" s="3" t="s">
        <v>2800</v>
      </c>
      <c r="M669" s="3" t="n">
        <v>889473</v>
      </c>
      <c r="N669" s="3" t="s">
        <v>854</v>
      </c>
      <c r="O669" s="1" t="n">
        <v>873087</v>
      </c>
      <c r="P669" s="1" t="n">
        <v>98.16</v>
      </c>
      <c r="Q669" s="1" t="s">
        <v>20</v>
      </c>
      <c r="R669" s="1" t="s">
        <v>27</v>
      </c>
      <c r="S669" s="1" t="s">
        <v>28</v>
      </c>
      <c r="T669" s="1" t="s">
        <v>29</v>
      </c>
    </row>
    <row r="670" customFormat="false" ht="18.7" hidden="false" customHeight="true" outlineLevel="0" collapsed="false">
      <c r="A670" s="1" t="n">
        <v>669</v>
      </c>
      <c r="B670" s="6" t="str">
        <f aca="false">HYPERLINK("https://mncourtfraud.com/file/MCRO_27-CR-19-901_Notice of Remote Hearing with Instructions_2021-11-02_20240430091119.pdf","MCRO_27-CR-19-901_Notice of Remote Hearing with Instructions_2021-11-02_20240430091119.pdf")</f>
        <v>MCRO_27-CR-19-901_Notice of Remote Hearing with Instructions_2021-11-02_20240430091119.pdf</v>
      </c>
      <c r="C670" s="1" t="n">
        <v>5</v>
      </c>
      <c r="D670" s="1" t="n">
        <v>1</v>
      </c>
      <c r="E670" s="1" t="n">
        <v>1</v>
      </c>
      <c r="F670" s="3" t="s">
        <v>20</v>
      </c>
      <c r="G670" s="3" t="s">
        <v>2801</v>
      </c>
      <c r="H670" s="1" t="s">
        <v>22</v>
      </c>
      <c r="I670" s="1" t="n">
        <v>20240430091119</v>
      </c>
      <c r="J670" s="3" t="s">
        <v>2802</v>
      </c>
      <c r="K670" s="3" t="s">
        <v>2803</v>
      </c>
      <c r="L670" s="3" t="s">
        <v>2804</v>
      </c>
      <c r="M670" s="3" t="n">
        <v>854085</v>
      </c>
      <c r="N670" s="3" t="s">
        <v>510</v>
      </c>
      <c r="O670" s="1" t="n">
        <v>837699</v>
      </c>
      <c r="P670" s="1" t="n">
        <v>98.08</v>
      </c>
      <c r="Q670" s="1" t="s">
        <v>20</v>
      </c>
      <c r="R670" s="1" t="s">
        <v>27</v>
      </c>
      <c r="S670" s="1" t="s">
        <v>28</v>
      </c>
      <c r="T670" s="1" t="s">
        <v>29</v>
      </c>
    </row>
    <row r="671" customFormat="false" ht="18.7" hidden="false" customHeight="true" outlineLevel="0" collapsed="false">
      <c r="A671" s="1" t="n">
        <v>670</v>
      </c>
      <c r="B671" s="6" t="str">
        <f aca="false">HYPERLINK("https://mncourtfraud.com/file/MCRO_27-CR-19-901_Notice of Remote Hearing with Instructions_2022-03-22_20240430091116.pdf","MCRO_27-CR-19-901_Notice of Remote Hearing with Instructions_2022-03-22_20240430091116.pdf")</f>
        <v>MCRO_27-CR-19-901_Notice of Remote Hearing with Instructions_2022-03-22_20240430091116.pdf</v>
      </c>
      <c r="C671" s="1" t="n">
        <v>5</v>
      </c>
      <c r="D671" s="1" t="n">
        <v>1</v>
      </c>
      <c r="E671" s="1" t="n">
        <v>1</v>
      </c>
      <c r="F671" s="3" t="s">
        <v>20</v>
      </c>
      <c r="G671" s="3" t="s">
        <v>2805</v>
      </c>
      <c r="H671" s="1" t="s">
        <v>22</v>
      </c>
      <c r="I671" s="1" t="n">
        <v>20240430091116</v>
      </c>
      <c r="J671" s="3" t="s">
        <v>2806</v>
      </c>
      <c r="K671" s="3" t="s">
        <v>2807</v>
      </c>
      <c r="L671" s="3" t="s">
        <v>2808</v>
      </c>
      <c r="M671" s="3" t="n">
        <v>889520</v>
      </c>
      <c r="N671" s="3" t="s">
        <v>854</v>
      </c>
      <c r="O671" s="1" t="n">
        <v>873134</v>
      </c>
      <c r="P671" s="1" t="n">
        <v>98.16</v>
      </c>
      <c r="Q671" s="1" t="s">
        <v>20</v>
      </c>
      <c r="R671" s="1" t="s">
        <v>27</v>
      </c>
      <c r="S671" s="1" t="s">
        <v>28</v>
      </c>
      <c r="T671" s="1" t="s">
        <v>29</v>
      </c>
    </row>
    <row r="672" customFormat="false" ht="18.7" hidden="false" customHeight="true" outlineLevel="0" collapsed="false">
      <c r="A672" s="1" t="n">
        <v>671</v>
      </c>
      <c r="B672" s="6" t="str">
        <f aca="false">HYPERLINK("https://mncourtfraud.com/file/MCRO_27-CR-19-901_Notice of Remote Hearing with Instructions_2022-04-04_20240430091115.pdf","MCRO_27-CR-19-901_Notice of Remote Hearing with Instructions_2022-04-04_20240430091115.pdf")</f>
        <v>MCRO_27-CR-19-901_Notice of Remote Hearing with Instructions_2022-04-04_20240430091115.pdf</v>
      </c>
      <c r="C672" s="1" t="n">
        <v>4</v>
      </c>
      <c r="D672" s="1" t="n">
        <v>1</v>
      </c>
      <c r="E672" s="1" t="n">
        <v>1</v>
      </c>
      <c r="F672" s="3" t="s">
        <v>20</v>
      </c>
      <c r="G672" s="3" t="s">
        <v>2809</v>
      </c>
      <c r="H672" s="1" t="s">
        <v>22</v>
      </c>
      <c r="I672" s="1" t="n">
        <v>20240430091115</v>
      </c>
      <c r="J672" s="3" t="s">
        <v>2810</v>
      </c>
      <c r="K672" s="3" t="s">
        <v>2811</v>
      </c>
      <c r="L672" s="3" t="s">
        <v>2812</v>
      </c>
      <c r="M672" s="3" t="n">
        <v>141548</v>
      </c>
      <c r="N672" s="3" t="s">
        <v>2813</v>
      </c>
      <c r="O672" s="1" t="n">
        <v>125162</v>
      </c>
      <c r="P672" s="1" t="n">
        <v>88.42</v>
      </c>
      <c r="Q672" s="1" t="s">
        <v>20</v>
      </c>
      <c r="R672" s="1" t="s">
        <v>27</v>
      </c>
      <c r="S672" s="1" t="s">
        <v>28</v>
      </c>
      <c r="T672" s="1" t="s">
        <v>29</v>
      </c>
    </row>
    <row r="673" customFormat="false" ht="18.7" hidden="false" customHeight="true" outlineLevel="0" collapsed="false">
      <c r="A673" s="1" t="n">
        <v>672</v>
      </c>
      <c r="B673" s="6" t="str">
        <f aca="false">HYPERLINK("https://mncourtfraud.com/file/MCRO_27-CR-19-901_Notice of Remote Hearing with Instructions_2022-04-12_20240430091113.pdf","MCRO_27-CR-19-901_Notice of Remote Hearing with Instructions_2022-04-12_20240430091113.pdf")</f>
        <v>MCRO_27-CR-19-901_Notice of Remote Hearing with Instructions_2022-04-12_20240430091113.pdf</v>
      </c>
      <c r="C673" s="1" t="n">
        <v>4</v>
      </c>
      <c r="D673" s="1" t="n">
        <v>1</v>
      </c>
      <c r="E673" s="1" t="n">
        <v>1</v>
      </c>
      <c r="F673" s="3" t="s">
        <v>20</v>
      </c>
      <c r="G673" s="3" t="s">
        <v>2814</v>
      </c>
      <c r="H673" s="1" t="s">
        <v>22</v>
      </c>
      <c r="I673" s="1" t="n">
        <v>20240430091113</v>
      </c>
      <c r="J673" s="3" t="s">
        <v>2815</v>
      </c>
      <c r="K673" s="3" t="s">
        <v>2816</v>
      </c>
      <c r="L673" s="3" t="s">
        <v>2817</v>
      </c>
      <c r="M673" s="3" t="n">
        <v>821735</v>
      </c>
      <c r="N673" s="3" t="s">
        <v>2818</v>
      </c>
      <c r="O673" s="1" t="n">
        <v>805349</v>
      </c>
      <c r="P673" s="1" t="n">
        <v>98.01</v>
      </c>
      <c r="Q673" s="1" t="s">
        <v>20</v>
      </c>
      <c r="R673" s="1" t="s">
        <v>27</v>
      </c>
      <c r="S673" s="1" t="s">
        <v>28</v>
      </c>
      <c r="T673" s="1" t="s">
        <v>29</v>
      </c>
    </row>
    <row r="674" customFormat="false" ht="18.7" hidden="false" customHeight="true" outlineLevel="0" collapsed="false">
      <c r="A674" s="1" t="n">
        <v>673</v>
      </c>
      <c r="B674" s="6" t="str">
        <f aca="false">HYPERLINK("https://mncourtfraud.com/file/MCRO_27-CR-19-901_Notice of Remote Hearing with Instructions_2022-04-12_20240430091114.pdf","MCRO_27-CR-19-901_Notice of Remote Hearing with Instructions_2022-04-12_20240430091114.pdf")</f>
        <v>MCRO_27-CR-19-901_Notice of Remote Hearing with Instructions_2022-04-12_20240430091114.pdf</v>
      </c>
      <c r="C674" s="1" t="n">
        <v>4</v>
      </c>
      <c r="D674" s="1" t="n">
        <v>1</v>
      </c>
      <c r="E674" s="1" t="n">
        <v>1</v>
      </c>
      <c r="F674" s="3" t="s">
        <v>20</v>
      </c>
      <c r="G674" s="3" t="s">
        <v>2819</v>
      </c>
      <c r="H674" s="1" t="s">
        <v>22</v>
      </c>
      <c r="I674" s="1" t="n">
        <v>20240430091114</v>
      </c>
      <c r="J674" s="3" t="s">
        <v>2820</v>
      </c>
      <c r="K674" s="3" t="s">
        <v>2821</v>
      </c>
      <c r="L674" s="3" t="s">
        <v>2822</v>
      </c>
      <c r="M674" s="3" t="n">
        <v>821783</v>
      </c>
      <c r="N674" s="3" t="s">
        <v>2818</v>
      </c>
      <c r="O674" s="1" t="n">
        <v>805397</v>
      </c>
      <c r="P674" s="1" t="n">
        <v>98.01</v>
      </c>
      <c r="Q674" s="1" t="s">
        <v>20</v>
      </c>
      <c r="R674" s="1" t="s">
        <v>27</v>
      </c>
      <c r="S674" s="1" t="s">
        <v>28</v>
      </c>
      <c r="T674" s="1" t="s">
        <v>29</v>
      </c>
    </row>
    <row r="675" customFormat="false" ht="18.7" hidden="false" customHeight="true" outlineLevel="0" collapsed="false">
      <c r="A675" s="1" t="n">
        <v>674</v>
      </c>
      <c r="B675" s="6" t="str">
        <f aca="false">HYPERLINK("https://mncourtfraud.com/file/MCRO_27-CR-19-901_Notice of Remote Hearing with Instructions_2022-04-26_20240430091111.pdf","MCRO_27-CR-19-901_Notice of Remote Hearing with Instructions_2022-04-26_20240430091111.pdf")</f>
        <v>MCRO_27-CR-19-901_Notice of Remote Hearing with Instructions_2022-04-26_20240430091111.pdf</v>
      </c>
      <c r="C675" s="1" t="n">
        <v>5</v>
      </c>
      <c r="D675" s="1" t="n">
        <v>1</v>
      </c>
      <c r="E675" s="1" t="n">
        <v>1</v>
      </c>
      <c r="F675" s="3" t="s">
        <v>20</v>
      </c>
      <c r="G675" s="3" t="s">
        <v>2823</v>
      </c>
      <c r="H675" s="1" t="s">
        <v>22</v>
      </c>
      <c r="I675" s="1" t="n">
        <v>20240430091111</v>
      </c>
      <c r="J675" s="3" t="s">
        <v>2824</v>
      </c>
      <c r="K675" s="3" t="s">
        <v>2825</v>
      </c>
      <c r="L675" s="3" t="s">
        <v>2826</v>
      </c>
      <c r="M675" s="3" t="n">
        <v>841499</v>
      </c>
      <c r="N675" s="3" t="s">
        <v>849</v>
      </c>
      <c r="O675" s="1" t="n">
        <v>825113</v>
      </c>
      <c r="P675" s="1" t="n">
        <v>98.05</v>
      </c>
      <c r="Q675" s="1" t="s">
        <v>20</v>
      </c>
      <c r="R675" s="1" t="s">
        <v>27</v>
      </c>
      <c r="S675" s="1" t="s">
        <v>28</v>
      </c>
      <c r="T675" s="1" t="s">
        <v>29</v>
      </c>
    </row>
    <row r="676" customFormat="false" ht="18.7" hidden="false" customHeight="true" outlineLevel="0" collapsed="false">
      <c r="A676" s="1" t="n">
        <v>675</v>
      </c>
      <c r="B676" s="6" t="str">
        <f aca="false">HYPERLINK("https://mncourtfraud.com/file/MCRO_27-CR-19-901_Notice of Remote Hearing with Instructions_2022-04-26_20240430091112.pdf","MCRO_27-CR-19-901_Notice of Remote Hearing with Instructions_2022-04-26_20240430091112.pdf")</f>
        <v>MCRO_27-CR-19-901_Notice of Remote Hearing with Instructions_2022-04-26_20240430091112.pdf</v>
      </c>
      <c r="C676" s="1" t="n">
        <v>5</v>
      </c>
      <c r="D676" s="1" t="n">
        <v>1</v>
      </c>
      <c r="E676" s="1" t="n">
        <v>1</v>
      </c>
      <c r="F676" s="3" t="s">
        <v>20</v>
      </c>
      <c r="G676" s="3" t="s">
        <v>2827</v>
      </c>
      <c r="H676" s="1" t="s">
        <v>22</v>
      </c>
      <c r="I676" s="1" t="n">
        <v>20240430091112</v>
      </c>
      <c r="J676" s="3" t="s">
        <v>2828</v>
      </c>
      <c r="K676" s="3" t="s">
        <v>2829</v>
      </c>
      <c r="L676" s="3" t="s">
        <v>2830</v>
      </c>
      <c r="M676" s="3" t="n">
        <v>380356</v>
      </c>
      <c r="N676" s="3" t="s">
        <v>26</v>
      </c>
      <c r="O676" s="1" t="n">
        <v>363970</v>
      </c>
      <c r="P676" s="1" t="n">
        <v>95.69</v>
      </c>
      <c r="Q676" s="1" t="s">
        <v>20</v>
      </c>
      <c r="R676" s="1" t="s">
        <v>27</v>
      </c>
      <c r="S676" s="1" t="s">
        <v>28</v>
      </c>
      <c r="T676" s="1" t="s">
        <v>29</v>
      </c>
    </row>
    <row r="677" customFormat="false" ht="18.7" hidden="false" customHeight="true" outlineLevel="0" collapsed="false">
      <c r="A677" s="1" t="n">
        <v>676</v>
      </c>
      <c r="B677" s="6" t="str">
        <f aca="false">HYPERLINK("https://mncourtfraud.com/file/MCRO_27-CR-19-901_Notice of Remote Hearing with Instructions_2022-05-02_20240430091110.pdf","MCRO_27-CR-19-901_Notice of Remote Hearing with Instructions_2022-05-02_20240430091110.pdf")</f>
        <v>MCRO_27-CR-19-901_Notice of Remote Hearing with Instructions_2022-05-02_20240430091110.pdf</v>
      </c>
      <c r="C677" s="1" t="n">
        <v>4</v>
      </c>
      <c r="D677" s="1" t="n">
        <v>1</v>
      </c>
      <c r="E677" s="1" t="n">
        <v>1</v>
      </c>
      <c r="F677" s="3" t="s">
        <v>20</v>
      </c>
      <c r="G677" s="3" t="s">
        <v>2831</v>
      </c>
      <c r="H677" s="1" t="s">
        <v>22</v>
      </c>
      <c r="I677" s="1" t="n">
        <v>20240430091110</v>
      </c>
      <c r="J677" s="3" t="s">
        <v>2832</v>
      </c>
      <c r="K677" s="3" t="s">
        <v>2833</v>
      </c>
      <c r="L677" s="3" t="s">
        <v>2834</v>
      </c>
      <c r="M677" s="3" t="n">
        <v>829348</v>
      </c>
      <c r="N677" s="3" t="s">
        <v>1065</v>
      </c>
      <c r="O677" s="1" t="n">
        <v>812962</v>
      </c>
      <c r="P677" s="1" t="n">
        <v>98.02</v>
      </c>
      <c r="Q677" s="1" t="s">
        <v>20</v>
      </c>
      <c r="R677" s="1" t="s">
        <v>27</v>
      </c>
      <c r="S677" s="1" t="s">
        <v>28</v>
      </c>
      <c r="T677" s="1" t="s">
        <v>29</v>
      </c>
    </row>
    <row r="678" customFormat="false" ht="18.7" hidden="false" customHeight="true" outlineLevel="0" collapsed="false">
      <c r="A678" s="1" t="n">
        <v>677</v>
      </c>
      <c r="B678" s="6" t="str">
        <f aca="false">HYPERLINK("https://mncourtfraud.com/file/MCRO_27-CR-19-901_Notice of Remote Hearing with Instructions_2022-05-05_20240430091109.pdf","MCRO_27-CR-19-901_Notice of Remote Hearing with Instructions_2022-05-05_20240430091109.pdf")</f>
        <v>MCRO_27-CR-19-901_Notice of Remote Hearing with Instructions_2022-05-05_20240430091109.pdf</v>
      </c>
      <c r="C678" s="1" t="n">
        <v>5</v>
      </c>
      <c r="D678" s="1" t="n">
        <v>1</v>
      </c>
      <c r="E678" s="1" t="n">
        <v>1</v>
      </c>
      <c r="F678" s="3" t="s">
        <v>20</v>
      </c>
      <c r="G678" s="3" t="s">
        <v>2835</v>
      </c>
      <c r="H678" s="1" t="s">
        <v>22</v>
      </c>
      <c r="I678" s="1" t="n">
        <v>20240430091109</v>
      </c>
      <c r="J678" s="3" t="s">
        <v>2836</v>
      </c>
      <c r="K678" s="3" t="s">
        <v>2837</v>
      </c>
      <c r="L678" s="3" t="s">
        <v>2838</v>
      </c>
      <c r="M678" s="3" t="n">
        <v>367800</v>
      </c>
      <c r="N678" s="3" t="s">
        <v>2839</v>
      </c>
      <c r="O678" s="1" t="n">
        <v>351414</v>
      </c>
      <c r="P678" s="1" t="n">
        <v>95.54</v>
      </c>
      <c r="Q678" s="1" t="s">
        <v>20</v>
      </c>
      <c r="R678" s="1" t="s">
        <v>27</v>
      </c>
      <c r="S678" s="1" t="s">
        <v>28</v>
      </c>
      <c r="T678" s="1" t="s">
        <v>29</v>
      </c>
    </row>
    <row r="679" customFormat="false" ht="18.7" hidden="false" customHeight="true" outlineLevel="0" collapsed="false">
      <c r="A679" s="1" t="n">
        <v>678</v>
      </c>
      <c r="B679" s="6" t="str">
        <f aca="false">HYPERLINK("https://mncourtfraud.com/file/MCRO_27-CR-19-901_Notice of Remote Hearing with Instructions_2022-05-09_20240430091106.pdf","MCRO_27-CR-19-901_Notice of Remote Hearing with Instructions_2022-05-09_20240430091106.pdf")</f>
        <v>MCRO_27-CR-19-901_Notice of Remote Hearing with Instructions_2022-05-09_20240430091106.pdf</v>
      </c>
      <c r="C679" s="1" t="n">
        <v>5</v>
      </c>
      <c r="D679" s="1" t="n">
        <v>1</v>
      </c>
      <c r="E679" s="1" t="n">
        <v>1</v>
      </c>
      <c r="F679" s="3" t="s">
        <v>20</v>
      </c>
      <c r="G679" s="3" t="s">
        <v>2840</v>
      </c>
      <c r="H679" s="1" t="s">
        <v>22</v>
      </c>
      <c r="I679" s="1" t="n">
        <v>20240430091106</v>
      </c>
      <c r="J679" s="3" t="s">
        <v>2841</v>
      </c>
      <c r="K679" s="3" t="s">
        <v>2842</v>
      </c>
      <c r="L679" s="3" t="s">
        <v>2843</v>
      </c>
      <c r="M679" s="3" t="n">
        <v>840265</v>
      </c>
      <c r="N679" s="3" t="s">
        <v>849</v>
      </c>
      <c r="O679" s="1" t="n">
        <v>823879</v>
      </c>
      <c r="P679" s="1" t="n">
        <v>98.05</v>
      </c>
      <c r="Q679" s="1" t="s">
        <v>20</v>
      </c>
      <c r="R679" s="1" t="s">
        <v>27</v>
      </c>
      <c r="S679" s="1" t="s">
        <v>28</v>
      </c>
      <c r="T679" s="1" t="s">
        <v>29</v>
      </c>
    </row>
    <row r="680" customFormat="false" ht="18.7" hidden="false" customHeight="true" outlineLevel="0" collapsed="false">
      <c r="A680" s="1" t="n">
        <v>679</v>
      </c>
      <c r="B680" s="6" t="str">
        <f aca="false">HYPERLINK("https://mncourtfraud.com/file/MCRO_27-CR-19-901_Notice of Remote Hearing with Instructions_2022-05-09_20240430091107.pdf","MCRO_27-CR-19-901_Notice of Remote Hearing with Instructions_2022-05-09_20240430091107.pdf")</f>
        <v>MCRO_27-CR-19-901_Notice of Remote Hearing with Instructions_2022-05-09_20240430091107.pdf</v>
      </c>
      <c r="C680" s="1" t="n">
        <v>5</v>
      </c>
      <c r="D680" s="1" t="n">
        <v>1</v>
      </c>
      <c r="E680" s="1" t="n">
        <v>1</v>
      </c>
      <c r="F680" s="3" t="s">
        <v>20</v>
      </c>
      <c r="G680" s="3" t="s">
        <v>2844</v>
      </c>
      <c r="H680" s="1" t="s">
        <v>22</v>
      </c>
      <c r="I680" s="1" t="n">
        <v>20240430091107</v>
      </c>
      <c r="J680" s="3" t="s">
        <v>2845</v>
      </c>
      <c r="K680" s="3" t="s">
        <v>2846</v>
      </c>
      <c r="L680" s="3" t="s">
        <v>2847</v>
      </c>
      <c r="M680" s="3" t="n">
        <v>840175</v>
      </c>
      <c r="N680" s="3" t="s">
        <v>849</v>
      </c>
      <c r="O680" s="1" t="n">
        <v>823789</v>
      </c>
      <c r="P680" s="1" t="n">
        <v>98.05</v>
      </c>
      <c r="Q680" s="1" t="s">
        <v>20</v>
      </c>
      <c r="R680" s="1" t="s">
        <v>27</v>
      </c>
      <c r="S680" s="1" t="s">
        <v>28</v>
      </c>
      <c r="T680" s="1" t="s">
        <v>29</v>
      </c>
    </row>
    <row r="681" customFormat="false" ht="18.7" hidden="false" customHeight="true" outlineLevel="0" collapsed="false">
      <c r="A681" s="1" t="n">
        <v>680</v>
      </c>
      <c r="B681" s="6" t="str">
        <f aca="false">HYPERLINK("https://mncourtfraud.com/file/MCRO_27-CR-19-901_Notice of Remote Hearing with Instructions_2023-09-12_20240430091059.pdf","MCRO_27-CR-19-901_Notice of Remote Hearing with Instructions_2023-09-12_20240430091059.pdf")</f>
        <v>MCRO_27-CR-19-901_Notice of Remote Hearing with Instructions_2023-09-12_20240430091059.pdf</v>
      </c>
      <c r="C681" s="1" t="n">
        <v>5</v>
      </c>
      <c r="D681" s="1" t="n">
        <v>1</v>
      </c>
      <c r="E681" s="1" t="n">
        <v>1</v>
      </c>
      <c r="F681" s="3" t="s">
        <v>20</v>
      </c>
      <c r="G681" s="3" t="s">
        <v>2848</v>
      </c>
      <c r="H681" s="1" t="s">
        <v>22</v>
      </c>
      <c r="I681" s="1" t="n">
        <v>20240430091059</v>
      </c>
      <c r="J681" s="3" t="s">
        <v>2849</v>
      </c>
      <c r="K681" s="3" t="s">
        <v>2850</v>
      </c>
      <c r="L681" s="3" t="s">
        <v>2851</v>
      </c>
      <c r="M681" s="3" t="n">
        <v>845655</v>
      </c>
      <c r="N681" s="3" t="s">
        <v>2852</v>
      </c>
      <c r="O681" s="1" t="n">
        <v>829269</v>
      </c>
      <c r="P681" s="1" t="n">
        <v>98.06</v>
      </c>
      <c r="Q681" s="1" t="s">
        <v>20</v>
      </c>
      <c r="R681" s="1" t="s">
        <v>27</v>
      </c>
      <c r="S681" s="1" t="s">
        <v>28</v>
      </c>
      <c r="T681" s="1" t="s">
        <v>29</v>
      </c>
    </row>
    <row r="682" customFormat="false" ht="18.7" hidden="false" customHeight="true" outlineLevel="0" collapsed="false">
      <c r="A682" s="1" t="n">
        <v>681</v>
      </c>
      <c r="B682" s="6" t="str">
        <f aca="false">HYPERLINK("https://mncourtfraud.com/file/MCRO_27-CR-19-901_Order-Evaluation for Competency to Proceed (Rule 20.01)_2019-03-04_20240430091136.pdf","MCRO_27-CR-19-901_Order-Evaluation for Competency to Proceed (Rule 20.01)_2019-03-04_20240430091136.pdf")</f>
        <v>MCRO_27-CR-19-901_Order-Evaluation for Competency to Proceed (Rule 20.01)_2019-03-04_20240430091136.pdf</v>
      </c>
      <c r="C682" s="1" t="n">
        <v>4</v>
      </c>
      <c r="D682" s="1" t="n">
        <v>1</v>
      </c>
      <c r="E682" s="1" t="n">
        <v>1</v>
      </c>
      <c r="F682" s="3" t="s">
        <v>20</v>
      </c>
      <c r="G682" s="3" t="s">
        <v>2853</v>
      </c>
      <c r="H682" s="1" t="s">
        <v>22</v>
      </c>
      <c r="I682" s="1" t="n">
        <v>20240430091136</v>
      </c>
      <c r="J682" s="3" t="s">
        <v>2854</v>
      </c>
      <c r="K682" s="3" t="s">
        <v>2855</v>
      </c>
      <c r="L682" s="3" t="s">
        <v>2856</v>
      </c>
      <c r="M682" s="3" t="n">
        <v>178416</v>
      </c>
      <c r="N682" s="3" t="s">
        <v>777</v>
      </c>
      <c r="O682" s="1" t="n">
        <v>162030</v>
      </c>
      <c r="P682" s="1" t="n">
        <v>90.82</v>
      </c>
      <c r="Q682" s="1" t="s">
        <v>20</v>
      </c>
      <c r="R682" s="1" t="s">
        <v>27</v>
      </c>
      <c r="S682" s="1" t="s">
        <v>28</v>
      </c>
      <c r="T682" s="1" t="s">
        <v>29</v>
      </c>
    </row>
    <row r="683" customFormat="false" ht="18.7" hidden="false" customHeight="true" outlineLevel="0" collapsed="false">
      <c r="A683" s="1" t="n">
        <v>682</v>
      </c>
      <c r="B683" s="6" t="str">
        <f aca="false">HYPERLINK("https://mncourtfraud.com/file/MCRO_27-CR-19-901_Order-Evaluation for Competency to Proceed (Rule 20.01)_2022-05-09_20240430091108.pdf","MCRO_27-CR-19-901_Order-Evaluation for Competency to Proceed (Rule 20.01)_2022-05-09_20240430091108.pdf")</f>
        <v>MCRO_27-CR-19-901_Order-Evaluation for Competency to Proceed (Rule 20.01)_2022-05-09_20240430091108.pdf</v>
      </c>
      <c r="C683" s="1" t="n">
        <v>4</v>
      </c>
      <c r="D683" s="1" t="n">
        <v>1</v>
      </c>
      <c r="E683" s="1" t="n">
        <v>1</v>
      </c>
      <c r="F683" s="3" t="s">
        <v>20</v>
      </c>
      <c r="G683" s="3" t="s">
        <v>2857</v>
      </c>
      <c r="H683" s="1" t="s">
        <v>22</v>
      </c>
      <c r="I683" s="1" t="n">
        <v>20240430091108</v>
      </c>
      <c r="J683" s="3" t="s">
        <v>2858</v>
      </c>
      <c r="K683" s="3" t="s">
        <v>2859</v>
      </c>
      <c r="L683" s="3" t="s">
        <v>2860</v>
      </c>
      <c r="M683" s="3" t="n">
        <v>3053427</v>
      </c>
      <c r="N683" s="3" t="s">
        <v>2861</v>
      </c>
      <c r="O683" s="1" t="n">
        <v>3037041</v>
      </c>
      <c r="P683" s="1" t="n">
        <v>99.46</v>
      </c>
      <c r="Q683" s="1" t="s">
        <v>20</v>
      </c>
      <c r="R683" s="1" t="s">
        <v>27</v>
      </c>
      <c r="S683" s="1" t="s">
        <v>28</v>
      </c>
      <c r="T683" s="1" t="s">
        <v>29</v>
      </c>
    </row>
    <row r="684" customFormat="false" ht="18.7" hidden="false" customHeight="true" outlineLevel="0" collapsed="false">
      <c r="A684" s="1" t="n">
        <v>683</v>
      </c>
      <c r="B684" s="6" t="str">
        <f aca="false">HYPERLINK("https://mncourtfraud.com/file/MCRO_27-CR-19-901_Order-Evaluation for Competency to Proceed (Rule 20.01)_2022-11-23_20240430091102.pdf","MCRO_27-CR-19-901_Order-Evaluation for Competency to Proceed (Rule 20.01)_2022-11-23_20240430091102.pdf")</f>
        <v>MCRO_27-CR-19-901_Order-Evaluation for Competency to Proceed (Rule 20.01)_2022-11-23_20240430091102.pdf</v>
      </c>
      <c r="C684" s="1" t="n">
        <v>3</v>
      </c>
      <c r="D684" s="1" t="n">
        <v>1</v>
      </c>
      <c r="E684" s="1" t="n">
        <v>1</v>
      </c>
      <c r="F684" s="3" t="s">
        <v>20</v>
      </c>
      <c r="G684" s="3" t="s">
        <v>2862</v>
      </c>
      <c r="H684" s="1" t="s">
        <v>22</v>
      </c>
      <c r="I684" s="1" t="n">
        <v>20240430091102</v>
      </c>
      <c r="J684" s="3" t="s">
        <v>2863</v>
      </c>
      <c r="K684" s="3" t="s">
        <v>2864</v>
      </c>
      <c r="L684" s="3" t="s">
        <v>2865</v>
      </c>
      <c r="M684" s="3" t="n">
        <v>810763</v>
      </c>
      <c r="N684" s="3" t="s">
        <v>2520</v>
      </c>
      <c r="O684" s="1" t="n">
        <v>794377</v>
      </c>
      <c r="P684" s="1" t="n">
        <v>97.98</v>
      </c>
      <c r="Q684" s="1" t="s">
        <v>20</v>
      </c>
      <c r="R684" s="1" t="s">
        <v>27</v>
      </c>
      <c r="S684" s="1" t="s">
        <v>28</v>
      </c>
      <c r="T684" s="1" t="s">
        <v>29</v>
      </c>
    </row>
    <row r="685" customFormat="false" ht="18.7" hidden="false" customHeight="true" outlineLevel="0" collapsed="false">
      <c r="A685" s="1" t="n">
        <v>684</v>
      </c>
      <c r="B685" s="6" t="str">
        <f aca="false">HYPERLINK("https://mncourtfraud.com/file/MCRO_27-CR-19-901_Order-Evaluation for Competency to Proceed (Rule 20.01)_2022-11-28_20240430091102.pdf","MCRO_27-CR-19-901_Order-Evaluation for Competency to Proceed (Rule 20.01)_2022-11-28_20240430091102.pdf")</f>
        <v>MCRO_27-CR-19-901_Order-Evaluation for Competency to Proceed (Rule 20.01)_2022-11-28_20240430091102.pdf</v>
      </c>
      <c r="C685" s="1" t="n">
        <v>3</v>
      </c>
      <c r="D685" s="1" t="n">
        <v>1</v>
      </c>
      <c r="E685" s="1" t="n">
        <v>1</v>
      </c>
      <c r="F685" s="3" t="s">
        <v>20</v>
      </c>
      <c r="G685" s="3" t="s">
        <v>2866</v>
      </c>
      <c r="H685" s="1" t="s">
        <v>22</v>
      </c>
      <c r="I685" s="1" t="n">
        <v>20240430091102</v>
      </c>
      <c r="J685" s="3" t="s">
        <v>2867</v>
      </c>
      <c r="K685" s="3" t="s">
        <v>2868</v>
      </c>
      <c r="L685" s="3" t="s">
        <v>2869</v>
      </c>
      <c r="M685" s="3" t="n">
        <v>852696</v>
      </c>
      <c r="N685" s="3" t="s">
        <v>2870</v>
      </c>
      <c r="O685" s="1" t="n">
        <v>836310</v>
      </c>
      <c r="P685" s="1" t="n">
        <v>98.08</v>
      </c>
      <c r="Q685" s="1" t="s">
        <v>20</v>
      </c>
      <c r="R685" s="1" t="s">
        <v>27</v>
      </c>
      <c r="S685" s="1" t="s">
        <v>28</v>
      </c>
      <c r="T685" s="1" t="s">
        <v>29</v>
      </c>
    </row>
    <row r="686" customFormat="false" ht="18.7" hidden="false" customHeight="true" outlineLevel="0" collapsed="false">
      <c r="A686" s="1" t="n">
        <v>685</v>
      </c>
      <c r="B686" s="6" t="str">
        <f aca="false">HYPERLINK("https://mncourtfraud.com/file/MCRO_27-CR-19-901_Order-Other_2019-05-17_20240430091129.pdf","MCRO_27-CR-19-901_Order-Other_2019-05-17_20240430091129.pdf")</f>
        <v>MCRO_27-CR-19-901_Order-Other_2019-05-17_20240430091129.pdf</v>
      </c>
      <c r="C686" s="1" t="n">
        <v>4</v>
      </c>
      <c r="D686" s="1" t="n">
        <v>1</v>
      </c>
      <c r="E686" s="1" t="n">
        <v>1</v>
      </c>
      <c r="F686" s="3" t="s">
        <v>20</v>
      </c>
      <c r="G686" s="3" t="s">
        <v>2871</v>
      </c>
      <c r="H686" s="1" t="s">
        <v>22</v>
      </c>
      <c r="I686" s="1" t="n">
        <v>20240430091129</v>
      </c>
      <c r="J686" s="3" t="s">
        <v>2872</v>
      </c>
      <c r="K686" s="3" t="s">
        <v>2873</v>
      </c>
      <c r="L686" s="3" t="s">
        <v>2874</v>
      </c>
      <c r="M686" s="3" t="n">
        <v>243547</v>
      </c>
      <c r="N686" s="3" t="s">
        <v>1106</v>
      </c>
      <c r="O686" s="1" t="n">
        <v>227161</v>
      </c>
      <c r="P686" s="1" t="n">
        <v>93.27</v>
      </c>
      <c r="Q686" s="1" t="s">
        <v>20</v>
      </c>
      <c r="R686" s="1" t="s">
        <v>27</v>
      </c>
      <c r="S686" s="1" t="s">
        <v>28</v>
      </c>
      <c r="T686" s="1" t="s">
        <v>29</v>
      </c>
    </row>
    <row r="687" customFormat="false" ht="18.7" hidden="false" customHeight="true" outlineLevel="0" collapsed="false">
      <c r="A687" s="1" t="n">
        <v>686</v>
      </c>
      <c r="B687" s="6" t="str">
        <f aca="false">HYPERLINK("https://mncourtfraud.com/file/MCRO_27-CR-19-901_Order to Appear_2020-07-20_20240430091126.pdf","MCRO_27-CR-19-901_Order to Appear_2020-07-20_20240430091126.pdf")</f>
        <v>MCRO_27-CR-19-901_Order to Appear_2020-07-20_20240430091126.pdf</v>
      </c>
      <c r="C687" s="1" t="n">
        <v>5</v>
      </c>
      <c r="D687" s="1" t="n">
        <v>4</v>
      </c>
      <c r="E687" s="1" t="n">
        <v>4</v>
      </c>
      <c r="F687" s="3" t="s">
        <v>20</v>
      </c>
      <c r="G687" s="3" t="s">
        <v>2875</v>
      </c>
      <c r="H687" s="1" t="s">
        <v>22</v>
      </c>
      <c r="I687" s="1" t="n">
        <v>20240430091126</v>
      </c>
      <c r="J687" s="3" t="s">
        <v>2876</v>
      </c>
      <c r="K687" s="3" t="s">
        <v>2877</v>
      </c>
      <c r="L687" s="3" t="s">
        <v>2878</v>
      </c>
      <c r="M687" s="3" t="n">
        <v>272372</v>
      </c>
      <c r="N687" s="3" t="s">
        <v>2879</v>
      </c>
      <c r="O687" s="1" t="n">
        <v>255986</v>
      </c>
      <c r="P687" s="1" t="n">
        <v>93.98</v>
      </c>
      <c r="Q687" s="1" t="s">
        <v>20</v>
      </c>
      <c r="R687" s="1" t="s">
        <v>27</v>
      </c>
      <c r="S687" s="1" t="s">
        <v>28</v>
      </c>
      <c r="T687" s="1" t="s">
        <v>29</v>
      </c>
    </row>
    <row r="688" customFormat="false" ht="18.7" hidden="false" customHeight="true" outlineLevel="0" collapsed="false">
      <c r="A688" s="1" t="n">
        <v>687</v>
      </c>
      <c r="B688" s="6" t="str">
        <f aca="false">HYPERLINK("https://mncourtfraud.com/file/MCRO_27-CR-19-901_Petition to Enter Guilty Plea_2019-04-19_20240430091132.pdf","MCRO_27-CR-19-901_Petition to Enter Guilty Plea_2019-04-19_20240430091132.pdf")</f>
        <v>MCRO_27-CR-19-901_Petition to Enter Guilty Plea_2019-04-19_20240430091132.pdf</v>
      </c>
      <c r="C688" s="1" t="n">
        <v>4</v>
      </c>
      <c r="D688" s="1" t="n">
        <v>1</v>
      </c>
      <c r="E688" s="1" t="n">
        <v>1</v>
      </c>
      <c r="F688" s="3" t="s">
        <v>20</v>
      </c>
      <c r="G688" s="3" t="s">
        <v>2880</v>
      </c>
      <c r="H688" s="1" t="s">
        <v>22</v>
      </c>
      <c r="I688" s="1" t="n">
        <v>20240430091132</v>
      </c>
      <c r="J688" s="3" t="s">
        <v>2881</v>
      </c>
      <c r="K688" s="3" t="s">
        <v>2882</v>
      </c>
      <c r="L688" s="3" t="s">
        <v>2883</v>
      </c>
      <c r="M688" s="3" t="n">
        <v>2841591</v>
      </c>
      <c r="N688" s="3" t="s">
        <v>1106</v>
      </c>
      <c r="O688" s="1" t="n">
        <v>2825205</v>
      </c>
      <c r="P688" s="1" t="n">
        <v>99.42</v>
      </c>
      <c r="Q688" s="1" t="s">
        <v>20</v>
      </c>
      <c r="R688" s="1" t="s">
        <v>27</v>
      </c>
      <c r="S688" s="1" t="s">
        <v>28</v>
      </c>
      <c r="T688" s="1" t="s">
        <v>29</v>
      </c>
    </row>
    <row r="689" customFormat="false" ht="18.7" hidden="false" customHeight="true" outlineLevel="0" collapsed="false">
      <c r="A689" s="1" t="n">
        <v>688</v>
      </c>
      <c r="B689" s="6" t="str">
        <f aca="false">HYPERLINK("https://mncourtfraud.com/file/MCRO_27-CR-19-901_Restitution Form or Certificate_2019-05-17_20240430091128.pdf","MCRO_27-CR-19-901_Restitution Form or Certificate_2019-05-17_20240430091128.pdf")</f>
        <v>MCRO_27-CR-19-901_Restitution Form or Certificate_2019-05-17_20240430091128.pdf</v>
      </c>
      <c r="C689" s="1" t="n">
        <v>4</v>
      </c>
      <c r="D689" s="1" t="n">
        <v>1</v>
      </c>
      <c r="E689" s="1" t="n">
        <v>1</v>
      </c>
      <c r="F689" s="3" t="s">
        <v>20</v>
      </c>
      <c r="G689" s="3" t="s">
        <v>2884</v>
      </c>
      <c r="H689" s="1" t="s">
        <v>22</v>
      </c>
      <c r="I689" s="1" t="n">
        <v>20240430091128</v>
      </c>
      <c r="J689" s="3" t="s">
        <v>2885</v>
      </c>
      <c r="K689" s="3" t="s">
        <v>2886</v>
      </c>
      <c r="L689" s="3" t="s">
        <v>2887</v>
      </c>
      <c r="M689" s="3" t="n">
        <v>103582</v>
      </c>
      <c r="N689" s="3" t="s">
        <v>435</v>
      </c>
      <c r="O689" s="1" t="n">
        <v>87196</v>
      </c>
      <c r="P689" s="1" t="n">
        <v>84.18</v>
      </c>
      <c r="Q689" s="1" t="s">
        <v>20</v>
      </c>
      <c r="R689" s="1" t="s">
        <v>27</v>
      </c>
      <c r="S689" s="1" t="s">
        <v>28</v>
      </c>
      <c r="T689" s="1" t="s">
        <v>29</v>
      </c>
    </row>
    <row r="690" customFormat="false" ht="18.7" hidden="false" customHeight="true" outlineLevel="0" collapsed="false">
      <c r="A690" s="1" t="n">
        <v>689</v>
      </c>
      <c r="B690" s="6" t="str">
        <f aca="false">HYPERLINK("https://mncourtfraud.com/file/MCRO_27-CR-19-901_Sentencing Order_2019-05-17_20240430091127.pdf","MCRO_27-CR-19-901_Sentencing Order_2019-05-17_20240430091127.pdf")</f>
        <v>MCRO_27-CR-19-901_Sentencing Order_2019-05-17_20240430091127.pdf</v>
      </c>
      <c r="C690" s="1" t="n">
        <v>4</v>
      </c>
      <c r="D690" s="1" t="n">
        <v>1</v>
      </c>
      <c r="E690" s="1" t="n">
        <v>1</v>
      </c>
      <c r="F690" s="3" t="s">
        <v>20</v>
      </c>
      <c r="G690" s="3" t="s">
        <v>2888</v>
      </c>
      <c r="H690" s="1" t="s">
        <v>22</v>
      </c>
      <c r="I690" s="1" t="n">
        <v>20240430091127</v>
      </c>
      <c r="J690" s="3" t="s">
        <v>2889</v>
      </c>
      <c r="K690" s="3" t="s">
        <v>2890</v>
      </c>
      <c r="L690" s="3" t="s">
        <v>2891</v>
      </c>
      <c r="M690" s="3" t="n">
        <v>955205</v>
      </c>
      <c r="N690" s="3" t="s">
        <v>1065</v>
      </c>
      <c r="O690" s="1" t="n">
        <v>938819</v>
      </c>
      <c r="P690" s="1" t="n">
        <v>98.28</v>
      </c>
      <c r="Q690" s="1" t="s">
        <v>20</v>
      </c>
      <c r="R690" s="1" t="s">
        <v>27</v>
      </c>
      <c r="S690" s="1" t="s">
        <v>28</v>
      </c>
      <c r="T690" s="1" t="s">
        <v>29</v>
      </c>
    </row>
    <row r="691" customFormat="false" ht="18.7" hidden="false" customHeight="true" outlineLevel="0" collapsed="false">
      <c r="A691" s="1" t="n">
        <v>690</v>
      </c>
      <c r="B691" s="6" t="str">
        <f aca="false">HYPERLINK("https://mncourtfraud.com/file/MCRO_27-CR-19-9270_Amended Order_2020-05-24_20240430091459.pdf","MCRO_27-CR-19-9270_Amended Order_2020-05-24_20240430091459.pdf")</f>
        <v>MCRO_27-CR-19-9270_Amended Order_2020-05-24_20240430091459.pdf</v>
      </c>
      <c r="C691" s="1" t="n">
        <v>5</v>
      </c>
      <c r="D691" s="1" t="n">
        <v>1</v>
      </c>
      <c r="E691" s="1" t="n">
        <v>1</v>
      </c>
      <c r="F691" s="3" t="s">
        <v>20</v>
      </c>
      <c r="G691" s="3" t="s">
        <v>2892</v>
      </c>
      <c r="H691" s="1" t="s">
        <v>22</v>
      </c>
      <c r="I691" s="1" t="n">
        <v>20240430091459</v>
      </c>
      <c r="J691" s="3" t="s">
        <v>2893</v>
      </c>
      <c r="K691" s="3" t="s">
        <v>2894</v>
      </c>
      <c r="L691" s="3" t="s">
        <v>2895</v>
      </c>
      <c r="M691" s="3" t="n">
        <v>730691</v>
      </c>
      <c r="N691" s="3" t="s">
        <v>1014</v>
      </c>
      <c r="O691" s="1" t="n">
        <v>714305</v>
      </c>
      <c r="P691" s="1" t="n">
        <v>97.76</v>
      </c>
      <c r="Q691" s="1" t="s">
        <v>20</v>
      </c>
      <c r="R691" s="1" t="s">
        <v>27</v>
      </c>
      <c r="S691" s="1" t="s">
        <v>28</v>
      </c>
      <c r="T691" s="1" t="s">
        <v>29</v>
      </c>
    </row>
    <row r="692" customFormat="false" ht="18.7" hidden="false" customHeight="true" outlineLevel="0" collapsed="false">
      <c r="A692" s="1" t="n">
        <v>691</v>
      </c>
      <c r="B692" s="6" t="str">
        <f aca="false">HYPERLINK("https://mncourtfraud.com/file/MCRO_27-CR-19-9270_Amended Order_2023-08-10_20240430091446.pdf","MCRO_27-CR-19-9270_Amended Order_2023-08-10_20240430091446.pdf")</f>
        <v>MCRO_27-CR-19-9270_Amended Order_2023-08-10_20240430091446.pdf</v>
      </c>
      <c r="C692" s="1" t="n">
        <v>4</v>
      </c>
      <c r="D692" s="1" t="n">
        <v>1</v>
      </c>
      <c r="E692" s="1" t="n">
        <v>1</v>
      </c>
      <c r="F692" s="3" t="s">
        <v>20</v>
      </c>
      <c r="G692" s="3" t="s">
        <v>2896</v>
      </c>
      <c r="H692" s="1" t="s">
        <v>22</v>
      </c>
      <c r="I692" s="1" t="n">
        <v>20240430091446</v>
      </c>
      <c r="J692" s="3" t="s">
        <v>2897</v>
      </c>
      <c r="K692" s="3" t="s">
        <v>2898</v>
      </c>
      <c r="L692" s="3" t="s">
        <v>2899</v>
      </c>
      <c r="M692" s="3" t="n">
        <v>100604</v>
      </c>
      <c r="N692" s="3" t="s">
        <v>435</v>
      </c>
      <c r="O692" s="1" t="n">
        <v>84218</v>
      </c>
      <c r="P692" s="1" t="n">
        <v>83.71</v>
      </c>
      <c r="Q692" s="1" t="s">
        <v>20</v>
      </c>
      <c r="R692" s="1" t="s">
        <v>27</v>
      </c>
      <c r="S692" s="1" t="s">
        <v>28</v>
      </c>
      <c r="T692" s="1" t="s">
        <v>29</v>
      </c>
    </row>
    <row r="693" customFormat="false" ht="18.7" hidden="false" customHeight="true" outlineLevel="0" collapsed="false">
      <c r="A693" s="1" t="n">
        <v>692</v>
      </c>
      <c r="B693" s="6" t="str">
        <f aca="false">HYPERLINK("https://mncourtfraud.com/file/MCRO_27-CR-19-9270_E-filed Comp-Order for Detention_2019-04-22_20240430091515.pdf","MCRO_27-CR-19-9270_E-filed Comp-Order for Detention_2019-04-22_20240430091515.pdf")</f>
        <v>MCRO_27-CR-19-9270_E-filed Comp-Order for Detention_2019-04-22_20240430091515.pdf</v>
      </c>
      <c r="C693" s="1" t="n">
        <v>4</v>
      </c>
      <c r="D693" s="1" t="n">
        <v>2</v>
      </c>
      <c r="E693" s="1" t="n">
        <v>2</v>
      </c>
      <c r="F693" s="3" t="s">
        <v>20</v>
      </c>
      <c r="G693" s="3" t="s">
        <v>2900</v>
      </c>
      <c r="H693" s="1" t="s">
        <v>22</v>
      </c>
      <c r="I693" s="1" t="n">
        <v>20240430091515</v>
      </c>
      <c r="J693" s="3" t="s">
        <v>2901</v>
      </c>
      <c r="K693" s="3" t="s">
        <v>2902</v>
      </c>
      <c r="L693" s="3" t="s">
        <v>2903</v>
      </c>
      <c r="M693" s="3" t="n">
        <v>469922</v>
      </c>
      <c r="N693" s="3" t="s">
        <v>2904</v>
      </c>
      <c r="O693" s="1" t="n">
        <v>453536</v>
      </c>
      <c r="P693" s="1" t="n">
        <v>96.51</v>
      </c>
      <c r="Q693" s="1" t="s">
        <v>20</v>
      </c>
      <c r="R693" s="1" t="s">
        <v>27</v>
      </c>
      <c r="S693" s="1" t="s">
        <v>28</v>
      </c>
      <c r="T693" s="1" t="s">
        <v>29</v>
      </c>
    </row>
    <row r="694" customFormat="false" ht="18.7" hidden="false" customHeight="true" outlineLevel="0" collapsed="false">
      <c r="A694" s="1" t="n">
        <v>693</v>
      </c>
      <c r="B694" s="6" t="str">
        <f aca="false">HYPERLINK("https://mncourtfraud.com/file/MCRO_27-CR-19-9270_Finding of Incompetency and Order_2023-05-24_20240430091450.pdf","MCRO_27-CR-19-9270_Finding of Incompetency and Order_2023-05-24_20240430091450.pdf")</f>
        <v>MCRO_27-CR-19-9270_Finding of Incompetency and Order_2023-05-24_20240430091450.pdf</v>
      </c>
      <c r="C694" s="1" t="n">
        <v>9</v>
      </c>
      <c r="D694" s="1" t="n">
        <v>3</v>
      </c>
      <c r="E694" s="1" t="n">
        <v>3</v>
      </c>
      <c r="F694" s="3" t="s">
        <v>27</v>
      </c>
      <c r="G694" s="3" t="s">
        <v>2905</v>
      </c>
      <c r="H694" s="1" t="s">
        <v>22</v>
      </c>
      <c r="I694" s="1" t="n">
        <v>20240430091450</v>
      </c>
      <c r="J694" s="3" t="s">
        <v>2906</v>
      </c>
      <c r="K694" s="3" t="s">
        <v>2907</v>
      </c>
      <c r="L694" s="3" t="s">
        <v>2908</v>
      </c>
      <c r="M694" s="3" t="n">
        <v>963405</v>
      </c>
      <c r="N694" s="3" t="s">
        <v>1019</v>
      </c>
      <c r="O694" s="1" t="n">
        <v>947019</v>
      </c>
      <c r="P694" s="1" t="n">
        <v>98.3</v>
      </c>
      <c r="Q694" s="1" t="s">
        <v>20</v>
      </c>
      <c r="R694" s="1" t="s">
        <v>27</v>
      </c>
      <c r="S694" s="1" t="s">
        <v>28</v>
      </c>
      <c r="T694" s="1" t="s">
        <v>29</v>
      </c>
    </row>
    <row r="695" customFormat="false" ht="18.7" hidden="false" customHeight="true" outlineLevel="0" collapsed="false">
      <c r="A695" s="1" t="n">
        <v>694</v>
      </c>
      <c r="B695" s="6" t="str">
        <f aca="false">HYPERLINK("https://mncourtfraud.com/file/MCRO_27-CR-19-9270_Law Enforcement Notice of Release and Appearance_2020-05-26_20240430091458.pdf","MCRO_27-CR-19-9270_Law Enforcement Notice of Release and Appearance_2020-05-26_20240430091458.pdf")</f>
        <v>MCRO_27-CR-19-9270_Law Enforcement Notice of Release and Appearance_2020-05-26_20240430091458.pdf</v>
      </c>
      <c r="C695" s="1" t="n">
        <v>4</v>
      </c>
      <c r="D695" s="1" t="n">
        <v>1</v>
      </c>
      <c r="E695" s="1" t="n">
        <v>1</v>
      </c>
      <c r="F695" s="3" t="s">
        <v>20</v>
      </c>
      <c r="G695" s="3" t="s">
        <v>2909</v>
      </c>
      <c r="H695" s="1" t="s">
        <v>22</v>
      </c>
      <c r="I695" s="1" t="n">
        <v>20240430091458</v>
      </c>
      <c r="J695" s="3" t="s">
        <v>2910</v>
      </c>
      <c r="K695" s="3" t="s">
        <v>2911</v>
      </c>
      <c r="L695" s="3" t="s">
        <v>2912</v>
      </c>
      <c r="M695" s="3" t="n">
        <v>103014</v>
      </c>
      <c r="N695" s="3" t="s">
        <v>892</v>
      </c>
      <c r="O695" s="1" t="n">
        <v>86628</v>
      </c>
      <c r="P695" s="1" t="n">
        <v>84.09</v>
      </c>
      <c r="Q695" s="1" t="s">
        <v>20</v>
      </c>
      <c r="R695" s="1" t="s">
        <v>27</v>
      </c>
      <c r="S695" s="1" t="s">
        <v>28</v>
      </c>
      <c r="T695" s="1" t="s">
        <v>29</v>
      </c>
    </row>
    <row r="696" customFormat="false" ht="18.7" hidden="false" customHeight="true" outlineLevel="0" collapsed="false">
      <c r="A696" s="1" t="n">
        <v>695</v>
      </c>
      <c r="B696" s="6" t="str">
        <f aca="false">HYPERLINK("https://mncourtfraud.com/file/MCRO_27-CR-19-9270_Notice of Case Reassignment_2022-04-01_20240430091452.pdf","MCRO_27-CR-19-9270_Notice of Case Reassignment_2022-04-01_20240430091452.pdf")</f>
        <v>MCRO_27-CR-19-9270_Notice of Case Reassignment_2022-04-01_20240430091452.pdf</v>
      </c>
      <c r="C696" s="1" t="n">
        <v>4</v>
      </c>
      <c r="D696" s="1" t="n">
        <v>1</v>
      </c>
      <c r="E696" s="1" t="n">
        <v>1</v>
      </c>
      <c r="F696" s="3" t="s">
        <v>20</v>
      </c>
      <c r="G696" s="3" t="s">
        <v>2913</v>
      </c>
      <c r="H696" s="1" t="s">
        <v>22</v>
      </c>
      <c r="I696" s="1" t="n">
        <v>20240430091452</v>
      </c>
      <c r="J696" s="3" t="s">
        <v>2914</v>
      </c>
      <c r="K696" s="3" t="s">
        <v>2915</v>
      </c>
      <c r="L696" s="3" t="s">
        <v>2916</v>
      </c>
      <c r="M696" s="3" t="n">
        <v>97064</v>
      </c>
      <c r="N696" s="3" t="s">
        <v>456</v>
      </c>
      <c r="O696" s="1" t="n">
        <v>80678</v>
      </c>
      <c r="P696" s="1" t="n">
        <v>83.12</v>
      </c>
      <c r="Q696" s="1" t="s">
        <v>20</v>
      </c>
      <c r="R696" s="1" t="s">
        <v>27</v>
      </c>
      <c r="S696" s="1" t="s">
        <v>28</v>
      </c>
      <c r="T696" s="1" t="s">
        <v>29</v>
      </c>
    </row>
    <row r="697" customFormat="false" ht="18.7" hidden="false" customHeight="true" outlineLevel="0" collapsed="false">
      <c r="A697" s="1" t="n">
        <v>696</v>
      </c>
      <c r="B697" s="6" t="str">
        <f aca="false">HYPERLINK("https://mncourtfraud.com/file/MCRO_27-CR-19-9270_Notice of Hearing_2019-04-23_20240430091514.pdf","MCRO_27-CR-19-9270_Notice of Hearing_2019-04-23_20240430091514.pdf")</f>
        <v>MCRO_27-CR-19-9270_Notice of Hearing_2019-04-23_20240430091514.pdf</v>
      </c>
      <c r="C697" s="1" t="n">
        <v>4</v>
      </c>
      <c r="D697" s="1" t="n">
        <v>1</v>
      </c>
      <c r="E697" s="1" t="n">
        <v>1</v>
      </c>
      <c r="F697" s="3" t="s">
        <v>20</v>
      </c>
      <c r="G697" s="3" t="s">
        <v>2917</v>
      </c>
      <c r="H697" s="1" t="s">
        <v>22</v>
      </c>
      <c r="I697" s="1" t="n">
        <v>20240430091514</v>
      </c>
      <c r="J697" s="3" t="s">
        <v>2918</v>
      </c>
      <c r="K697" s="3" t="s">
        <v>2919</v>
      </c>
      <c r="L697" s="3" t="s">
        <v>2920</v>
      </c>
      <c r="M697" s="3" t="n">
        <v>113832</v>
      </c>
      <c r="N697" s="3" t="s">
        <v>435</v>
      </c>
      <c r="O697" s="1" t="n">
        <v>97446</v>
      </c>
      <c r="P697" s="1" t="n">
        <v>85.61</v>
      </c>
      <c r="Q697" s="1" t="s">
        <v>20</v>
      </c>
      <c r="R697" s="1" t="s">
        <v>27</v>
      </c>
      <c r="S697" s="1" t="s">
        <v>28</v>
      </c>
      <c r="T697" s="1" t="s">
        <v>29</v>
      </c>
    </row>
    <row r="698" customFormat="false" ht="18.7" hidden="false" customHeight="true" outlineLevel="0" collapsed="false">
      <c r="A698" s="1" t="n">
        <v>697</v>
      </c>
      <c r="B698" s="6" t="str">
        <f aca="false">HYPERLINK("https://mncourtfraud.com/file/MCRO_27-CR-19-9270_Notice of Hearing_2019-04-25_20240430091512.pdf","MCRO_27-CR-19-9270_Notice of Hearing_2019-04-25_20240430091512.pdf")</f>
        <v>MCRO_27-CR-19-9270_Notice of Hearing_2019-04-25_20240430091512.pdf</v>
      </c>
      <c r="C698" s="1" t="n">
        <v>4</v>
      </c>
      <c r="D698" s="1" t="n">
        <v>1</v>
      </c>
      <c r="E698" s="1" t="n">
        <v>1</v>
      </c>
      <c r="F698" s="3" t="s">
        <v>20</v>
      </c>
      <c r="G698" s="3" t="s">
        <v>2921</v>
      </c>
      <c r="H698" s="1" t="s">
        <v>22</v>
      </c>
      <c r="I698" s="1" t="n">
        <v>20240430091512</v>
      </c>
      <c r="J698" s="3" t="s">
        <v>2922</v>
      </c>
      <c r="K698" s="3" t="s">
        <v>2923</v>
      </c>
      <c r="L698" s="3" t="s">
        <v>2924</v>
      </c>
      <c r="M698" s="3" t="n">
        <v>116158</v>
      </c>
      <c r="N698" s="3" t="s">
        <v>435</v>
      </c>
      <c r="O698" s="1" t="n">
        <v>99772</v>
      </c>
      <c r="P698" s="1" t="n">
        <v>85.89</v>
      </c>
      <c r="Q698" s="1" t="s">
        <v>20</v>
      </c>
      <c r="R698" s="1" t="s">
        <v>27</v>
      </c>
      <c r="S698" s="1" t="s">
        <v>28</v>
      </c>
      <c r="T698" s="1" t="s">
        <v>29</v>
      </c>
    </row>
    <row r="699" customFormat="false" ht="18.7" hidden="false" customHeight="true" outlineLevel="0" collapsed="false">
      <c r="A699" s="1" t="n">
        <v>698</v>
      </c>
      <c r="B699" s="6" t="str">
        <f aca="false">HYPERLINK("https://mncourtfraud.com/file/MCRO_27-CR-19-9270_Notice of Hearing_2019-06-11_20240430091511.pdf","MCRO_27-CR-19-9270_Notice of Hearing_2019-06-11_20240430091511.pdf")</f>
        <v>MCRO_27-CR-19-9270_Notice of Hearing_2019-06-11_20240430091511.pdf</v>
      </c>
      <c r="C699" s="1" t="n">
        <v>4</v>
      </c>
      <c r="D699" s="1" t="n">
        <v>1</v>
      </c>
      <c r="E699" s="1" t="n">
        <v>1</v>
      </c>
      <c r="F699" s="3" t="s">
        <v>20</v>
      </c>
      <c r="G699" s="3" t="s">
        <v>2925</v>
      </c>
      <c r="H699" s="1" t="s">
        <v>22</v>
      </c>
      <c r="I699" s="1" t="n">
        <v>20240430091511</v>
      </c>
      <c r="J699" s="3" t="s">
        <v>2926</v>
      </c>
      <c r="K699" s="3" t="s">
        <v>2927</v>
      </c>
      <c r="L699" s="3" t="s">
        <v>2928</v>
      </c>
      <c r="M699" s="3" t="n">
        <v>115852</v>
      </c>
      <c r="N699" s="3" t="s">
        <v>435</v>
      </c>
      <c r="O699" s="1" t="n">
        <v>99466</v>
      </c>
      <c r="P699" s="1" t="n">
        <v>85.86</v>
      </c>
      <c r="Q699" s="1" t="s">
        <v>20</v>
      </c>
      <c r="R699" s="1" t="s">
        <v>27</v>
      </c>
      <c r="S699" s="1" t="s">
        <v>28</v>
      </c>
      <c r="T699" s="1" t="s">
        <v>29</v>
      </c>
    </row>
    <row r="700" customFormat="false" ht="18.7" hidden="false" customHeight="true" outlineLevel="0" collapsed="false">
      <c r="A700" s="1" t="n">
        <v>699</v>
      </c>
      <c r="B700" s="6" t="str">
        <f aca="false">HYPERLINK("https://mncourtfraud.com/file/MCRO_27-CR-19-9270_Notice of Hearing_2019-07-05_20240430091509.pdf","MCRO_27-CR-19-9270_Notice of Hearing_2019-07-05_20240430091509.pdf")</f>
        <v>MCRO_27-CR-19-9270_Notice of Hearing_2019-07-05_20240430091509.pdf</v>
      </c>
      <c r="C700" s="1" t="n">
        <v>4</v>
      </c>
      <c r="D700" s="1" t="n">
        <v>1</v>
      </c>
      <c r="E700" s="1" t="n">
        <v>1</v>
      </c>
      <c r="F700" s="3" t="s">
        <v>20</v>
      </c>
      <c r="G700" s="3" t="s">
        <v>2929</v>
      </c>
      <c r="H700" s="1" t="s">
        <v>22</v>
      </c>
      <c r="I700" s="1" t="n">
        <v>20240430091509</v>
      </c>
      <c r="J700" s="3" t="s">
        <v>2930</v>
      </c>
      <c r="K700" s="3" t="s">
        <v>2931</v>
      </c>
      <c r="L700" s="3" t="s">
        <v>2932</v>
      </c>
      <c r="M700" s="3" t="n">
        <v>110981</v>
      </c>
      <c r="N700" s="3" t="s">
        <v>435</v>
      </c>
      <c r="O700" s="1" t="n">
        <v>94595</v>
      </c>
      <c r="P700" s="1" t="n">
        <v>85.24</v>
      </c>
      <c r="Q700" s="1" t="s">
        <v>20</v>
      </c>
      <c r="R700" s="1" t="s">
        <v>27</v>
      </c>
      <c r="S700" s="1" t="s">
        <v>28</v>
      </c>
      <c r="T700" s="1" t="s">
        <v>29</v>
      </c>
    </row>
    <row r="701" customFormat="false" ht="18.7" hidden="false" customHeight="true" outlineLevel="0" collapsed="false">
      <c r="A701" s="1" t="n">
        <v>700</v>
      </c>
      <c r="B701" s="6" t="str">
        <f aca="false">HYPERLINK("https://mncourtfraud.com/file/MCRO_27-CR-19-9270_Notice of Hearing_2019-08-01_20240430091507.pdf","MCRO_27-CR-19-9270_Notice of Hearing_2019-08-01_20240430091507.pdf")</f>
        <v>MCRO_27-CR-19-9270_Notice of Hearing_2019-08-01_20240430091507.pdf</v>
      </c>
      <c r="C701" s="1" t="n">
        <v>4</v>
      </c>
      <c r="D701" s="1" t="n">
        <v>1</v>
      </c>
      <c r="E701" s="1" t="n">
        <v>1</v>
      </c>
      <c r="F701" s="3" t="s">
        <v>20</v>
      </c>
      <c r="G701" s="3" t="s">
        <v>2933</v>
      </c>
      <c r="H701" s="1" t="s">
        <v>22</v>
      </c>
      <c r="I701" s="1" t="n">
        <v>20240430091507</v>
      </c>
      <c r="J701" s="3" t="s">
        <v>2934</v>
      </c>
      <c r="K701" s="3" t="s">
        <v>2935</v>
      </c>
      <c r="L701" s="3" t="s">
        <v>2936</v>
      </c>
      <c r="M701" s="3" t="n">
        <v>514940</v>
      </c>
      <c r="N701" s="3" t="s">
        <v>435</v>
      </c>
      <c r="O701" s="1" t="n">
        <v>498554</v>
      </c>
      <c r="P701" s="1" t="n">
        <v>96.82</v>
      </c>
      <c r="Q701" s="1" t="s">
        <v>20</v>
      </c>
      <c r="R701" s="1" t="s">
        <v>27</v>
      </c>
      <c r="S701" s="1" t="s">
        <v>28</v>
      </c>
      <c r="T701" s="1" t="s">
        <v>29</v>
      </c>
    </row>
    <row r="702" customFormat="false" ht="18.7" hidden="false" customHeight="true" outlineLevel="0" collapsed="false">
      <c r="A702" s="1" t="n">
        <v>701</v>
      </c>
      <c r="B702" s="6" t="str">
        <f aca="false">HYPERLINK("https://mncourtfraud.com/file/MCRO_27-CR-19-9270_Notice of Hearing_2019-08-01_20240430091508.pdf","MCRO_27-CR-19-9270_Notice of Hearing_2019-08-01_20240430091508.pdf")</f>
        <v>MCRO_27-CR-19-9270_Notice of Hearing_2019-08-01_20240430091508.pdf</v>
      </c>
      <c r="C702" s="1" t="n">
        <v>4</v>
      </c>
      <c r="D702" s="1" t="n">
        <v>1</v>
      </c>
      <c r="E702" s="1" t="n">
        <v>1</v>
      </c>
      <c r="F702" s="3" t="s">
        <v>20</v>
      </c>
      <c r="G702" s="3" t="s">
        <v>2937</v>
      </c>
      <c r="H702" s="1" t="s">
        <v>22</v>
      </c>
      <c r="I702" s="1" t="n">
        <v>20240430091508</v>
      </c>
      <c r="J702" s="3" t="s">
        <v>2938</v>
      </c>
      <c r="K702" s="3" t="s">
        <v>2939</v>
      </c>
      <c r="L702" s="3" t="s">
        <v>2940</v>
      </c>
      <c r="M702" s="3" t="n">
        <v>519288</v>
      </c>
      <c r="N702" s="3" t="s">
        <v>435</v>
      </c>
      <c r="O702" s="1" t="n">
        <v>502902</v>
      </c>
      <c r="P702" s="1" t="n">
        <v>96.84</v>
      </c>
      <c r="Q702" s="1" t="s">
        <v>20</v>
      </c>
      <c r="R702" s="1" t="s">
        <v>27</v>
      </c>
      <c r="S702" s="1" t="s">
        <v>28</v>
      </c>
      <c r="T702" s="1" t="s">
        <v>29</v>
      </c>
    </row>
    <row r="703" customFormat="false" ht="18.7" hidden="false" customHeight="true" outlineLevel="0" collapsed="false">
      <c r="A703" s="1" t="n">
        <v>702</v>
      </c>
      <c r="B703" s="6" t="str">
        <f aca="false">HYPERLINK("https://mncourtfraud.com/file/MCRO_27-CR-19-9270_Notice of Hearing_2019-09-19_20240430091505.pdf","MCRO_27-CR-19-9270_Notice of Hearing_2019-09-19_20240430091505.pdf")</f>
        <v>MCRO_27-CR-19-9270_Notice of Hearing_2019-09-19_20240430091505.pdf</v>
      </c>
      <c r="C703" s="1" t="n">
        <v>4</v>
      </c>
      <c r="D703" s="1" t="n">
        <v>1</v>
      </c>
      <c r="E703" s="1" t="n">
        <v>1</v>
      </c>
      <c r="F703" s="3" t="s">
        <v>20</v>
      </c>
      <c r="G703" s="3" t="s">
        <v>2941</v>
      </c>
      <c r="H703" s="1" t="s">
        <v>22</v>
      </c>
      <c r="I703" s="1" t="n">
        <v>20240430091505</v>
      </c>
      <c r="J703" s="3" t="s">
        <v>2942</v>
      </c>
      <c r="K703" s="3" t="s">
        <v>2943</v>
      </c>
      <c r="L703" s="3" t="s">
        <v>2944</v>
      </c>
      <c r="M703" s="3" t="n">
        <v>113915</v>
      </c>
      <c r="N703" s="3" t="s">
        <v>435</v>
      </c>
      <c r="O703" s="1" t="n">
        <v>97529</v>
      </c>
      <c r="P703" s="1" t="n">
        <v>85.62</v>
      </c>
      <c r="Q703" s="1" t="s">
        <v>20</v>
      </c>
      <c r="R703" s="1" t="s">
        <v>27</v>
      </c>
      <c r="S703" s="1" t="s">
        <v>28</v>
      </c>
      <c r="T703" s="1" t="s">
        <v>29</v>
      </c>
    </row>
    <row r="704" customFormat="false" ht="18.7" hidden="false" customHeight="true" outlineLevel="0" collapsed="false">
      <c r="A704" s="1" t="n">
        <v>703</v>
      </c>
      <c r="B704" s="6" t="str">
        <f aca="false">HYPERLINK("https://mncourtfraud.com/file/MCRO_27-CR-19-9270_Notice of Hearing_2019-09-26_20240430091504.pdf","MCRO_27-CR-19-9270_Notice of Hearing_2019-09-26_20240430091504.pdf")</f>
        <v>MCRO_27-CR-19-9270_Notice of Hearing_2019-09-26_20240430091504.pdf</v>
      </c>
      <c r="C704" s="1" t="n">
        <v>4</v>
      </c>
      <c r="D704" s="1" t="n">
        <v>1</v>
      </c>
      <c r="E704" s="1" t="n">
        <v>1</v>
      </c>
      <c r="F704" s="3" t="s">
        <v>20</v>
      </c>
      <c r="G704" s="3" t="s">
        <v>2945</v>
      </c>
      <c r="H704" s="1" t="s">
        <v>22</v>
      </c>
      <c r="I704" s="1" t="n">
        <v>20240430091504</v>
      </c>
      <c r="J704" s="3" t="s">
        <v>2946</v>
      </c>
      <c r="K704" s="3" t="s">
        <v>2947</v>
      </c>
      <c r="L704" s="3" t="s">
        <v>2948</v>
      </c>
      <c r="M704" s="3" t="n">
        <v>111625</v>
      </c>
      <c r="N704" s="3" t="s">
        <v>435</v>
      </c>
      <c r="O704" s="1" t="n">
        <v>95239</v>
      </c>
      <c r="P704" s="1" t="n">
        <v>85.32</v>
      </c>
      <c r="Q704" s="1" t="s">
        <v>20</v>
      </c>
      <c r="R704" s="1" t="s">
        <v>27</v>
      </c>
      <c r="S704" s="1" t="s">
        <v>28</v>
      </c>
      <c r="T704" s="1" t="s">
        <v>29</v>
      </c>
    </row>
    <row r="705" customFormat="false" ht="18.7" hidden="false" customHeight="true" outlineLevel="0" collapsed="false">
      <c r="A705" s="1" t="n">
        <v>704</v>
      </c>
      <c r="B705" s="6" t="str">
        <f aca="false">HYPERLINK("https://mncourtfraud.com/file/MCRO_27-CR-19-9270_Notice of Hearing_2019-10-24_20240430091503.pdf","MCRO_27-CR-19-9270_Notice of Hearing_2019-10-24_20240430091503.pdf")</f>
        <v>MCRO_27-CR-19-9270_Notice of Hearing_2019-10-24_20240430091503.pdf</v>
      </c>
      <c r="C705" s="1" t="n">
        <v>4</v>
      </c>
      <c r="D705" s="1" t="n">
        <v>1</v>
      </c>
      <c r="E705" s="1" t="n">
        <v>1</v>
      </c>
      <c r="F705" s="3" t="s">
        <v>20</v>
      </c>
      <c r="G705" s="3" t="s">
        <v>2949</v>
      </c>
      <c r="H705" s="1" t="s">
        <v>22</v>
      </c>
      <c r="I705" s="1" t="n">
        <v>20240430091503</v>
      </c>
      <c r="J705" s="3" t="s">
        <v>2950</v>
      </c>
      <c r="K705" s="3" t="s">
        <v>2951</v>
      </c>
      <c r="L705" s="3" t="s">
        <v>2952</v>
      </c>
      <c r="M705" s="3" t="n">
        <v>109980</v>
      </c>
      <c r="N705" s="3" t="s">
        <v>435</v>
      </c>
      <c r="O705" s="1" t="n">
        <v>93594</v>
      </c>
      <c r="P705" s="1" t="n">
        <v>85.1</v>
      </c>
      <c r="Q705" s="1" t="s">
        <v>20</v>
      </c>
      <c r="R705" s="1" t="s">
        <v>27</v>
      </c>
      <c r="S705" s="1" t="s">
        <v>28</v>
      </c>
      <c r="T705" s="1" t="s">
        <v>29</v>
      </c>
    </row>
    <row r="706" customFormat="false" ht="18.7" hidden="false" customHeight="true" outlineLevel="0" collapsed="false">
      <c r="A706" s="1" t="n">
        <v>705</v>
      </c>
      <c r="B706" s="6" t="str">
        <f aca="false">HYPERLINK("https://mncourtfraud.com/file/MCRO_27-CR-19-9270_Notice of Hearing_2019-11-07_20240430091502.pdf","MCRO_27-CR-19-9270_Notice of Hearing_2019-11-07_20240430091502.pdf")</f>
        <v>MCRO_27-CR-19-9270_Notice of Hearing_2019-11-07_20240430091502.pdf</v>
      </c>
      <c r="C706" s="1" t="n">
        <v>4</v>
      </c>
      <c r="D706" s="1" t="n">
        <v>1</v>
      </c>
      <c r="E706" s="1" t="n">
        <v>1</v>
      </c>
      <c r="F706" s="3" t="s">
        <v>20</v>
      </c>
      <c r="G706" s="3" t="s">
        <v>2953</v>
      </c>
      <c r="H706" s="1" t="s">
        <v>22</v>
      </c>
      <c r="I706" s="1" t="n">
        <v>20240430091502</v>
      </c>
      <c r="J706" s="3" t="s">
        <v>2954</v>
      </c>
      <c r="K706" s="3" t="s">
        <v>2955</v>
      </c>
      <c r="L706" s="3" t="s">
        <v>2956</v>
      </c>
      <c r="M706" s="3" t="n">
        <v>115016</v>
      </c>
      <c r="N706" s="3" t="s">
        <v>435</v>
      </c>
      <c r="O706" s="1" t="n">
        <v>98630</v>
      </c>
      <c r="P706" s="1" t="n">
        <v>85.75</v>
      </c>
      <c r="Q706" s="1" t="s">
        <v>20</v>
      </c>
      <c r="R706" s="1" t="s">
        <v>27</v>
      </c>
      <c r="S706" s="1" t="s">
        <v>28</v>
      </c>
      <c r="T706" s="1" t="s">
        <v>29</v>
      </c>
    </row>
    <row r="707" customFormat="false" ht="18.7" hidden="false" customHeight="true" outlineLevel="0" collapsed="false">
      <c r="A707" s="1" t="n">
        <v>706</v>
      </c>
      <c r="B707" s="6" t="str">
        <f aca="false">HYPERLINK("https://mncourtfraud.com/file/MCRO_27-CR-19-9270_Notice of Hearing_2020-01-21_20240430091501.pdf","MCRO_27-CR-19-9270_Notice of Hearing_2020-01-21_20240430091501.pdf")</f>
        <v>MCRO_27-CR-19-9270_Notice of Hearing_2020-01-21_20240430091501.pdf</v>
      </c>
      <c r="C707" s="1" t="n">
        <v>4</v>
      </c>
      <c r="D707" s="1" t="n">
        <v>1</v>
      </c>
      <c r="E707" s="1" t="n">
        <v>1</v>
      </c>
      <c r="F707" s="3" t="s">
        <v>20</v>
      </c>
      <c r="G707" s="3" t="s">
        <v>2957</v>
      </c>
      <c r="H707" s="1" t="s">
        <v>22</v>
      </c>
      <c r="I707" s="1" t="n">
        <v>20240430091501</v>
      </c>
      <c r="J707" s="3" t="s">
        <v>2958</v>
      </c>
      <c r="K707" s="3" t="s">
        <v>2959</v>
      </c>
      <c r="L707" s="3" t="s">
        <v>2960</v>
      </c>
      <c r="M707" s="3" t="n">
        <v>110466</v>
      </c>
      <c r="N707" s="3" t="s">
        <v>137</v>
      </c>
      <c r="O707" s="1" t="n">
        <v>94080</v>
      </c>
      <c r="P707" s="1" t="n">
        <v>85.17</v>
      </c>
      <c r="Q707" s="1" t="s">
        <v>20</v>
      </c>
      <c r="R707" s="1" t="s">
        <v>27</v>
      </c>
      <c r="S707" s="1" t="s">
        <v>28</v>
      </c>
      <c r="T707" s="1" t="s">
        <v>29</v>
      </c>
    </row>
    <row r="708" customFormat="false" ht="18.7" hidden="false" customHeight="true" outlineLevel="0" collapsed="false">
      <c r="A708" s="1" t="n">
        <v>707</v>
      </c>
      <c r="B708" s="6" t="str">
        <f aca="false">HYPERLINK("https://mncourtfraud.com/file/MCRO_27-CR-19-9270_Notice of Hearing_2020-01-23_20240430091500.pdf","MCRO_27-CR-19-9270_Notice of Hearing_2020-01-23_20240430091500.pdf")</f>
        <v>MCRO_27-CR-19-9270_Notice of Hearing_2020-01-23_20240430091500.pdf</v>
      </c>
      <c r="C708" s="1" t="n">
        <v>4</v>
      </c>
      <c r="D708" s="1" t="n">
        <v>1</v>
      </c>
      <c r="E708" s="1" t="n">
        <v>1</v>
      </c>
      <c r="F708" s="3" t="s">
        <v>20</v>
      </c>
      <c r="G708" s="3" t="s">
        <v>2961</v>
      </c>
      <c r="H708" s="1" t="s">
        <v>22</v>
      </c>
      <c r="I708" s="1" t="n">
        <v>20240430091500</v>
      </c>
      <c r="J708" s="3" t="s">
        <v>2962</v>
      </c>
      <c r="K708" s="3" t="s">
        <v>2963</v>
      </c>
      <c r="L708" s="3" t="s">
        <v>2964</v>
      </c>
      <c r="M708" s="3" t="n">
        <v>566577</v>
      </c>
      <c r="N708" s="3" t="s">
        <v>137</v>
      </c>
      <c r="O708" s="1" t="n">
        <v>550191</v>
      </c>
      <c r="P708" s="1" t="n">
        <v>97.11</v>
      </c>
      <c r="Q708" s="1" t="s">
        <v>20</v>
      </c>
      <c r="R708" s="1" t="s">
        <v>27</v>
      </c>
      <c r="S708" s="1" t="s">
        <v>28</v>
      </c>
      <c r="T708" s="1" t="s">
        <v>29</v>
      </c>
    </row>
    <row r="709" customFormat="false" ht="18.7" hidden="false" customHeight="true" outlineLevel="0" collapsed="false">
      <c r="A709" s="1" t="n">
        <v>708</v>
      </c>
      <c r="B709" s="6" t="str">
        <f aca="false">HYPERLINK("https://mncourtfraud.com/file/MCRO_27-CR-19-9270_Notice of Remote Hearing with Instructions_2022-02-23_20240430091455.pdf","MCRO_27-CR-19-9270_Notice of Remote Hearing with Instructions_2022-02-23_20240430091455.pdf")</f>
        <v>MCRO_27-CR-19-9270_Notice of Remote Hearing with Instructions_2022-02-23_20240430091455.pdf</v>
      </c>
      <c r="C709" s="1" t="n">
        <v>4</v>
      </c>
      <c r="D709" s="1" t="n">
        <v>1</v>
      </c>
      <c r="E709" s="1" t="n">
        <v>1</v>
      </c>
      <c r="F709" s="3" t="s">
        <v>20</v>
      </c>
      <c r="G709" s="3" t="s">
        <v>2965</v>
      </c>
      <c r="H709" s="1" t="s">
        <v>22</v>
      </c>
      <c r="I709" s="1" t="n">
        <v>20240430091455</v>
      </c>
      <c r="J709" s="3" t="s">
        <v>2966</v>
      </c>
      <c r="K709" s="3" t="s">
        <v>2967</v>
      </c>
      <c r="L709" s="3" t="s">
        <v>2968</v>
      </c>
      <c r="M709" s="3" t="n">
        <v>154908</v>
      </c>
      <c r="N709" s="3" t="s">
        <v>1065</v>
      </c>
      <c r="O709" s="1" t="n">
        <v>138522</v>
      </c>
      <c r="P709" s="1" t="n">
        <v>89.42</v>
      </c>
      <c r="Q709" s="1" t="s">
        <v>20</v>
      </c>
      <c r="R709" s="1" t="s">
        <v>27</v>
      </c>
      <c r="S709" s="1" t="s">
        <v>28</v>
      </c>
      <c r="T709" s="1" t="s">
        <v>29</v>
      </c>
    </row>
    <row r="710" customFormat="false" ht="18.7" hidden="false" customHeight="true" outlineLevel="0" collapsed="false">
      <c r="A710" s="1" t="n">
        <v>709</v>
      </c>
      <c r="B710" s="6" t="str">
        <f aca="false">HYPERLINK("https://mncourtfraud.com/file/MCRO_27-CR-19-9270_Order-Evaluation for Competency to Proceed (Rule 20.01)_2023-04-20_20240430091450.pdf","MCRO_27-CR-19-9270_Order-Evaluation for Competency to Proceed (Rule 20.01)_2023-04-20_20240430091450.pdf")</f>
        <v>MCRO_27-CR-19-9270_Order-Evaluation for Competency to Proceed (Rule 20.01)_2023-04-20_20240430091450.pdf</v>
      </c>
      <c r="C710" s="1" t="n">
        <v>4</v>
      </c>
      <c r="D710" s="1" t="n">
        <v>1</v>
      </c>
      <c r="E710" s="1" t="n">
        <v>1</v>
      </c>
      <c r="F710" s="3" t="s">
        <v>20</v>
      </c>
      <c r="G710" s="3" t="s">
        <v>2969</v>
      </c>
      <c r="H710" s="1" t="s">
        <v>22</v>
      </c>
      <c r="I710" s="1" t="n">
        <v>20240430091450</v>
      </c>
      <c r="J710" s="3" t="s">
        <v>2970</v>
      </c>
      <c r="K710" s="3" t="s">
        <v>2971</v>
      </c>
      <c r="L710" s="3" t="s">
        <v>2972</v>
      </c>
      <c r="M710" s="3" t="n">
        <v>133185</v>
      </c>
      <c r="N710" s="3" t="s">
        <v>1086</v>
      </c>
      <c r="O710" s="1" t="n">
        <v>116799</v>
      </c>
      <c r="P710" s="1" t="n">
        <v>87.7</v>
      </c>
      <c r="Q710" s="1" t="s">
        <v>20</v>
      </c>
      <c r="R710" s="1" t="s">
        <v>27</v>
      </c>
      <c r="S710" s="1" t="s">
        <v>28</v>
      </c>
      <c r="T710" s="1" t="s">
        <v>29</v>
      </c>
    </row>
    <row r="711" customFormat="false" ht="18.7" hidden="false" customHeight="true" outlineLevel="0" collapsed="false">
      <c r="A711" s="1" t="n">
        <v>710</v>
      </c>
      <c r="B711" s="6" t="str">
        <f aca="false">HYPERLINK("https://mncourtfraud.com/file/MCRO_27-CR-19-9270_Order for Conditional Release_2019-04-23_20240430091513.pdf","MCRO_27-CR-19-9270_Order for Conditional Release_2019-04-23_20240430091513.pdf")</f>
        <v>MCRO_27-CR-19-9270_Order for Conditional Release_2019-04-23_20240430091513.pdf</v>
      </c>
      <c r="C711" s="1" t="n">
        <v>4</v>
      </c>
      <c r="D711" s="1" t="n">
        <v>1</v>
      </c>
      <c r="E711" s="1" t="n">
        <v>1</v>
      </c>
      <c r="F711" s="3" t="s">
        <v>20</v>
      </c>
      <c r="G711" s="3" t="s">
        <v>2973</v>
      </c>
      <c r="H711" s="1" t="s">
        <v>22</v>
      </c>
      <c r="I711" s="1" t="n">
        <v>20240430091513</v>
      </c>
      <c r="J711" s="3" t="s">
        <v>2974</v>
      </c>
      <c r="K711" s="3" t="s">
        <v>2975</v>
      </c>
      <c r="L711" s="3" t="s">
        <v>2976</v>
      </c>
      <c r="M711" s="3" t="n">
        <v>128715</v>
      </c>
      <c r="N711" s="3" t="s">
        <v>435</v>
      </c>
      <c r="O711" s="1" t="n">
        <v>112329</v>
      </c>
      <c r="P711" s="1" t="n">
        <v>87.27</v>
      </c>
      <c r="Q711" s="1" t="s">
        <v>20</v>
      </c>
      <c r="R711" s="1" t="s">
        <v>27</v>
      </c>
      <c r="S711" s="1" t="s">
        <v>28</v>
      </c>
      <c r="T711" s="1" t="s">
        <v>29</v>
      </c>
    </row>
    <row r="712" customFormat="false" ht="18.7" hidden="false" customHeight="true" outlineLevel="0" collapsed="false">
      <c r="A712" s="1" t="n">
        <v>711</v>
      </c>
      <c r="B712" s="6" t="str">
        <f aca="false">HYPERLINK("https://mncourtfraud.com/file/MCRO_27-CR-19-9270_Order for Conditional Release_2019-07-05_20240430091510.pdf","MCRO_27-CR-19-9270_Order for Conditional Release_2019-07-05_20240430091510.pdf")</f>
        <v>MCRO_27-CR-19-9270_Order for Conditional Release_2019-07-05_20240430091510.pdf</v>
      </c>
      <c r="C712" s="1" t="n">
        <v>4</v>
      </c>
      <c r="D712" s="1" t="n">
        <v>1</v>
      </c>
      <c r="E712" s="1" t="n">
        <v>1</v>
      </c>
      <c r="F712" s="3" t="s">
        <v>20</v>
      </c>
      <c r="G712" s="3" t="s">
        <v>2977</v>
      </c>
      <c r="H712" s="1" t="s">
        <v>22</v>
      </c>
      <c r="I712" s="1" t="n">
        <v>20240430091510</v>
      </c>
      <c r="J712" s="3" t="s">
        <v>2930</v>
      </c>
      <c r="K712" s="3" t="s">
        <v>2931</v>
      </c>
      <c r="L712" s="3" t="s">
        <v>2978</v>
      </c>
      <c r="M712" s="3" t="n">
        <v>136436</v>
      </c>
      <c r="N712" s="3" t="s">
        <v>435</v>
      </c>
      <c r="O712" s="1" t="n">
        <v>120050</v>
      </c>
      <c r="P712" s="1" t="n">
        <v>87.99</v>
      </c>
      <c r="Q712" s="1" t="s">
        <v>20</v>
      </c>
      <c r="R712" s="1" t="s">
        <v>27</v>
      </c>
      <c r="S712" s="1" t="s">
        <v>28</v>
      </c>
      <c r="T712" s="1" t="s">
        <v>29</v>
      </c>
    </row>
    <row r="713" customFormat="false" ht="18.7" hidden="false" customHeight="true" outlineLevel="0" collapsed="false">
      <c r="A713" s="1" t="n">
        <v>712</v>
      </c>
      <c r="B713" s="6" t="str">
        <f aca="false">HYPERLINK("https://mncourtfraud.com/file/MCRO_27-CR-19-9270_Other Document_2022-03-08_20240430091454.pdf","MCRO_27-CR-19-9270_Other Document_2022-03-08_20240430091454.pdf")</f>
        <v>MCRO_27-CR-19-9270_Other Document_2022-03-08_20240430091454.pdf</v>
      </c>
      <c r="C713" s="1" t="n">
        <v>4</v>
      </c>
      <c r="D713" s="1" t="n">
        <v>1</v>
      </c>
      <c r="E713" s="1" t="n">
        <v>1</v>
      </c>
      <c r="F713" s="3" t="s">
        <v>20</v>
      </c>
      <c r="G713" s="3" t="s">
        <v>2979</v>
      </c>
      <c r="H713" s="1" t="s">
        <v>22</v>
      </c>
      <c r="I713" s="1" t="n">
        <v>20240430091454</v>
      </c>
      <c r="J713" s="3" t="s">
        <v>2980</v>
      </c>
      <c r="K713" s="3" t="s">
        <v>2981</v>
      </c>
      <c r="L713" s="3" t="s">
        <v>2982</v>
      </c>
      <c r="M713" s="3" t="n">
        <v>84080</v>
      </c>
      <c r="N713" s="3" t="s">
        <v>456</v>
      </c>
      <c r="O713" s="1" t="n">
        <v>67694</v>
      </c>
      <c r="P713" s="1" t="n">
        <v>80.51</v>
      </c>
      <c r="Q713" s="1" t="s">
        <v>20</v>
      </c>
      <c r="R713" s="1" t="s">
        <v>27</v>
      </c>
      <c r="S713" s="1" t="s">
        <v>28</v>
      </c>
      <c r="T713" s="1" t="s">
        <v>29</v>
      </c>
    </row>
    <row r="714" customFormat="false" ht="18.7" hidden="false" customHeight="true" outlineLevel="0" collapsed="false">
      <c r="A714" s="1" t="n">
        <v>713</v>
      </c>
      <c r="B714" s="6" t="str">
        <f aca="false">HYPERLINK("https://mncourtfraud.com/file/MCRO_27-CR-19-9270_Pandemic Notice of Cancelled or Rescheduled Hearing_2020-07-21_20240430091457.pdf","MCRO_27-CR-19-9270_Pandemic Notice of Cancelled or Rescheduled Hearing_2020-07-21_20240430091457.pdf")</f>
        <v>MCRO_27-CR-19-9270_Pandemic Notice of Cancelled or Rescheduled Hearing_2020-07-21_20240430091457.pdf</v>
      </c>
      <c r="C714" s="1" t="n">
        <v>4</v>
      </c>
      <c r="D714" s="1" t="n">
        <v>1</v>
      </c>
      <c r="E714" s="1" t="n">
        <v>1</v>
      </c>
      <c r="F714" s="3" t="s">
        <v>20</v>
      </c>
      <c r="G714" s="3" t="s">
        <v>2983</v>
      </c>
      <c r="H714" s="1" t="s">
        <v>22</v>
      </c>
      <c r="I714" s="1" t="n">
        <v>20240430091457</v>
      </c>
      <c r="J714" s="3" t="s">
        <v>2984</v>
      </c>
      <c r="K714" s="3" t="s">
        <v>2985</v>
      </c>
      <c r="L714" s="3" t="s">
        <v>2986</v>
      </c>
      <c r="M714" s="3" t="n">
        <v>831903</v>
      </c>
      <c r="N714" s="3" t="s">
        <v>2987</v>
      </c>
      <c r="O714" s="1" t="n">
        <v>815517</v>
      </c>
      <c r="P714" s="1" t="n">
        <v>98.03</v>
      </c>
      <c r="Q714" s="1" t="s">
        <v>20</v>
      </c>
      <c r="R714" s="1" t="s">
        <v>27</v>
      </c>
      <c r="S714" s="1" t="s">
        <v>28</v>
      </c>
      <c r="T714" s="1" t="s">
        <v>29</v>
      </c>
    </row>
    <row r="715" customFormat="false" ht="18.7" hidden="false" customHeight="true" outlineLevel="0" collapsed="false">
      <c r="A715" s="1" t="n">
        <v>714</v>
      </c>
      <c r="B715" s="6" t="str">
        <f aca="false">HYPERLINK("https://mncourtfraud.com/file/MCRO_27-CR-19-9270_Proposed Order or Document_2023-08-03_20240430091448.pdf","MCRO_27-CR-19-9270_Proposed Order or Document_2023-08-03_20240430091448.pdf")</f>
        <v>MCRO_27-CR-19-9270_Proposed Order or Document_2023-08-03_20240430091448.pdf</v>
      </c>
      <c r="C715" s="1" t="n">
        <v>3</v>
      </c>
      <c r="D715" s="1" t="n">
        <v>1</v>
      </c>
      <c r="E715" s="1" t="n">
        <v>1</v>
      </c>
      <c r="F715" s="3" t="s">
        <v>20</v>
      </c>
      <c r="G715" s="3" t="s">
        <v>2988</v>
      </c>
      <c r="H715" s="1" t="s">
        <v>22</v>
      </c>
      <c r="I715" s="1" t="n">
        <v>20240430091448</v>
      </c>
      <c r="J715" s="3" t="s">
        <v>2989</v>
      </c>
      <c r="K715" s="3" t="s">
        <v>2990</v>
      </c>
      <c r="L715" s="3" t="s">
        <v>2991</v>
      </c>
      <c r="M715" s="3" t="n">
        <v>179777</v>
      </c>
      <c r="N715" s="3" t="s">
        <v>1115</v>
      </c>
      <c r="O715" s="1" t="n">
        <v>163391</v>
      </c>
      <c r="P715" s="1" t="n">
        <v>90.89</v>
      </c>
      <c r="Q715" s="1" t="s">
        <v>20</v>
      </c>
      <c r="R715" s="1" t="s">
        <v>27</v>
      </c>
      <c r="S715" s="1" t="s">
        <v>28</v>
      </c>
      <c r="T715" s="1" t="s">
        <v>29</v>
      </c>
    </row>
    <row r="716" customFormat="false" ht="18.7" hidden="false" customHeight="true" outlineLevel="0" collapsed="false">
      <c r="A716" s="1" t="n">
        <v>715</v>
      </c>
      <c r="B716" s="6" t="str">
        <f aca="false">HYPERLINK("https://mncourtfraud.com/file/MCRO_27-CR-19-9270_Returned Mail_2021-10-26_20240430091456.pdf","MCRO_27-CR-19-9270_Returned Mail_2021-10-26_20240430091456.pdf")</f>
        <v>MCRO_27-CR-19-9270_Returned Mail_2021-10-26_20240430091456.pdf</v>
      </c>
      <c r="C716" s="1" t="n">
        <v>4</v>
      </c>
      <c r="D716" s="1" t="n">
        <v>1</v>
      </c>
      <c r="E716" s="1" t="n">
        <v>1</v>
      </c>
      <c r="F716" s="3" t="s">
        <v>20</v>
      </c>
      <c r="G716" s="3" t="s">
        <v>2992</v>
      </c>
      <c r="H716" s="1" t="s">
        <v>22</v>
      </c>
      <c r="I716" s="1" t="n">
        <v>20240430091456</v>
      </c>
      <c r="J716" s="3" t="s">
        <v>2993</v>
      </c>
      <c r="K716" s="3" t="s">
        <v>2994</v>
      </c>
      <c r="L716" s="3" t="s">
        <v>2995</v>
      </c>
      <c r="M716" s="3" t="n">
        <v>293313</v>
      </c>
      <c r="N716" s="3" t="s">
        <v>456</v>
      </c>
      <c r="O716" s="1" t="n">
        <v>276927</v>
      </c>
      <c r="P716" s="1" t="n">
        <v>94.41</v>
      </c>
      <c r="Q716" s="1" t="s">
        <v>20</v>
      </c>
      <c r="R716" s="1" t="s">
        <v>27</v>
      </c>
      <c r="S716" s="1" t="s">
        <v>28</v>
      </c>
      <c r="T716" s="1" t="s">
        <v>29</v>
      </c>
    </row>
    <row r="717" customFormat="false" ht="18.7" hidden="false" customHeight="true" outlineLevel="0" collapsed="false">
      <c r="A717" s="1" t="n">
        <v>716</v>
      </c>
      <c r="B717" s="6" t="str">
        <f aca="false">HYPERLINK("https://mncourtfraud.com/file/MCRO_27-CR-19-9270_Returned Mail_2022-04-06_20240430091451.pdf","MCRO_27-CR-19-9270_Returned Mail_2022-04-06_20240430091451.pdf")</f>
        <v>MCRO_27-CR-19-9270_Returned Mail_2022-04-06_20240430091451.pdf</v>
      </c>
      <c r="C717" s="1" t="n">
        <v>4</v>
      </c>
      <c r="D717" s="1" t="n">
        <v>1</v>
      </c>
      <c r="E717" s="1" t="n">
        <v>1</v>
      </c>
      <c r="F717" s="3" t="s">
        <v>20</v>
      </c>
      <c r="G717" s="3" t="s">
        <v>2996</v>
      </c>
      <c r="H717" s="1" t="s">
        <v>22</v>
      </c>
      <c r="I717" s="1" t="n">
        <v>20240430091451</v>
      </c>
      <c r="J717" s="3" t="s">
        <v>2997</v>
      </c>
      <c r="K717" s="3" t="s">
        <v>2998</v>
      </c>
      <c r="L717" s="3" t="s">
        <v>2999</v>
      </c>
      <c r="M717" s="3" t="n">
        <v>97304</v>
      </c>
      <c r="N717" s="3" t="s">
        <v>456</v>
      </c>
      <c r="O717" s="1" t="n">
        <v>80918</v>
      </c>
      <c r="P717" s="1" t="n">
        <v>83.16</v>
      </c>
      <c r="Q717" s="1" t="s">
        <v>20</v>
      </c>
      <c r="R717" s="1" t="s">
        <v>27</v>
      </c>
      <c r="S717" s="1" t="s">
        <v>28</v>
      </c>
      <c r="T717" s="1" t="s">
        <v>29</v>
      </c>
    </row>
    <row r="718" customFormat="false" ht="18.7" hidden="false" customHeight="true" outlineLevel="0" collapsed="false">
      <c r="A718" s="1" t="n">
        <v>717</v>
      </c>
      <c r="B718" s="6" t="str">
        <f aca="false">HYPERLINK("https://mncourtfraud.com/file/MCRO_27-CR-20-10049_Citation Data Summary_2020-04-22_20240430085710.pdf","MCRO_27-CR-20-10049_Citation Data Summary_2020-04-22_20240430085710.pdf")</f>
        <v>MCRO_27-CR-20-10049_Citation Data Summary_2020-04-22_20240430085710.pdf</v>
      </c>
      <c r="C718" s="1" t="n">
        <v>4</v>
      </c>
      <c r="D718" s="1" t="n">
        <v>2</v>
      </c>
      <c r="E718" s="1" t="n">
        <v>2</v>
      </c>
      <c r="F718" s="3" t="s">
        <v>20</v>
      </c>
      <c r="G718" s="3" t="s">
        <v>3000</v>
      </c>
      <c r="H718" s="1" t="s">
        <v>22</v>
      </c>
      <c r="I718" s="1" t="n">
        <v>20240430085710</v>
      </c>
      <c r="J718" s="3" t="s">
        <v>3001</v>
      </c>
      <c r="K718" s="3" t="s">
        <v>3002</v>
      </c>
      <c r="L718" s="3" t="s">
        <v>3003</v>
      </c>
      <c r="M718" s="3" t="n">
        <v>100457</v>
      </c>
      <c r="N718" s="3" t="s">
        <v>1330</v>
      </c>
      <c r="O718" s="1" t="n">
        <v>84071</v>
      </c>
      <c r="P718" s="1" t="n">
        <v>83.69</v>
      </c>
      <c r="Q718" s="1" t="s">
        <v>20</v>
      </c>
      <c r="R718" s="1" t="s">
        <v>27</v>
      </c>
      <c r="S718" s="1" t="s">
        <v>28</v>
      </c>
      <c r="T718" s="1" t="s">
        <v>29</v>
      </c>
    </row>
    <row r="719" customFormat="false" ht="18.7" hidden="false" customHeight="true" outlineLevel="0" collapsed="false">
      <c r="A719" s="1" t="n">
        <v>718</v>
      </c>
      <c r="B719" s="6" t="str">
        <f aca="false">HYPERLINK("https://mncourtfraud.com/file/MCRO_27-CR-20-10049_Finding of Incompetency and Order_2023-10-17_20240430085646.pdf","MCRO_27-CR-20-10049_Finding of Incompetency and Order_2023-10-17_20240430085646.pdf")</f>
        <v>MCRO_27-CR-20-10049_Finding of Incompetency and Order_2023-10-17_20240430085646.pdf</v>
      </c>
      <c r="C719" s="1" t="n">
        <v>5</v>
      </c>
      <c r="D719" s="1" t="n">
        <v>1</v>
      </c>
      <c r="E719" s="1" t="n">
        <v>1</v>
      </c>
      <c r="F719" s="3" t="s">
        <v>20</v>
      </c>
      <c r="G719" s="3" t="s">
        <v>3004</v>
      </c>
      <c r="H719" s="1" t="s">
        <v>22</v>
      </c>
      <c r="I719" s="1" t="n">
        <v>20240430085646</v>
      </c>
      <c r="J719" s="3" t="s">
        <v>3005</v>
      </c>
      <c r="K719" s="3" t="s">
        <v>3006</v>
      </c>
      <c r="L719" s="3" t="s">
        <v>3007</v>
      </c>
      <c r="M719" s="3" t="n">
        <v>826448</v>
      </c>
      <c r="N719" s="3" t="s">
        <v>1257</v>
      </c>
      <c r="O719" s="1" t="n">
        <v>810062</v>
      </c>
      <c r="P719" s="1" t="n">
        <v>98.02</v>
      </c>
      <c r="Q719" s="1" t="s">
        <v>20</v>
      </c>
      <c r="R719" s="1" t="s">
        <v>27</v>
      </c>
      <c r="S719" s="1" t="s">
        <v>28</v>
      </c>
      <c r="T719" s="1" t="s">
        <v>29</v>
      </c>
    </row>
    <row r="720" customFormat="false" ht="18.7" hidden="false" customHeight="true" outlineLevel="0" collapsed="false">
      <c r="A720" s="1" t="n">
        <v>719</v>
      </c>
      <c r="B720" s="6" t="str">
        <f aca="false">HYPERLINK("https://mncourtfraud.com/file/MCRO_27-CR-20-10049_Law Enforcement Notice of Release and Appearance_2021-03-08_20240430085704.pdf","MCRO_27-CR-20-10049_Law Enforcement Notice of Release and Appearance_2021-03-08_20240430085704.pdf")</f>
        <v>MCRO_27-CR-20-10049_Law Enforcement Notice of Release and Appearance_2021-03-08_20240430085704.pdf</v>
      </c>
      <c r="C720" s="1" t="n">
        <v>4</v>
      </c>
      <c r="D720" s="1" t="n">
        <v>1</v>
      </c>
      <c r="E720" s="1" t="n">
        <v>1</v>
      </c>
      <c r="F720" s="3" t="s">
        <v>20</v>
      </c>
      <c r="G720" s="3" t="s">
        <v>3008</v>
      </c>
      <c r="H720" s="1" t="s">
        <v>22</v>
      </c>
      <c r="I720" s="1" t="n">
        <v>20240430085704</v>
      </c>
      <c r="J720" s="3" t="s">
        <v>3009</v>
      </c>
      <c r="K720" s="3" t="s">
        <v>3010</v>
      </c>
      <c r="L720" s="3" t="s">
        <v>3011</v>
      </c>
      <c r="M720" s="3" t="n">
        <v>122510</v>
      </c>
      <c r="N720" s="3" t="s">
        <v>456</v>
      </c>
      <c r="O720" s="1" t="n">
        <v>106124</v>
      </c>
      <c r="P720" s="1" t="n">
        <v>86.62</v>
      </c>
      <c r="Q720" s="1" t="s">
        <v>20</v>
      </c>
      <c r="R720" s="1" t="s">
        <v>27</v>
      </c>
      <c r="S720" s="1" t="s">
        <v>28</v>
      </c>
      <c r="T720" s="1" t="s">
        <v>29</v>
      </c>
    </row>
    <row r="721" customFormat="false" ht="18.7" hidden="false" customHeight="true" outlineLevel="0" collapsed="false">
      <c r="A721" s="1" t="n">
        <v>720</v>
      </c>
      <c r="B721" s="6" t="str">
        <f aca="false">HYPERLINK("https://mncourtfraud.com/file/MCRO_27-CR-20-10049_Law Enforcement Notice of Release and Appearance_2022-05-09_20240430085703.pdf","MCRO_27-CR-20-10049_Law Enforcement Notice of Release and Appearance_2022-05-09_20240430085703.pdf")</f>
        <v>MCRO_27-CR-20-10049_Law Enforcement Notice of Release and Appearance_2022-05-09_20240430085703.pdf</v>
      </c>
      <c r="C721" s="1" t="n">
        <v>4</v>
      </c>
      <c r="D721" s="1" t="n">
        <v>1</v>
      </c>
      <c r="E721" s="1" t="n">
        <v>1</v>
      </c>
      <c r="F721" s="3" t="s">
        <v>20</v>
      </c>
      <c r="G721" s="3" t="s">
        <v>3012</v>
      </c>
      <c r="H721" s="1" t="s">
        <v>22</v>
      </c>
      <c r="I721" s="1" t="n">
        <v>20240430085703</v>
      </c>
      <c r="J721" s="3" t="s">
        <v>3013</v>
      </c>
      <c r="K721" s="3" t="s">
        <v>3014</v>
      </c>
      <c r="L721" s="3" t="s">
        <v>3015</v>
      </c>
      <c r="M721" s="3" t="n">
        <v>668467</v>
      </c>
      <c r="N721" s="3" t="s">
        <v>736</v>
      </c>
      <c r="O721" s="1" t="n">
        <v>652081</v>
      </c>
      <c r="P721" s="1" t="n">
        <v>97.55</v>
      </c>
      <c r="Q721" s="1" t="s">
        <v>20</v>
      </c>
      <c r="R721" s="1" t="s">
        <v>27</v>
      </c>
      <c r="S721" s="1" t="s">
        <v>28</v>
      </c>
      <c r="T721" s="1" t="s">
        <v>29</v>
      </c>
    </row>
    <row r="722" customFormat="false" ht="18.7" hidden="false" customHeight="true" outlineLevel="0" collapsed="false">
      <c r="A722" s="1" t="n">
        <v>721</v>
      </c>
      <c r="B722" s="6" t="str">
        <f aca="false">HYPERLINK("https://mncourtfraud.com/file/MCRO_27-CR-20-10049_Notice of Hearing_2020-12-04_20240430085707.pdf","MCRO_27-CR-20-10049_Notice of Hearing_2020-12-04_20240430085707.pdf")</f>
        <v>MCRO_27-CR-20-10049_Notice of Hearing_2020-12-04_20240430085707.pdf</v>
      </c>
      <c r="C722" s="1" t="n">
        <v>4</v>
      </c>
      <c r="D722" s="1" t="n">
        <v>1</v>
      </c>
      <c r="E722" s="1" t="n">
        <v>1</v>
      </c>
      <c r="F722" s="3" t="s">
        <v>20</v>
      </c>
      <c r="G722" s="3" t="s">
        <v>3016</v>
      </c>
      <c r="H722" s="1" t="s">
        <v>22</v>
      </c>
      <c r="I722" s="1" t="n">
        <v>20240430085707</v>
      </c>
      <c r="J722" s="3" t="s">
        <v>3017</v>
      </c>
      <c r="K722" s="3" t="s">
        <v>3018</v>
      </c>
      <c r="L722" s="3" t="s">
        <v>3019</v>
      </c>
      <c r="M722" s="3" t="n">
        <v>164162</v>
      </c>
      <c r="N722" s="3" t="s">
        <v>1065</v>
      </c>
      <c r="O722" s="1" t="n">
        <v>147776</v>
      </c>
      <c r="P722" s="1" t="n">
        <v>90.02</v>
      </c>
      <c r="Q722" s="1" t="s">
        <v>20</v>
      </c>
      <c r="R722" s="1" t="s">
        <v>27</v>
      </c>
      <c r="S722" s="1" t="s">
        <v>28</v>
      </c>
      <c r="T722" s="1" t="s">
        <v>29</v>
      </c>
    </row>
    <row r="723" customFormat="false" ht="18.7" hidden="false" customHeight="true" outlineLevel="0" collapsed="false">
      <c r="A723" s="1" t="n">
        <v>722</v>
      </c>
      <c r="B723" s="6" t="str">
        <f aca="false">HYPERLINK("https://mncourtfraud.com/file/MCRO_27-CR-20-10049_Notice of Hearing_2022-05-27_20240430085700.pdf","MCRO_27-CR-20-10049_Notice of Hearing_2022-05-27_20240430085700.pdf")</f>
        <v>MCRO_27-CR-20-10049_Notice of Hearing_2022-05-27_20240430085700.pdf</v>
      </c>
      <c r="C723" s="1" t="n">
        <v>5</v>
      </c>
      <c r="D723" s="1" t="n">
        <v>1</v>
      </c>
      <c r="E723" s="1" t="n">
        <v>1</v>
      </c>
      <c r="F723" s="3" t="s">
        <v>20</v>
      </c>
      <c r="G723" s="3" t="s">
        <v>3020</v>
      </c>
      <c r="H723" s="1" t="s">
        <v>22</v>
      </c>
      <c r="I723" s="1" t="n">
        <v>20240430085700</v>
      </c>
      <c r="J723" s="3" t="s">
        <v>3021</v>
      </c>
      <c r="K723" s="3" t="s">
        <v>3022</v>
      </c>
      <c r="L723" s="3" t="s">
        <v>3023</v>
      </c>
      <c r="M723" s="3" t="n">
        <v>697693</v>
      </c>
      <c r="N723" s="3" t="s">
        <v>3024</v>
      </c>
      <c r="O723" s="1" t="n">
        <v>681307</v>
      </c>
      <c r="P723" s="1" t="n">
        <v>97.65</v>
      </c>
      <c r="Q723" s="1" t="s">
        <v>20</v>
      </c>
      <c r="R723" s="1" t="s">
        <v>27</v>
      </c>
      <c r="S723" s="1" t="s">
        <v>28</v>
      </c>
      <c r="T723" s="1" t="s">
        <v>29</v>
      </c>
    </row>
    <row r="724" customFormat="false" ht="18.7" hidden="false" customHeight="true" outlineLevel="0" collapsed="false">
      <c r="A724" s="1" t="n">
        <v>723</v>
      </c>
      <c r="B724" s="6" t="str">
        <f aca="false">HYPERLINK("https://mncourtfraud.com/file/MCRO_27-CR-20-10049_Notice of Hearing_2022-12-29_20240430085659.pdf","MCRO_27-CR-20-10049_Notice of Hearing_2022-12-29_20240430085659.pdf")</f>
        <v>MCRO_27-CR-20-10049_Notice of Hearing_2022-12-29_20240430085659.pdf</v>
      </c>
      <c r="C724" s="1" t="n">
        <v>4</v>
      </c>
      <c r="D724" s="1" t="n">
        <v>1</v>
      </c>
      <c r="E724" s="1" t="n">
        <v>1</v>
      </c>
      <c r="F724" s="3" t="s">
        <v>20</v>
      </c>
      <c r="G724" s="3" t="s">
        <v>3025</v>
      </c>
      <c r="H724" s="1" t="s">
        <v>22</v>
      </c>
      <c r="I724" s="1" t="n">
        <v>20240430085659</v>
      </c>
      <c r="J724" s="3" t="s">
        <v>3026</v>
      </c>
      <c r="K724" s="3" t="s">
        <v>3027</v>
      </c>
      <c r="L724" s="3" t="s">
        <v>3028</v>
      </c>
      <c r="M724" s="3" t="n">
        <v>423331</v>
      </c>
      <c r="N724" s="3" t="s">
        <v>158</v>
      </c>
      <c r="O724" s="1" t="n">
        <v>406945</v>
      </c>
      <c r="P724" s="1" t="n">
        <v>96.13</v>
      </c>
      <c r="Q724" s="1" t="s">
        <v>20</v>
      </c>
      <c r="R724" s="1" t="s">
        <v>27</v>
      </c>
      <c r="S724" s="1" t="s">
        <v>28</v>
      </c>
      <c r="T724" s="1" t="s">
        <v>29</v>
      </c>
    </row>
    <row r="725" customFormat="false" ht="18.7" hidden="false" customHeight="true" outlineLevel="0" collapsed="false">
      <c r="A725" s="1" t="n">
        <v>724</v>
      </c>
      <c r="B725" s="6" t="str">
        <f aca="false">HYPERLINK("https://mncourtfraud.com/file/MCRO_27-CR-20-10049_Notice of Hearing_2023-01-26_20240430085657.pdf","MCRO_27-CR-20-10049_Notice of Hearing_2023-01-26_20240430085657.pdf")</f>
        <v>MCRO_27-CR-20-10049_Notice of Hearing_2023-01-26_20240430085657.pdf</v>
      </c>
      <c r="C725" s="1" t="n">
        <v>4</v>
      </c>
      <c r="D725" s="1" t="n">
        <v>1</v>
      </c>
      <c r="E725" s="1" t="n">
        <v>1</v>
      </c>
      <c r="F725" s="3" t="s">
        <v>20</v>
      </c>
      <c r="G725" s="3" t="s">
        <v>3029</v>
      </c>
      <c r="H725" s="1" t="s">
        <v>22</v>
      </c>
      <c r="I725" s="1" t="n">
        <v>20240430085657</v>
      </c>
      <c r="J725" s="3" t="s">
        <v>3030</v>
      </c>
      <c r="K725" s="3" t="s">
        <v>3031</v>
      </c>
      <c r="L725" s="3" t="s">
        <v>3032</v>
      </c>
      <c r="M725" s="3" t="n">
        <v>459381</v>
      </c>
      <c r="N725" s="3" t="s">
        <v>158</v>
      </c>
      <c r="O725" s="1" t="n">
        <v>442995</v>
      </c>
      <c r="P725" s="1" t="n">
        <v>96.43</v>
      </c>
      <c r="Q725" s="1" t="s">
        <v>20</v>
      </c>
      <c r="R725" s="1" t="s">
        <v>27</v>
      </c>
      <c r="S725" s="1" t="s">
        <v>28</v>
      </c>
      <c r="T725" s="1" t="s">
        <v>29</v>
      </c>
    </row>
    <row r="726" customFormat="false" ht="18.7" hidden="false" customHeight="true" outlineLevel="0" collapsed="false">
      <c r="A726" s="1" t="n">
        <v>725</v>
      </c>
      <c r="B726" s="6" t="str">
        <f aca="false">HYPERLINK("https://mncourtfraud.com/file/MCRO_27-CR-20-10049_Notice of Hearing_2023-07-05_20240430085653.pdf","MCRO_27-CR-20-10049_Notice of Hearing_2023-07-05_20240430085653.pdf")</f>
        <v>MCRO_27-CR-20-10049_Notice of Hearing_2023-07-05_20240430085653.pdf</v>
      </c>
      <c r="C726" s="1" t="n">
        <v>4</v>
      </c>
      <c r="D726" s="1" t="n">
        <v>1</v>
      </c>
      <c r="E726" s="1" t="n">
        <v>1</v>
      </c>
      <c r="F726" s="3" t="s">
        <v>20</v>
      </c>
      <c r="G726" s="3" t="s">
        <v>3033</v>
      </c>
      <c r="H726" s="1" t="s">
        <v>22</v>
      </c>
      <c r="I726" s="1" t="n">
        <v>20240430085653</v>
      </c>
      <c r="J726" s="3" t="s">
        <v>3034</v>
      </c>
      <c r="K726" s="3" t="s">
        <v>3035</v>
      </c>
      <c r="L726" s="3" t="s">
        <v>3036</v>
      </c>
      <c r="M726" s="3" t="n">
        <v>483479</v>
      </c>
      <c r="N726" s="3" t="s">
        <v>158</v>
      </c>
      <c r="O726" s="1" t="n">
        <v>467093</v>
      </c>
      <c r="P726" s="1" t="n">
        <v>96.61</v>
      </c>
      <c r="Q726" s="1" t="s">
        <v>20</v>
      </c>
      <c r="R726" s="1" t="s">
        <v>27</v>
      </c>
      <c r="S726" s="1" t="s">
        <v>28</v>
      </c>
      <c r="T726" s="1" t="s">
        <v>29</v>
      </c>
    </row>
    <row r="727" customFormat="false" ht="18.7" hidden="false" customHeight="true" outlineLevel="0" collapsed="false">
      <c r="A727" s="1" t="n">
        <v>726</v>
      </c>
      <c r="B727" s="6" t="str">
        <f aca="false">HYPERLINK("https://mncourtfraud.com/file/MCRO_27-CR-20-10049_Notice of Hearing_2023-07-11_20240430085648.pdf","MCRO_27-CR-20-10049_Notice of Hearing_2023-07-11_20240430085648.pdf")</f>
        <v>MCRO_27-CR-20-10049_Notice of Hearing_2023-07-11_20240430085648.pdf</v>
      </c>
      <c r="C727" s="1" t="n">
        <v>4</v>
      </c>
      <c r="D727" s="1" t="n">
        <v>1</v>
      </c>
      <c r="E727" s="1" t="n">
        <v>1</v>
      </c>
      <c r="F727" s="3" t="s">
        <v>20</v>
      </c>
      <c r="G727" s="3" t="s">
        <v>3037</v>
      </c>
      <c r="H727" s="1" t="s">
        <v>22</v>
      </c>
      <c r="I727" s="1" t="n">
        <v>20240430085648</v>
      </c>
      <c r="J727" s="3" t="s">
        <v>3038</v>
      </c>
      <c r="K727" s="3" t="s">
        <v>3039</v>
      </c>
      <c r="L727" s="3" t="s">
        <v>3040</v>
      </c>
      <c r="M727" s="3" t="n">
        <v>103037</v>
      </c>
      <c r="N727" s="3" t="s">
        <v>435</v>
      </c>
      <c r="O727" s="1" t="n">
        <v>86651</v>
      </c>
      <c r="P727" s="1" t="n">
        <v>84.1</v>
      </c>
      <c r="Q727" s="1" t="s">
        <v>20</v>
      </c>
      <c r="R727" s="1" t="s">
        <v>27</v>
      </c>
      <c r="S727" s="1" t="s">
        <v>28</v>
      </c>
      <c r="T727" s="1" t="s">
        <v>29</v>
      </c>
    </row>
    <row r="728" customFormat="false" ht="18.7" hidden="false" customHeight="true" outlineLevel="0" collapsed="false">
      <c r="A728" s="1" t="n">
        <v>727</v>
      </c>
      <c r="B728" s="6" t="str">
        <f aca="false">HYPERLINK("https://mncourtfraud.com/file/MCRO_27-CR-20-10049_Notice of Remote Hearing with Instructions_2020-12-30_20240430085706.pdf","MCRO_27-CR-20-10049_Notice of Remote Hearing with Instructions_2020-12-30_20240430085706.pdf")</f>
        <v>MCRO_27-CR-20-10049_Notice of Remote Hearing with Instructions_2020-12-30_20240430085706.pdf</v>
      </c>
      <c r="C728" s="1" t="n">
        <v>5</v>
      </c>
      <c r="D728" s="1" t="n">
        <v>1</v>
      </c>
      <c r="E728" s="1" t="n">
        <v>1</v>
      </c>
      <c r="F728" s="3" t="s">
        <v>20</v>
      </c>
      <c r="G728" s="3" t="s">
        <v>3041</v>
      </c>
      <c r="H728" s="1" t="s">
        <v>22</v>
      </c>
      <c r="I728" s="1" t="n">
        <v>20240430085706</v>
      </c>
      <c r="J728" s="3" t="s">
        <v>3042</v>
      </c>
      <c r="K728" s="3" t="s">
        <v>3043</v>
      </c>
      <c r="L728" s="3" t="s">
        <v>3044</v>
      </c>
      <c r="M728" s="3" t="n">
        <v>1256363</v>
      </c>
      <c r="N728" s="3" t="s">
        <v>655</v>
      </c>
      <c r="O728" s="1" t="n">
        <v>1239977</v>
      </c>
      <c r="P728" s="1" t="n">
        <v>98.7</v>
      </c>
      <c r="Q728" s="1" t="s">
        <v>20</v>
      </c>
      <c r="R728" s="1" t="s">
        <v>27</v>
      </c>
      <c r="S728" s="1" t="s">
        <v>28</v>
      </c>
      <c r="T728" s="1" t="s">
        <v>29</v>
      </c>
    </row>
    <row r="729" customFormat="false" ht="18.7" hidden="false" customHeight="true" outlineLevel="0" collapsed="false">
      <c r="A729" s="1" t="n">
        <v>728</v>
      </c>
      <c r="B729" s="6" t="str">
        <f aca="false">HYPERLINK("https://mncourtfraud.com/file/MCRO_27-CR-20-10049_Notice of Remote Hearing with Instructions_2021-03-08_20240430085706.pdf","MCRO_27-CR-20-10049_Notice of Remote Hearing with Instructions_2021-03-08_20240430085706.pdf")</f>
        <v>MCRO_27-CR-20-10049_Notice of Remote Hearing with Instructions_2021-03-08_20240430085706.pdf</v>
      </c>
      <c r="C729" s="1" t="n">
        <v>5</v>
      </c>
      <c r="D729" s="1" t="n">
        <v>1</v>
      </c>
      <c r="E729" s="1" t="n">
        <v>1</v>
      </c>
      <c r="F729" s="3" t="s">
        <v>20</v>
      </c>
      <c r="G729" s="3" t="s">
        <v>3045</v>
      </c>
      <c r="H729" s="1" t="s">
        <v>22</v>
      </c>
      <c r="I729" s="1" t="n">
        <v>20240430085706</v>
      </c>
      <c r="J729" s="3" t="s">
        <v>3017</v>
      </c>
      <c r="K729" s="3" t="s">
        <v>3018</v>
      </c>
      <c r="L729" s="3" t="s">
        <v>3046</v>
      </c>
      <c r="M729" s="3" t="n">
        <v>1251878</v>
      </c>
      <c r="N729" s="3" t="s">
        <v>3047</v>
      </c>
      <c r="O729" s="1" t="n">
        <v>1235492</v>
      </c>
      <c r="P729" s="1" t="n">
        <v>98.69</v>
      </c>
      <c r="Q729" s="1" t="s">
        <v>20</v>
      </c>
      <c r="R729" s="1" t="s">
        <v>27</v>
      </c>
      <c r="S729" s="1" t="s">
        <v>28</v>
      </c>
      <c r="T729" s="1" t="s">
        <v>29</v>
      </c>
    </row>
    <row r="730" customFormat="false" ht="18.7" hidden="false" customHeight="true" outlineLevel="0" collapsed="false">
      <c r="A730" s="1" t="n">
        <v>729</v>
      </c>
      <c r="B730" s="6" t="str">
        <f aca="false">HYPERLINK("https://mncourtfraud.com/file/MCRO_27-CR-20-10049_Notice of Remote Hearing with Instructions_2021-09-23_20240430085702.pdf","MCRO_27-CR-20-10049_Notice of Remote Hearing with Instructions_2021-09-23_20240430085702.pdf")</f>
        <v>MCRO_27-CR-20-10049_Notice of Remote Hearing with Instructions_2021-09-23_20240430085702.pdf</v>
      </c>
      <c r="C730" s="1" t="n">
        <v>5</v>
      </c>
      <c r="D730" s="1" t="n">
        <v>1</v>
      </c>
      <c r="E730" s="1" t="n">
        <v>1</v>
      </c>
      <c r="F730" s="3" t="s">
        <v>20</v>
      </c>
      <c r="G730" s="3" t="s">
        <v>3048</v>
      </c>
      <c r="H730" s="1" t="s">
        <v>22</v>
      </c>
      <c r="I730" s="1" t="n">
        <v>20240430085702</v>
      </c>
      <c r="J730" s="3" t="s">
        <v>3049</v>
      </c>
      <c r="K730" s="3" t="s">
        <v>3050</v>
      </c>
      <c r="L730" s="3" t="s">
        <v>3051</v>
      </c>
      <c r="M730" s="3" t="n">
        <v>861109</v>
      </c>
      <c r="N730" s="3" t="s">
        <v>2852</v>
      </c>
      <c r="O730" s="1" t="n">
        <v>844723</v>
      </c>
      <c r="P730" s="1" t="n">
        <v>98.1</v>
      </c>
      <c r="Q730" s="1" t="s">
        <v>20</v>
      </c>
      <c r="R730" s="1" t="s">
        <v>27</v>
      </c>
      <c r="S730" s="1" t="s">
        <v>28</v>
      </c>
      <c r="T730" s="1" t="s">
        <v>29</v>
      </c>
    </row>
    <row r="731" customFormat="false" ht="18.7" hidden="false" customHeight="true" outlineLevel="0" collapsed="false">
      <c r="A731" s="1" t="n">
        <v>730</v>
      </c>
      <c r="B731" s="6" t="str">
        <f aca="false">HYPERLINK("https://mncourtfraud.com/file/MCRO_27-CR-20-10049_Notice of Remote Hearing with Instructions_2023-01-26_20240430085658.pdf","MCRO_27-CR-20-10049_Notice of Remote Hearing with Instructions_2023-01-26_20240430085658.pdf")</f>
        <v>MCRO_27-CR-20-10049_Notice of Remote Hearing with Instructions_2023-01-26_20240430085658.pdf</v>
      </c>
      <c r="C731" s="1" t="n">
        <v>4</v>
      </c>
      <c r="D731" s="1" t="n">
        <v>1</v>
      </c>
      <c r="E731" s="1" t="n">
        <v>1</v>
      </c>
      <c r="F731" s="3" t="s">
        <v>20</v>
      </c>
      <c r="G731" s="3" t="s">
        <v>3052</v>
      </c>
      <c r="H731" s="1" t="s">
        <v>22</v>
      </c>
      <c r="I731" s="1" t="n">
        <v>20240430085658</v>
      </c>
      <c r="J731" s="3" t="s">
        <v>3053</v>
      </c>
      <c r="K731" s="3" t="s">
        <v>3054</v>
      </c>
      <c r="L731" s="3" t="s">
        <v>3055</v>
      </c>
      <c r="M731" s="3" t="n">
        <v>871238</v>
      </c>
      <c r="N731" s="3" t="s">
        <v>1128</v>
      </c>
      <c r="O731" s="1" t="n">
        <v>854852</v>
      </c>
      <c r="P731" s="1" t="n">
        <v>98.12</v>
      </c>
      <c r="Q731" s="1" t="s">
        <v>20</v>
      </c>
      <c r="R731" s="1" t="s">
        <v>27</v>
      </c>
      <c r="S731" s="1" t="s">
        <v>28</v>
      </c>
      <c r="T731" s="1" t="s">
        <v>29</v>
      </c>
    </row>
    <row r="732" customFormat="false" ht="18.7" hidden="false" customHeight="true" outlineLevel="0" collapsed="false">
      <c r="A732" s="1" t="n">
        <v>731</v>
      </c>
      <c r="B732" s="6" t="str">
        <f aca="false">HYPERLINK("https://mncourtfraud.com/file/MCRO_27-CR-20-10049_Notice of Remote Hearing with Instructions_2023-07-05_20240430085652.pdf","MCRO_27-CR-20-10049_Notice of Remote Hearing with Instructions_2023-07-05_20240430085652.pdf")</f>
        <v>MCRO_27-CR-20-10049_Notice of Remote Hearing with Instructions_2023-07-05_20240430085652.pdf</v>
      </c>
      <c r="C732" s="1" t="n">
        <v>4</v>
      </c>
      <c r="D732" s="1" t="n">
        <v>1</v>
      </c>
      <c r="E732" s="1" t="n">
        <v>1</v>
      </c>
      <c r="F732" s="3" t="s">
        <v>20</v>
      </c>
      <c r="G732" s="3" t="s">
        <v>3056</v>
      </c>
      <c r="H732" s="1" t="s">
        <v>22</v>
      </c>
      <c r="I732" s="1" t="n">
        <v>20240430085652</v>
      </c>
      <c r="J732" s="3" t="s">
        <v>3057</v>
      </c>
      <c r="K732" s="3" t="s">
        <v>3058</v>
      </c>
      <c r="L732" s="3" t="s">
        <v>3059</v>
      </c>
      <c r="M732" s="3" t="n">
        <v>760518</v>
      </c>
      <c r="N732" s="3" t="s">
        <v>1128</v>
      </c>
      <c r="O732" s="1" t="n">
        <v>744132</v>
      </c>
      <c r="P732" s="1" t="n">
        <v>97.85</v>
      </c>
      <c r="Q732" s="1" t="s">
        <v>20</v>
      </c>
      <c r="R732" s="1" t="s">
        <v>27</v>
      </c>
      <c r="S732" s="1" t="s">
        <v>28</v>
      </c>
      <c r="T732" s="1" t="s">
        <v>29</v>
      </c>
    </row>
    <row r="733" customFormat="false" ht="18.7" hidden="false" customHeight="true" outlineLevel="0" collapsed="false">
      <c r="A733" s="1" t="n">
        <v>732</v>
      </c>
      <c r="B733" s="6" t="str">
        <f aca="false">HYPERLINK("https://mncourtfraud.com/file/MCRO_27-CR-20-10049_Notice of Remote Hearing with Instructions_2023-07-11_20240430085649.pdf","MCRO_27-CR-20-10049_Notice of Remote Hearing with Instructions_2023-07-11_20240430085649.pdf")</f>
        <v>MCRO_27-CR-20-10049_Notice of Remote Hearing with Instructions_2023-07-11_20240430085649.pdf</v>
      </c>
      <c r="C733" s="1" t="n">
        <v>4</v>
      </c>
      <c r="D733" s="1" t="n">
        <v>1</v>
      </c>
      <c r="E733" s="1" t="n">
        <v>1</v>
      </c>
      <c r="F733" s="3" t="s">
        <v>20</v>
      </c>
      <c r="G733" s="3" t="s">
        <v>3060</v>
      </c>
      <c r="H733" s="1" t="s">
        <v>22</v>
      </c>
      <c r="I733" s="1" t="n">
        <v>20240430085649</v>
      </c>
      <c r="J733" s="3" t="s">
        <v>3061</v>
      </c>
      <c r="K733" s="3" t="s">
        <v>3062</v>
      </c>
      <c r="L733" s="3" t="s">
        <v>3063</v>
      </c>
      <c r="M733" s="3" t="n">
        <v>137205</v>
      </c>
      <c r="N733" s="3" t="s">
        <v>1159</v>
      </c>
      <c r="O733" s="1" t="n">
        <v>120819</v>
      </c>
      <c r="P733" s="1" t="n">
        <v>88.06</v>
      </c>
      <c r="Q733" s="1" t="s">
        <v>20</v>
      </c>
      <c r="R733" s="1" t="s">
        <v>27</v>
      </c>
      <c r="S733" s="1" t="s">
        <v>28</v>
      </c>
      <c r="T733" s="1" t="s">
        <v>29</v>
      </c>
    </row>
    <row r="734" customFormat="false" ht="18.7" hidden="false" customHeight="true" outlineLevel="0" collapsed="false">
      <c r="A734" s="1" t="n">
        <v>733</v>
      </c>
      <c r="B734" s="6" t="str">
        <f aca="false">HYPERLINK("https://mncourtfraud.com/file/MCRO_27-CR-20-10049_Notice of Remote Hearing with Instructions_2023-09-05_20240430085648.pdf","MCRO_27-CR-20-10049_Notice of Remote Hearing with Instructions_2023-09-05_20240430085648.pdf")</f>
        <v>MCRO_27-CR-20-10049_Notice of Remote Hearing with Instructions_2023-09-05_20240430085648.pdf</v>
      </c>
      <c r="C734" s="1" t="n">
        <v>4</v>
      </c>
      <c r="D734" s="1" t="n">
        <v>1</v>
      </c>
      <c r="E734" s="1" t="n">
        <v>1</v>
      </c>
      <c r="F734" s="3" t="s">
        <v>20</v>
      </c>
      <c r="G734" s="3" t="s">
        <v>3064</v>
      </c>
      <c r="H734" s="1" t="s">
        <v>22</v>
      </c>
      <c r="I734" s="1" t="n">
        <v>20240430085648</v>
      </c>
      <c r="J734" s="3" t="s">
        <v>3065</v>
      </c>
      <c r="K734" s="3" t="s">
        <v>3066</v>
      </c>
      <c r="L734" s="3" t="s">
        <v>3067</v>
      </c>
      <c r="M734" s="3" t="n">
        <v>885521</v>
      </c>
      <c r="N734" s="3" t="s">
        <v>3068</v>
      </c>
      <c r="O734" s="1" t="n">
        <v>869135</v>
      </c>
      <c r="P734" s="1" t="n">
        <v>98.15</v>
      </c>
      <c r="Q734" s="1" t="s">
        <v>20</v>
      </c>
      <c r="R734" s="1" t="s">
        <v>27</v>
      </c>
      <c r="S734" s="1" t="s">
        <v>28</v>
      </c>
      <c r="T734" s="1" t="s">
        <v>29</v>
      </c>
    </row>
    <row r="735" customFormat="false" ht="18.7" hidden="false" customHeight="true" outlineLevel="0" collapsed="false">
      <c r="A735" s="1" t="n">
        <v>734</v>
      </c>
      <c r="B735" s="6" t="str">
        <f aca="false">HYPERLINK("https://mncourtfraud.com/file/MCRO_27-CR-20-10049_Order-Evaluation for Competency to Proceed (Rule 20.01)_2023-01-26_20240430085656.pdf","MCRO_27-CR-20-10049_Order-Evaluation for Competency to Proceed (Rule 20.01)_2023-01-26_20240430085656.pdf")</f>
        <v>MCRO_27-CR-20-10049_Order-Evaluation for Competency to Proceed (Rule 20.01)_2023-01-26_20240430085656.pdf</v>
      </c>
      <c r="C735" s="1" t="n">
        <v>4</v>
      </c>
      <c r="D735" s="1" t="n">
        <v>1</v>
      </c>
      <c r="E735" s="1" t="n">
        <v>1</v>
      </c>
      <c r="F735" s="3" t="s">
        <v>20</v>
      </c>
      <c r="G735" s="3" t="s">
        <v>3069</v>
      </c>
      <c r="H735" s="1" t="s">
        <v>22</v>
      </c>
      <c r="I735" s="1" t="n">
        <v>20240430085656</v>
      </c>
      <c r="J735" s="3" t="s">
        <v>3070</v>
      </c>
      <c r="K735" s="3" t="s">
        <v>3071</v>
      </c>
      <c r="L735" s="3" t="s">
        <v>3072</v>
      </c>
      <c r="M735" s="3" t="n">
        <v>1075902</v>
      </c>
      <c r="N735" s="3" t="s">
        <v>1128</v>
      </c>
      <c r="O735" s="1" t="n">
        <v>1059516</v>
      </c>
      <c r="P735" s="1" t="n">
        <v>98.48</v>
      </c>
      <c r="Q735" s="1" t="s">
        <v>20</v>
      </c>
      <c r="R735" s="1" t="s">
        <v>27</v>
      </c>
      <c r="S735" s="1" t="s">
        <v>28</v>
      </c>
      <c r="T735" s="1" t="s">
        <v>29</v>
      </c>
    </row>
    <row r="736" customFormat="false" ht="18.7" hidden="false" customHeight="true" outlineLevel="0" collapsed="false">
      <c r="A736" s="1" t="n">
        <v>735</v>
      </c>
      <c r="B736" s="6" t="str">
        <f aca="false">HYPERLINK("https://mncourtfraud.com/file/MCRO_27-CR-20-10049_Order-Evaluation for Competency to Proceed (Rule 20.01)_2023-07-05_20240430085651.pdf","MCRO_27-CR-20-10049_Order-Evaluation for Competency to Proceed (Rule 20.01)_2023-07-05_20240430085651.pdf")</f>
        <v>MCRO_27-CR-20-10049_Order-Evaluation for Competency to Proceed (Rule 20.01)_2023-07-05_20240430085651.pdf</v>
      </c>
      <c r="C736" s="1" t="n">
        <v>4</v>
      </c>
      <c r="D736" s="1" t="n">
        <v>1</v>
      </c>
      <c r="E736" s="1" t="n">
        <v>1</v>
      </c>
      <c r="F736" s="3" t="s">
        <v>20</v>
      </c>
      <c r="G736" s="3" t="s">
        <v>3073</v>
      </c>
      <c r="H736" s="1" t="s">
        <v>22</v>
      </c>
      <c r="I736" s="1" t="n">
        <v>20240430085651</v>
      </c>
      <c r="J736" s="3" t="s">
        <v>3074</v>
      </c>
      <c r="K736" s="3" t="s">
        <v>3075</v>
      </c>
      <c r="L736" s="3" t="s">
        <v>3076</v>
      </c>
      <c r="M736" s="3" t="n">
        <v>1013344</v>
      </c>
      <c r="N736" s="3" t="s">
        <v>1128</v>
      </c>
      <c r="O736" s="1" t="n">
        <v>996958</v>
      </c>
      <c r="P736" s="1" t="n">
        <v>98.38</v>
      </c>
      <c r="Q736" s="1" t="s">
        <v>20</v>
      </c>
      <c r="R736" s="1" t="s">
        <v>27</v>
      </c>
      <c r="S736" s="1" t="s">
        <v>28</v>
      </c>
      <c r="T736" s="1" t="s">
        <v>29</v>
      </c>
    </row>
    <row r="737" customFormat="false" ht="18.7" hidden="false" customHeight="true" outlineLevel="0" collapsed="false">
      <c r="A737" s="1" t="n">
        <v>736</v>
      </c>
      <c r="B737" s="6" t="str">
        <f aca="false">HYPERLINK("https://mncourtfraud.com/file/MCRO_27-CR-20-10049_Order for Conditional Release_2023-07-05_20240430085655.pdf","MCRO_27-CR-20-10049_Order for Conditional Release_2023-07-05_20240430085655.pdf")</f>
        <v>MCRO_27-CR-20-10049_Order for Conditional Release_2023-07-05_20240430085655.pdf</v>
      </c>
      <c r="C737" s="1" t="n">
        <v>4</v>
      </c>
      <c r="D737" s="1" t="n">
        <v>1</v>
      </c>
      <c r="E737" s="1" t="n">
        <v>1</v>
      </c>
      <c r="F737" s="3" t="s">
        <v>20</v>
      </c>
      <c r="G737" s="3" t="s">
        <v>3077</v>
      </c>
      <c r="H737" s="1" t="s">
        <v>22</v>
      </c>
      <c r="I737" s="1" t="n">
        <v>20240430085655</v>
      </c>
      <c r="J737" s="3" t="s">
        <v>3078</v>
      </c>
      <c r="K737" s="3" t="s">
        <v>3079</v>
      </c>
      <c r="L737" s="3" t="s">
        <v>3080</v>
      </c>
      <c r="M737" s="3" t="n">
        <v>763597</v>
      </c>
      <c r="N737" s="3" t="s">
        <v>158</v>
      </c>
      <c r="O737" s="1" t="n">
        <v>747211</v>
      </c>
      <c r="P737" s="1" t="n">
        <v>97.85</v>
      </c>
      <c r="Q737" s="1" t="s">
        <v>20</v>
      </c>
      <c r="R737" s="1" t="s">
        <v>27</v>
      </c>
      <c r="S737" s="1" t="s">
        <v>28</v>
      </c>
      <c r="T737" s="1" t="s">
        <v>29</v>
      </c>
    </row>
    <row r="738" customFormat="false" ht="18.7" hidden="false" customHeight="true" outlineLevel="0" collapsed="false">
      <c r="A738" s="1" t="n">
        <v>737</v>
      </c>
      <c r="B738" s="6" t="str">
        <f aca="false">HYPERLINK("https://mncourtfraud.com/file/MCRO_27-CR-20-10049_Pandemic Notice of Cancelled or Rescheduled Hearing_2020-05-12_20240430085708.pdf","MCRO_27-CR-20-10049_Pandemic Notice of Cancelled or Rescheduled Hearing_2020-05-12_20240430085708.pdf")</f>
        <v>MCRO_27-CR-20-10049_Pandemic Notice of Cancelled or Rescheduled Hearing_2020-05-12_20240430085708.pdf</v>
      </c>
      <c r="C738" s="1" t="n">
        <v>4</v>
      </c>
      <c r="D738" s="1" t="n">
        <v>1</v>
      </c>
      <c r="E738" s="1" t="n">
        <v>1</v>
      </c>
      <c r="F738" s="3" t="s">
        <v>20</v>
      </c>
      <c r="G738" s="3" t="s">
        <v>3081</v>
      </c>
      <c r="H738" s="1" t="s">
        <v>22</v>
      </c>
      <c r="I738" s="1" t="n">
        <v>20240430085708</v>
      </c>
      <c r="J738" s="3" t="s">
        <v>3082</v>
      </c>
      <c r="K738" s="3" t="s">
        <v>3083</v>
      </c>
      <c r="L738" s="3" t="s">
        <v>3084</v>
      </c>
      <c r="M738" s="3" t="n">
        <v>672353</v>
      </c>
      <c r="N738" s="3" t="s">
        <v>3085</v>
      </c>
      <c r="O738" s="1" t="n">
        <v>655967</v>
      </c>
      <c r="P738" s="1" t="n">
        <v>97.56</v>
      </c>
      <c r="Q738" s="1" t="s">
        <v>20</v>
      </c>
      <c r="R738" s="1" t="s">
        <v>27</v>
      </c>
      <c r="S738" s="1" t="s">
        <v>28</v>
      </c>
      <c r="T738" s="1" t="s">
        <v>29</v>
      </c>
    </row>
    <row r="739" customFormat="false" ht="18.7" hidden="false" customHeight="true" outlineLevel="0" collapsed="false">
      <c r="A739" s="1" t="n">
        <v>738</v>
      </c>
      <c r="B739" s="6" t="str">
        <f aca="false">HYPERLINK("https://mncourtfraud.com/file/MCRO_27-CR-20-10049_Summons_2020-04-23_20240430085709.pdf","MCRO_27-CR-20-10049_Summons_2020-04-23_20240430085709.pdf")</f>
        <v>MCRO_27-CR-20-10049_Summons_2020-04-23_20240430085709.pdf</v>
      </c>
      <c r="C739" s="1" t="n">
        <v>4</v>
      </c>
      <c r="D739" s="1" t="n">
        <v>1</v>
      </c>
      <c r="E739" s="1" t="n">
        <v>1</v>
      </c>
      <c r="F739" s="3" t="s">
        <v>20</v>
      </c>
      <c r="G739" s="3" t="s">
        <v>3086</v>
      </c>
      <c r="H739" s="1" t="s">
        <v>22</v>
      </c>
      <c r="I739" s="1" t="n">
        <v>20240430085709</v>
      </c>
      <c r="J739" s="3" t="s">
        <v>3087</v>
      </c>
      <c r="K739" s="3" t="s">
        <v>3088</v>
      </c>
      <c r="L739" s="3" t="s">
        <v>3089</v>
      </c>
      <c r="M739" s="3" t="n">
        <v>653031</v>
      </c>
      <c r="N739" s="3" t="s">
        <v>3085</v>
      </c>
      <c r="O739" s="1" t="n">
        <v>636645</v>
      </c>
      <c r="P739" s="1" t="n">
        <v>97.49</v>
      </c>
      <c r="Q739" s="1" t="s">
        <v>20</v>
      </c>
      <c r="R739" s="1" t="s">
        <v>27</v>
      </c>
      <c r="S739" s="1" t="s">
        <v>28</v>
      </c>
      <c r="T739" s="1" t="s">
        <v>29</v>
      </c>
    </row>
    <row r="740" customFormat="false" ht="18.7" hidden="false" customHeight="true" outlineLevel="0" collapsed="false">
      <c r="A740" s="1" t="n">
        <v>739</v>
      </c>
      <c r="B740" s="6" t="str">
        <f aca="false">HYPERLINK("https://mncourtfraud.com/file/MCRO_27-CR-20-11638_E-filed Comp-Summons_2020-05-14_20240430085847.pdf","MCRO_27-CR-20-11638_E-filed Comp-Summons_2020-05-14_20240430085847.pdf")</f>
        <v>MCRO_27-CR-20-11638_E-filed Comp-Summons_2020-05-14_20240430085847.pdf</v>
      </c>
      <c r="C740" s="1" t="n">
        <v>4</v>
      </c>
      <c r="D740" s="1" t="n">
        <v>2</v>
      </c>
      <c r="E740" s="1" t="n">
        <v>2</v>
      </c>
      <c r="F740" s="3" t="s">
        <v>20</v>
      </c>
      <c r="G740" s="3" t="s">
        <v>3090</v>
      </c>
      <c r="H740" s="1" t="s">
        <v>22</v>
      </c>
      <c r="I740" s="1" t="n">
        <v>20240430085847</v>
      </c>
      <c r="J740" s="3" t="s">
        <v>3091</v>
      </c>
      <c r="K740" s="3" t="s">
        <v>3092</v>
      </c>
      <c r="L740" s="3" t="s">
        <v>3093</v>
      </c>
      <c r="M740" s="3" t="n">
        <v>537551</v>
      </c>
      <c r="N740" s="3" t="s">
        <v>3094</v>
      </c>
      <c r="O740" s="1" t="n">
        <v>521165</v>
      </c>
      <c r="P740" s="1" t="n">
        <v>96.95</v>
      </c>
      <c r="Q740" s="1" t="s">
        <v>20</v>
      </c>
      <c r="R740" s="1" t="s">
        <v>27</v>
      </c>
      <c r="S740" s="1" t="s">
        <v>28</v>
      </c>
      <c r="T740" s="1" t="s">
        <v>29</v>
      </c>
    </row>
    <row r="741" customFormat="false" ht="18.7" hidden="false" customHeight="true" outlineLevel="0" collapsed="false">
      <c r="A741" s="1" t="n">
        <v>740</v>
      </c>
      <c r="B741" s="6" t="str">
        <f aca="false">HYPERLINK("https://mncourtfraud.com/file/MCRO_27-CR-20-11638_Finding of Incompetency and Order_2023-05-24_20240430085821.pdf","MCRO_27-CR-20-11638_Finding of Incompetency and Order_2023-05-24_20240430085821.pdf")</f>
        <v>MCRO_27-CR-20-11638_Finding of Incompetency and Order_2023-05-24_20240430085821.pdf</v>
      </c>
      <c r="C741" s="1" t="n">
        <v>9</v>
      </c>
      <c r="D741" s="1" t="n">
        <v>3</v>
      </c>
      <c r="E741" s="1" t="n">
        <v>3</v>
      </c>
      <c r="F741" s="3" t="s">
        <v>27</v>
      </c>
      <c r="G741" s="3" t="s">
        <v>3095</v>
      </c>
      <c r="H741" s="1" t="s">
        <v>22</v>
      </c>
      <c r="I741" s="1" t="n">
        <v>20240430085821</v>
      </c>
      <c r="J741" s="3" t="s">
        <v>3096</v>
      </c>
      <c r="K741" s="3" t="s">
        <v>3097</v>
      </c>
      <c r="L741" s="3" t="s">
        <v>3098</v>
      </c>
      <c r="M741" s="3" t="n">
        <v>938496</v>
      </c>
      <c r="N741" s="3" t="s">
        <v>2728</v>
      </c>
      <c r="O741" s="1" t="n">
        <v>922110</v>
      </c>
      <c r="P741" s="1" t="n">
        <v>98.25</v>
      </c>
      <c r="Q741" s="1" t="s">
        <v>20</v>
      </c>
      <c r="R741" s="1" t="s">
        <v>27</v>
      </c>
      <c r="S741" s="1" t="s">
        <v>28</v>
      </c>
      <c r="T741" s="1" t="s">
        <v>29</v>
      </c>
    </row>
    <row r="742" customFormat="false" ht="18.7" hidden="false" customHeight="true" outlineLevel="0" collapsed="false">
      <c r="A742" s="1" t="n">
        <v>741</v>
      </c>
      <c r="B742" s="6" t="str">
        <f aca="false">HYPERLINK("https://mncourtfraud.com/file/MCRO_27-CR-20-11638_Finding of Incompetency and Order_2023-11-28_20240430085818.pdf","MCRO_27-CR-20-11638_Finding of Incompetency and Order_2023-11-28_20240430085818.pdf")</f>
        <v>MCRO_27-CR-20-11638_Finding of Incompetency and Order_2023-11-28_20240430085818.pdf</v>
      </c>
      <c r="C742" s="1" t="n">
        <v>4</v>
      </c>
      <c r="D742" s="1" t="n">
        <v>1</v>
      </c>
      <c r="E742" s="1" t="n">
        <v>1</v>
      </c>
      <c r="F742" s="3" t="s">
        <v>20</v>
      </c>
      <c r="G742" s="3" t="s">
        <v>3099</v>
      </c>
      <c r="H742" s="1" t="s">
        <v>22</v>
      </c>
      <c r="I742" s="1" t="n">
        <v>20240430085818</v>
      </c>
      <c r="J742" s="3" t="s">
        <v>3100</v>
      </c>
      <c r="K742" s="3" t="s">
        <v>3101</v>
      </c>
      <c r="L742" s="3" t="s">
        <v>3102</v>
      </c>
      <c r="M742" s="3" t="n">
        <v>793654</v>
      </c>
      <c r="N742" s="3" t="s">
        <v>3103</v>
      </c>
      <c r="O742" s="1" t="n">
        <v>777268</v>
      </c>
      <c r="P742" s="1" t="n">
        <v>97.94</v>
      </c>
      <c r="Q742" s="1" t="s">
        <v>20</v>
      </c>
      <c r="R742" s="1" t="s">
        <v>27</v>
      </c>
      <c r="S742" s="1" t="s">
        <v>28</v>
      </c>
      <c r="T742" s="1" t="s">
        <v>29</v>
      </c>
    </row>
    <row r="743" customFormat="false" ht="18.7" hidden="false" customHeight="true" outlineLevel="0" collapsed="false">
      <c r="A743" s="1" t="n">
        <v>742</v>
      </c>
      <c r="B743" s="6" t="str">
        <f aca="false">HYPERLINK("https://mncourtfraud.com/file/MCRO_27-CR-20-11638_Law Enforcement Notice of Release and Appearance_2020-07-09_20240430085844.pdf","MCRO_27-CR-20-11638_Law Enforcement Notice of Release and Appearance_2020-07-09_20240430085844.pdf")</f>
        <v>MCRO_27-CR-20-11638_Law Enforcement Notice of Release and Appearance_2020-07-09_20240430085844.pdf</v>
      </c>
      <c r="C743" s="1" t="n">
        <v>4</v>
      </c>
      <c r="D743" s="1" t="n">
        <v>1</v>
      </c>
      <c r="E743" s="1" t="n">
        <v>1</v>
      </c>
      <c r="F743" s="3" t="s">
        <v>20</v>
      </c>
      <c r="G743" s="3" t="s">
        <v>3104</v>
      </c>
      <c r="H743" s="1" t="s">
        <v>22</v>
      </c>
      <c r="I743" s="1" t="n">
        <v>20240430085844</v>
      </c>
      <c r="J743" s="3" t="s">
        <v>3105</v>
      </c>
      <c r="K743" s="3" t="s">
        <v>3106</v>
      </c>
      <c r="L743" s="3" t="s">
        <v>3107</v>
      </c>
      <c r="M743" s="3" t="n">
        <v>117830</v>
      </c>
      <c r="N743" s="3" t="s">
        <v>137</v>
      </c>
      <c r="O743" s="1" t="n">
        <v>101444</v>
      </c>
      <c r="P743" s="1" t="n">
        <v>86.09</v>
      </c>
      <c r="Q743" s="1" t="s">
        <v>20</v>
      </c>
      <c r="R743" s="1" t="s">
        <v>27</v>
      </c>
      <c r="S743" s="1" t="s">
        <v>28</v>
      </c>
      <c r="T743" s="1" t="s">
        <v>29</v>
      </c>
    </row>
    <row r="744" customFormat="false" ht="18.7" hidden="false" customHeight="true" outlineLevel="0" collapsed="false">
      <c r="A744" s="1" t="n">
        <v>743</v>
      </c>
      <c r="B744" s="6" t="str">
        <f aca="false">HYPERLINK("https://mncourtfraud.com/file/MCRO_27-CR-20-11638_Law Enforcement Notice of Release and Appearance_2020-07-13_20240430085843.pdf","MCRO_27-CR-20-11638_Law Enforcement Notice of Release and Appearance_2020-07-13_20240430085843.pdf")</f>
        <v>MCRO_27-CR-20-11638_Law Enforcement Notice of Release and Appearance_2020-07-13_20240430085843.pdf</v>
      </c>
      <c r="C744" s="1" t="n">
        <v>4</v>
      </c>
      <c r="D744" s="1" t="n">
        <v>1</v>
      </c>
      <c r="E744" s="1" t="n">
        <v>1</v>
      </c>
      <c r="F744" s="3" t="s">
        <v>20</v>
      </c>
      <c r="G744" s="3" t="s">
        <v>3108</v>
      </c>
      <c r="H744" s="1" t="s">
        <v>22</v>
      </c>
      <c r="I744" s="1" t="n">
        <v>20240430085843</v>
      </c>
      <c r="J744" s="3" t="s">
        <v>3109</v>
      </c>
      <c r="K744" s="3" t="s">
        <v>3110</v>
      </c>
      <c r="L744" s="3" t="s">
        <v>3111</v>
      </c>
      <c r="M744" s="3" t="n">
        <v>580602</v>
      </c>
      <c r="N744" s="3" t="s">
        <v>137</v>
      </c>
      <c r="O744" s="1" t="n">
        <v>564216</v>
      </c>
      <c r="P744" s="1" t="n">
        <v>97.18</v>
      </c>
      <c r="Q744" s="1" t="s">
        <v>20</v>
      </c>
      <c r="R744" s="1" t="s">
        <v>27</v>
      </c>
      <c r="S744" s="1" t="s">
        <v>28</v>
      </c>
      <c r="T744" s="1" t="s">
        <v>29</v>
      </c>
    </row>
    <row r="745" customFormat="false" ht="18.7" hidden="false" customHeight="true" outlineLevel="0" collapsed="false">
      <c r="A745" s="1" t="n">
        <v>744</v>
      </c>
      <c r="B745" s="6" t="str">
        <f aca="false">HYPERLINK("https://mncourtfraud.com/file/MCRO_27-CR-20-11638_Notice of Hearing_2020-10-12_20240430085841.pdf","MCRO_27-CR-20-11638_Notice of Hearing_2020-10-12_20240430085841.pdf")</f>
        <v>MCRO_27-CR-20-11638_Notice of Hearing_2020-10-12_20240430085841.pdf</v>
      </c>
      <c r="C745" s="1" t="n">
        <v>4</v>
      </c>
      <c r="D745" s="1" t="n">
        <v>1</v>
      </c>
      <c r="E745" s="1" t="n">
        <v>1</v>
      </c>
      <c r="F745" s="3" t="s">
        <v>20</v>
      </c>
      <c r="G745" s="3" t="s">
        <v>3112</v>
      </c>
      <c r="H745" s="1" t="s">
        <v>22</v>
      </c>
      <c r="I745" s="1" t="n">
        <v>20240430085841</v>
      </c>
      <c r="J745" s="3" t="s">
        <v>3113</v>
      </c>
      <c r="K745" s="3" t="s">
        <v>3114</v>
      </c>
      <c r="L745" s="3" t="s">
        <v>3115</v>
      </c>
      <c r="M745" s="3" t="n">
        <v>102625</v>
      </c>
      <c r="N745" s="3" t="s">
        <v>137</v>
      </c>
      <c r="O745" s="1" t="n">
        <v>86239</v>
      </c>
      <c r="P745" s="1" t="n">
        <v>84.03</v>
      </c>
      <c r="Q745" s="1" t="s">
        <v>20</v>
      </c>
      <c r="R745" s="1" t="s">
        <v>27</v>
      </c>
      <c r="S745" s="1" t="s">
        <v>28</v>
      </c>
      <c r="T745" s="1" t="s">
        <v>29</v>
      </c>
    </row>
    <row r="746" customFormat="false" ht="18.7" hidden="false" customHeight="true" outlineLevel="0" collapsed="false">
      <c r="A746" s="1" t="n">
        <v>745</v>
      </c>
      <c r="B746" s="6" t="str">
        <f aca="false">HYPERLINK("https://mncourtfraud.com/file/MCRO_27-CR-20-11638_Notice of Hearing_2020-11-17_20240430085840.pdf","MCRO_27-CR-20-11638_Notice of Hearing_2020-11-17_20240430085840.pdf")</f>
        <v>MCRO_27-CR-20-11638_Notice of Hearing_2020-11-17_20240430085840.pdf</v>
      </c>
      <c r="C746" s="1" t="n">
        <v>5</v>
      </c>
      <c r="D746" s="1" t="n">
        <v>1</v>
      </c>
      <c r="E746" s="1" t="n">
        <v>1</v>
      </c>
      <c r="F746" s="3" t="s">
        <v>20</v>
      </c>
      <c r="G746" s="3" t="s">
        <v>3116</v>
      </c>
      <c r="H746" s="1" t="s">
        <v>22</v>
      </c>
      <c r="I746" s="1" t="n">
        <v>20240430085840</v>
      </c>
      <c r="J746" s="3" t="s">
        <v>3117</v>
      </c>
      <c r="K746" s="3" t="s">
        <v>3118</v>
      </c>
      <c r="L746" s="3" t="s">
        <v>3119</v>
      </c>
      <c r="M746" s="3" t="n">
        <v>1378104</v>
      </c>
      <c r="N746" s="3" t="s">
        <v>3103</v>
      </c>
      <c r="O746" s="1" t="n">
        <v>1361718</v>
      </c>
      <c r="P746" s="1" t="n">
        <v>98.81</v>
      </c>
      <c r="Q746" s="1" t="s">
        <v>20</v>
      </c>
      <c r="R746" s="1" t="s">
        <v>27</v>
      </c>
      <c r="S746" s="1" t="s">
        <v>28</v>
      </c>
      <c r="T746" s="1" t="s">
        <v>29</v>
      </c>
    </row>
    <row r="747" customFormat="false" ht="18.7" hidden="false" customHeight="true" outlineLevel="0" collapsed="false">
      <c r="A747" s="1" t="n">
        <v>746</v>
      </c>
      <c r="B747" s="6" t="str">
        <f aca="false">HYPERLINK("https://mncourtfraud.com/file/MCRO_27-CR-20-11638_Notice of Hearing_2021-06-07_20240430085835.pdf","MCRO_27-CR-20-11638_Notice of Hearing_2021-06-07_20240430085835.pdf")</f>
        <v>MCRO_27-CR-20-11638_Notice of Hearing_2021-06-07_20240430085835.pdf</v>
      </c>
      <c r="C747" s="1" t="n">
        <v>5</v>
      </c>
      <c r="D747" s="1" t="n">
        <v>1</v>
      </c>
      <c r="E747" s="1" t="n">
        <v>1</v>
      </c>
      <c r="F747" s="3" t="s">
        <v>20</v>
      </c>
      <c r="G747" s="3" t="s">
        <v>3120</v>
      </c>
      <c r="H747" s="1" t="s">
        <v>22</v>
      </c>
      <c r="I747" s="1" t="n">
        <v>20240430085835</v>
      </c>
      <c r="J747" s="3" t="s">
        <v>3121</v>
      </c>
      <c r="K747" s="3" t="s">
        <v>3122</v>
      </c>
      <c r="L747" s="3" t="s">
        <v>3123</v>
      </c>
      <c r="M747" s="3" t="n">
        <v>1056147</v>
      </c>
      <c r="N747" s="3" t="s">
        <v>2861</v>
      </c>
      <c r="O747" s="1" t="n">
        <v>1039761</v>
      </c>
      <c r="P747" s="1" t="n">
        <v>98.45</v>
      </c>
      <c r="Q747" s="1" t="s">
        <v>20</v>
      </c>
      <c r="R747" s="1" t="s">
        <v>27</v>
      </c>
      <c r="S747" s="1" t="s">
        <v>28</v>
      </c>
      <c r="T747" s="1" t="s">
        <v>29</v>
      </c>
    </row>
    <row r="748" customFormat="false" ht="18.7" hidden="false" customHeight="true" outlineLevel="0" collapsed="false">
      <c r="A748" s="1" t="n">
        <v>747</v>
      </c>
      <c r="B748" s="6" t="str">
        <f aca="false">HYPERLINK("https://mncourtfraud.com/file/MCRO_27-CR-20-11638_Notice of Hearing_2022-06-08_20240430085827.pdf","MCRO_27-CR-20-11638_Notice of Hearing_2022-06-08_20240430085827.pdf")</f>
        <v>MCRO_27-CR-20-11638_Notice of Hearing_2022-06-08_20240430085827.pdf</v>
      </c>
      <c r="C748" s="1" t="n">
        <v>5</v>
      </c>
      <c r="D748" s="1" t="n">
        <v>1</v>
      </c>
      <c r="E748" s="1" t="n">
        <v>1</v>
      </c>
      <c r="F748" s="3" t="s">
        <v>20</v>
      </c>
      <c r="G748" s="3" t="s">
        <v>3124</v>
      </c>
      <c r="H748" s="1" t="s">
        <v>22</v>
      </c>
      <c r="I748" s="1" t="n">
        <v>20240430085827</v>
      </c>
      <c r="J748" s="3" t="s">
        <v>3125</v>
      </c>
      <c r="K748" s="3" t="s">
        <v>3126</v>
      </c>
      <c r="L748" s="3" t="s">
        <v>3127</v>
      </c>
      <c r="M748" s="3" t="n">
        <v>738479</v>
      </c>
      <c r="N748" s="3" t="s">
        <v>722</v>
      </c>
      <c r="O748" s="1" t="n">
        <v>722093</v>
      </c>
      <c r="P748" s="1" t="n">
        <v>97.78</v>
      </c>
      <c r="Q748" s="1" t="s">
        <v>20</v>
      </c>
      <c r="R748" s="1" t="s">
        <v>27</v>
      </c>
      <c r="S748" s="1" t="s">
        <v>28</v>
      </c>
      <c r="T748" s="1" t="s">
        <v>29</v>
      </c>
    </row>
    <row r="749" customFormat="false" ht="18.7" hidden="false" customHeight="true" outlineLevel="0" collapsed="false">
      <c r="A749" s="1" t="n">
        <v>748</v>
      </c>
      <c r="B749" s="6" t="str">
        <f aca="false">HYPERLINK("https://mncourtfraud.com/file/MCRO_27-CR-20-11638_Notice of Hearing_2022-09-26_20240430085826.pdf","MCRO_27-CR-20-11638_Notice of Hearing_2022-09-26_20240430085826.pdf")</f>
        <v>MCRO_27-CR-20-11638_Notice of Hearing_2022-09-26_20240430085826.pdf</v>
      </c>
      <c r="C749" s="1" t="n">
        <v>4</v>
      </c>
      <c r="D749" s="1" t="n">
        <v>1</v>
      </c>
      <c r="E749" s="1" t="n">
        <v>1</v>
      </c>
      <c r="F749" s="3" t="s">
        <v>20</v>
      </c>
      <c r="G749" s="3" t="s">
        <v>3128</v>
      </c>
      <c r="H749" s="1" t="s">
        <v>22</v>
      </c>
      <c r="I749" s="1" t="n">
        <v>20240430085826</v>
      </c>
      <c r="J749" s="3" t="s">
        <v>3129</v>
      </c>
      <c r="K749" s="3" t="s">
        <v>3130</v>
      </c>
      <c r="L749" s="3" t="s">
        <v>3131</v>
      </c>
      <c r="M749" s="3" t="n">
        <v>105111</v>
      </c>
      <c r="N749" s="3" t="s">
        <v>435</v>
      </c>
      <c r="O749" s="1" t="n">
        <v>88725</v>
      </c>
      <c r="P749" s="1" t="n">
        <v>84.41</v>
      </c>
      <c r="Q749" s="1" t="s">
        <v>20</v>
      </c>
      <c r="R749" s="1" t="s">
        <v>27</v>
      </c>
      <c r="S749" s="1" t="s">
        <v>28</v>
      </c>
      <c r="T749" s="1" t="s">
        <v>29</v>
      </c>
    </row>
    <row r="750" customFormat="false" ht="18.7" hidden="false" customHeight="true" outlineLevel="0" collapsed="false">
      <c r="A750" s="1" t="n">
        <v>749</v>
      </c>
      <c r="B750" s="6" t="str">
        <f aca="false">HYPERLINK("https://mncourtfraud.com/file/MCRO_27-CR-20-11638_Notice of Hearing_2023-01-23_20240430085825.pdf","MCRO_27-CR-20-11638_Notice of Hearing_2023-01-23_20240430085825.pdf")</f>
        <v>MCRO_27-CR-20-11638_Notice of Hearing_2023-01-23_20240430085825.pdf</v>
      </c>
      <c r="C750" s="1" t="n">
        <v>4</v>
      </c>
      <c r="D750" s="1" t="n">
        <v>1</v>
      </c>
      <c r="E750" s="1" t="n">
        <v>1</v>
      </c>
      <c r="F750" s="3" t="s">
        <v>20</v>
      </c>
      <c r="G750" s="3" t="s">
        <v>3132</v>
      </c>
      <c r="H750" s="1" t="s">
        <v>22</v>
      </c>
      <c r="I750" s="1" t="n">
        <v>20240430085825</v>
      </c>
      <c r="J750" s="3" t="s">
        <v>3133</v>
      </c>
      <c r="K750" s="3" t="s">
        <v>3134</v>
      </c>
      <c r="L750" s="3" t="s">
        <v>3135</v>
      </c>
      <c r="M750" s="3" t="n">
        <v>104658</v>
      </c>
      <c r="N750" s="3" t="s">
        <v>435</v>
      </c>
      <c r="O750" s="1" t="n">
        <v>88272</v>
      </c>
      <c r="P750" s="1" t="n">
        <v>84.34</v>
      </c>
      <c r="Q750" s="1" t="s">
        <v>20</v>
      </c>
      <c r="R750" s="1" t="s">
        <v>27</v>
      </c>
      <c r="S750" s="1" t="s">
        <v>28</v>
      </c>
      <c r="T750" s="1" t="s">
        <v>29</v>
      </c>
    </row>
    <row r="751" customFormat="false" ht="18.7" hidden="false" customHeight="true" outlineLevel="0" collapsed="false">
      <c r="A751" s="1" t="n">
        <v>750</v>
      </c>
      <c r="B751" s="6" t="str">
        <f aca="false">HYPERLINK("https://mncourtfraud.com/file/MCRO_27-CR-20-11638_Notice of Intent to Prosecute_2023-06-03_20240430085820.pdf","MCRO_27-CR-20-11638_Notice of Intent to Prosecute_2023-06-03_20240430085820.pdf")</f>
        <v>MCRO_27-CR-20-11638_Notice of Intent to Prosecute_2023-06-03_20240430085820.pdf</v>
      </c>
      <c r="C751" s="1" t="n">
        <v>3</v>
      </c>
      <c r="D751" s="1" t="n">
        <v>1</v>
      </c>
      <c r="E751" s="1" t="n">
        <v>1</v>
      </c>
      <c r="F751" s="3" t="s">
        <v>20</v>
      </c>
      <c r="G751" s="3" t="s">
        <v>3136</v>
      </c>
      <c r="H751" s="1" t="s">
        <v>22</v>
      </c>
      <c r="I751" s="1" t="n">
        <v>20240430085820</v>
      </c>
      <c r="J751" s="3" t="s">
        <v>3137</v>
      </c>
      <c r="K751" s="3" t="s">
        <v>3138</v>
      </c>
      <c r="L751" s="3" t="s">
        <v>3139</v>
      </c>
      <c r="M751" s="3" t="n">
        <v>192805</v>
      </c>
      <c r="N751" s="3" t="s">
        <v>913</v>
      </c>
      <c r="O751" s="1" t="n">
        <v>176419</v>
      </c>
      <c r="P751" s="1" t="n">
        <v>91.5</v>
      </c>
      <c r="Q751" s="1" t="s">
        <v>20</v>
      </c>
      <c r="R751" s="1" t="s">
        <v>27</v>
      </c>
      <c r="S751" s="1" t="s">
        <v>28</v>
      </c>
      <c r="T751" s="1" t="s">
        <v>29</v>
      </c>
    </row>
    <row r="752" customFormat="false" ht="18.7" hidden="false" customHeight="true" outlineLevel="0" collapsed="false">
      <c r="A752" s="1" t="n">
        <v>751</v>
      </c>
      <c r="B752" s="6" t="str">
        <f aca="false">HYPERLINK("https://mncourtfraud.com/file/MCRO_27-CR-20-11638_Notice of Remote Hearing with Instructions_2021-01-13_20240430085839.pdf","MCRO_27-CR-20-11638_Notice of Remote Hearing with Instructions_2021-01-13_20240430085839.pdf")</f>
        <v>MCRO_27-CR-20-11638_Notice of Remote Hearing with Instructions_2021-01-13_20240430085839.pdf</v>
      </c>
      <c r="C752" s="1" t="n">
        <v>5</v>
      </c>
      <c r="D752" s="1" t="n">
        <v>1</v>
      </c>
      <c r="E752" s="1" t="n">
        <v>1</v>
      </c>
      <c r="F752" s="3" t="s">
        <v>20</v>
      </c>
      <c r="G752" s="3" t="s">
        <v>3140</v>
      </c>
      <c r="H752" s="1" t="s">
        <v>22</v>
      </c>
      <c r="I752" s="1" t="n">
        <v>20240430085839</v>
      </c>
      <c r="J752" s="3" t="s">
        <v>3141</v>
      </c>
      <c r="K752" s="3" t="s">
        <v>3142</v>
      </c>
      <c r="L752" s="3" t="s">
        <v>3143</v>
      </c>
      <c r="M752" s="3" t="n">
        <v>836770</v>
      </c>
      <c r="N752" s="3" t="s">
        <v>1248</v>
      </c>
      <c r="O752" s="1" t="n">
        <v>820384</v>
      </c>
      <c r="P752" s="1" t="n">
        <v>98.04</v>
      </c>
      <c r="Q752" s="1" t="s">
        <v>20</v>
      </c>
      <c r="R752" s="1" t="s">
        <v>27</v>
      </c>
      <c r="S752" s="1" t="s">
        <v>28</v>
      </c>
      <c r="T752" s="1" t="s">
        <v>29</v>
      </c>
    </row>
    <row r="753" customFormat="false" ht="18.7" hidden="false" customHeight="true" outlineLevel="0" collapsed="false">
      <c r="A753" s="1" t="n">
        <v>752</v>
      </c>
      <c r="B753" s="6" t="str">
        <f aca="false">HYPERLINK("https://mncourtfraud.com/file/MCRO_27-CR-20-11638_Notice of Remote Hearing with Instructions_2021-02-08_20240430085838.pdf","MCRO_27-CR-20-11638_Notice of Remote Hearing with Instructions_2021-02-08_20240430085838.pdf")</f>
        <v>MCRO_27-CR-20-11638_Notice of Remote Hearing with Instructions_2021-02-08_20240430085838.pdf</v>
      </c>
      <c r="C753" s="1" t="n">
        <v>4</v>
      </c>
      <c r="D753" s="1" t="n">
        <v>1</v>
      </c>
      <c r="E753" s="1" t="n">
        <v>1</v>
      </c>
      <c r="F753" s="3" t="s">
        <v>20</v>
      </c>
      <c r="G753" s="3" t="s">
        <v>3144</v>
      </c>
      <c r="H753" s="1" t="s">
        <v>22</v>
      </c>
      <c r="I753" s="1" t="n">
        <v>20240430085838</v>
      </c>
      <c r="J753" s="3" t="s">
        <v>3145</v>
      </c>
      <c r="K753" s="3" t="s">
        <v>3146</v>
      </c>
      <c r="L753" s="3" t="s">
        <v>3147</v>
      </c>
      <c r="M753" s="3" t="n">
        <v>158503</v>
      </c>
      <c r="N753" s="3" t="s">
        <v>1065</v>
      </c>
      <c r="O753" s="1" t="n">
        <v>142117</v>
      </c>
      <c r="P753" s="1" t="n">
        <v>89.66</v>
      </c>
      <c r="Q753" s="1" t="s">
        <v>20</v>
      </c>
      <c r="R753" s="1" t="s">
        <v>27</v>
      </c>
      <c r="S753" s="1" t="s">
        <v>28</v>
      </c>
      <c r="T753" s="1" t="s">
        <v>29</v>
      </c>
    </row>
    <row r="754" customFormat="false" ht="18.7" hidden="false" customHeight="true" outlineLevel="0" collapsed="false">
      <c r="A754" s="1" t="n">
        <v>753</v>
      </c>
      <c r="B754" s="6" t="str">
        <f aca="false">HYPERLINK("https://mncourtfraud.com/file/MCRO_27-CR-20-11638_Notice of Remote Hearing with Instructions_2021-03-09_20240430085837.pdf","MCRO_27-CR-20-11638_Notice of Remote Hearing with Instructions_2021-03-09_20240430085837.pdf")</f>
        <v>MCRO_27-CR-20-11638_Notice of Remote Hearing with Instructions_2021-03-09_20240430085837.pdf</v>
      </c>
      <c r="C754" s="1" t="n">
        <v>5</v>
      </c>
      <c r="D754" s="1" t="n">
        <v>1</v>
      </c>
      <c r="E754" s="1" t="n">
        <v>1</v>
      </c>
      <c r="F754" s="3" t="s">
        <v>20</v>
      </c>
      <c r="G754" s="3" t="s">
        <v>3148</v>
      </c>
      <c r="H754" s="1" t="s">
        <v>22</v>
      </c>
      <c r="I754" s="1" t="n">
        <v>20240430085837</v>
      </c>
      <c r="J754" s="3" t="s">
        <v>3149</v>
      </c>
      <c r="K754" s="3" t="s">
        <v>3150</v>
      </c>
      <c r="L754" s="3" t="s">
        <v>3151</v>
      </c>
      <c r="M754" s="3" t="n">
        <v>1256139</v>
      </c>
      <c r="N754" s="3" t="s">
        <v>3047</v>
      </c>
      <c r="O754" s="1" t="n">
        <v>1239753</v>
      </c>
      <c r="P754" s="1" t="n">
        <v>98.7</v>
      </c>
      <c r="Q754" s="1" t="s">
        <v>20</v>
      </c>
      <c r="R754" s="1" t="s">
        <v>27</v>
      </c>
      <c r="S754" s="1" t="s">
        <v>28</v>
      </c>
      <c r="T754" s="1" t="s">
        <v>29</v>
      </c>
    </row>
    <row r="755" customFormat="false" ht="18.7" hidden="false" customHeight="true" outlineLevel="0" collapsed="false">
      <c r="A755" s="1" t="n">
        <v>754</v>
      </c>
      <c r="B755" s="6" t="str">
        <f aca="false">HYPERLINK("https://mncourtfraud.com/file/MCRO_27-CR-20-11638_Notice of Remote Hearing with Instructions_2021-04-05_20240430085836.pdf","MCRO_27-CR-20-11638_Notice of Remote Hearing with Instructions_2021-04-05_20240430085836.pdf")</f>
        <v>MCRO_27-CR-20-11638_Notice of Remote Hearing with Instructions_2021-04-05_20240430085836.pdf</v>
      </c>
      <c r="C755" s="1" t="n">
        <v>5</v>
      </c>
      <c r="D755" s="1" t="n">
        <v>1</v>
      </c>
      <c r="E755" s="1" t="n">
        <v>1</v>
      </c>
      <c r="F755" s="3" t="s">
        <v>20</v>
      </c>
      <c r="G755" s="3" t="s">
        <v>3152</v>
      </c>
      <c r="H755" s="1" t="s">
        <v>22</v>
      </c>
      <c r="I755" s="1" t="n">
        <v>20240430085836</v>
      </c>
      <c r="J755" s="3" t="s">
        <v>3153</v>
      </c>
      <c r="K755" s="3" t="s">
        <v>3154</v>
      </c>
      <c r="L755" s="3" t="s">
        <v>3155</v>
      </c>
      <c r="M755" s="3" t="n">
        <v>1261488</v>
      </c>
      <c r="N755" s="3" t="s">
        <v>1257</v>
      </c>
      <c r="O755" s="1" t="n">
        <v>1245102</v>
      </c>
      <c r="P755" s="1" t="n">
        <v>98.7</v>
      </c>
      <c r="Q755" s="1" t="s">
        <v>20</v>
      </c>
      <c r="R755" s="1" t="s">
        <v>27</v>
      </c>
      <c r="S755" s="1" t="s">
        <v>28</v>
      </c>
      <c r="T755" s="1" t="s">
        <v>29</v>
      </c>
    </row>
    <row r="756" customFormat="false" ht="18.7" hidden="false" customHeight="true" outlineLevel="0" collapsed="false">
      <c r="A756" s="1" t="n">
        <v>755</v>
      </c>
      <c r="B756" s="6" t="str">
        <f aca="false">HYPERLINK("https://mncourtfraud.com/file/MCRO_27-CR-20-11638_Notice of Remote Hearing with Instructions_2021-09-20_20240430085834.pdf","MCRO_27-CR-20-11638_Notice of Remote Hearing with Instructions_2021-09-20_20240430085834.pdf")</f>
        <v>MCRO_27-CR-20-11638_Notice of Remote Hearing with Instructions_2021-09-20_20240430085834.pdf</v>
      </c>
      <c r="C756" s="1" t="n">
        <v>4</v>
      </c>
      <c r="D756" s="1" t="n">
        <v>1</v>
      </c>
      <c r="E756" s="1" t="n">
        <v>1</v>
      </c>
      <c r="F756" s="3" t="s">
        <v>20</v>
      </c>
      <c r="G756" s="3" t="s">
        <v>3156</v>
      </c>
      <c r="H756" s="1" t="s">
        <v>22</v>
      </c>
      <c r="I756" s="1" t="n">
        <v>20240430085834</v>
      </c>
      <c r="J756" s="3" t="s">
        <v>3157</v>
      </c>
      <c r="K756" s="3" t="s">
        <v>3158</v>
      </c>
      <c r="L756" s="3" t="s">
        <v>3159</v>
      </c>
      <c r="M756" s="3" t="n">
        <v>838329</v>
      </c>
      <c r="N756" s="3" t="s">
        <v>1065</v>
      </c>
      <c r="O756" s="1" t="n">
        <v>821943</v>
      </c>
      <c r="P756" s="1" t="n">
        <v>98.05</v>
      </c>
      <c r="Q756" s="1" t="s">
        <v>20</v>
      </c>
      <c r="R756" s="1" t="s">
        <v>27</v>
      </c>
      <c r="S756" s="1" t="s">
        <v>28</v>
      </c>
      <c r="T756" s="1" t="s">
        <v>29</v>
      </c>
    </row>
    <row r="757" customFormat="false" ht="18.7" hidden="false" customHeight="true" outlineLevel="0" collapsed="false">
      <c r="A757" s="1" t="n">
        <v>756</v>
      </c>
      <c r="B757" s="6" t="str">
        <f aca="false">HYPERLINK("https://mncourtfraud.com/file/MCRO_27-CR-20-11638_Notice of Remote Hearing with Instructions_2021-10-13_20240430085833.pdf","MCRO_27-CR-20-11638_Notice of Remote Hearing with Instructions_2021-10-13_20240430085833.pdf")</f>
        <v>MCRO_27-CR-20-11638_Notice of Remote Hearing with Instructions_2021-10-13_20240430085833.pdf</v>
      </c>
      <c r="C757" s="1" t="n">
        <v>5</v>
      </c>
      <c r="D757" s="1" t="n">
        <v>1</v>
      </c>
      <c r="E757" s="1" t="n">
        <v>1</v>
      </c>
      <c r="F757" s="3" t="s">
        <v>20</v>
      </c>
      <c r="G757" s="3" t="s">
        <v>3160</v>
      </c>
      <c r="H757" s="1" t="s">
        <v>22</v>
      </c>
      <c r="I757" s="1" t="n">
        <v>20240430085833</v>
      </c>
      <c r="J757" s="3" t="s">
        <v>3161</v>
      </c>
      <c r="K757" s="3" t="s">
        <v>3162</v>
      </c>
      <c r="L757" s="3" t="s">
        <v>3163</v>
      </c>
      <c r="M757" s="3" t="n">
        <v>855466</v>
      </c>
      <c r="N757" s="3" t="s">
        <v>3164</v>
      </c>
      <c r="O757" s="1" t="n">
        <v>839080</v>
      </c>
      <c r="P757" s="1" t="n">
        <v>98.08</v>
      </c>
      <c r="Q757" s="1" t="s">
        <v>20</v>
      </c>
      <c r="R757" s="1" t="s">
        <v>27</v>
      </c>
      <c r="S757" s="1" t="s">
        <v>28</v>
      </c>
      <c r="T757" s="1" t="s">
        <v>29</v>
      </c>
    </row>
    <row r="758" customFormat="false" ht="18.7" hidden="false" customHeight="true" outlineLevel="0" collapsed="false">
      <c r="A758" s="1" t="n">
        <v>757</v>
      </c>
      <c r="B758" s="6" t="str">
        <f aca="false">HYPERLINK("https://mncourtfraud.com/file/MCRO_27-CR-20-11638_Notice of Remote Hearing with Instructions_2021-11-19_20240430085831.pdf","MCRO_27-CR-20-11638_Notice of Remote Hearing with Instructions_2021-11-19_20240430085831.pdf")</f>
        <v>MCRO_27-CR-20-11638_Notice of Remote Hearing with Instructions_2021-11-19_20240430085831.pdf</v>
      </c>
      <c r="C758" s="1" t="n">
        <v>4</v>
      </c>
      <c r="D758" s="1" t="n">
        <v>1</v>
      </c>
      <c r="E758" s="1" t="n">
        <v>1</v>
      </c>
      <c r="F758" s="3" t="s">
        <v>20</v>
      </c>
      <c r="G758" s="3" t="s">
        <v>3165</v>
      </c>
      <c r="H758" s="1" t="s">
        <v>22</v>
      </c>
      <c r="I758" s="1" t="n">
        <v>20240430085831</v>
      </c>
      <c r="J758" s="3" t="s">
        <v>3166</v>
      </c>
      <c r="K758" s="3" t="s">
        <v>3167</v>
      </c>
      <c r="L758" s="3" t="s">
        <v>3168</v>
      </c>
      <c r="M758" s="3" t="n">
        <v>287674</v>
      </c>
      <c r="N758" s="3" t="s">
        <v>3169</v>
      </c>
      <c r="O758" s="1" t="n">
        <v>271288</v>
      </c>
      <c r="P758" s="1" t="n">
        <v>94.3</v>
      </c>
      <c r="Q758" s="1" t="s">
        <v>20</v>
      </c>
      <c r="R758" s="1" t="s">
        <v>27</v>
      </c>
      <c r="S758" s="1" t="s">
        <v>28</v>
      </c>
      <c r="T758" s="1" t="s">
        <v>29</v>
      </c>
    </row>
    <row r="759" customFormat="false" ht="18.7" hidden="false" customHeight="true" outlineLevel="0" collapsed="false">
      <c r="A759" s="1" t="n">
        <v>758</v>
      </c>
      <c r="B759" s="6" t="str">
        <f aca="false">HYPERLINK("https://mncourtfraud.com/file/MCRO_27-CR-20-11638_Notice of Remote Hearing with Instructions_2021-12-06_20240430085830.pdf","MCRO_27-CR-20-11638_Notice of Remote Hearing with Instructions_2021-12-06_20240430085830.pdf")</f>
        <v>MCRO_27-CR-20-11638_Notice of Remote Hearing with Instructions_2021-12-06_20240430085830.pdf</v>
      </c>
      <c r="C759" s="1" t="n">
        <v>5</v>
      </c>
      <c r="D759" s="1" t="n">
        <v>1</v>
      </c>
      <c r="E759" s="1" t="n">
        <v>1</v>
      </c>
      <c r="F759" s="3" t="s">
        <v>20</v>
      </c>
      <c r="G759" s="3" t="s">
        <v>3170</v>
      </c>
      <c r="H759" s="1" t="s">
        <v>22</v>
      </c>
      <c r="I759" s="1" t="n">
        <v>20240430085830</v>
      </c>
      <c r="J759" s="3" t="s">
        <v>3171</v>
      </c>
      <c r="K759" s="3" t="s">
        <v>3172</v>
      </c>
      <c r="L759" s="3" t="s">
        <v>3173</v>
      </c>
      <c r="M759" s="3" t="n">
        <v>860406</v>
      </c>
      <c r="N759" s="3" t="s">
        <v>2852</v>
      </c>
      <c r="O759" s="1" t="n">
        <v>844020</v>
      </c>
      <c r="P759" s="1" t="n">
        <v>98.1</v>
      </c>
      <c r="Q759" s="1" t="s">
        <v>20</v>
      </c>
      <c r="R759" s="1" t="s">
        <v>27</v>
      </c>
      <c r="S759" s="1" t="s">
        <v>28</v>
      </c>
      <c r="T759" s="1" t="s">
        <v>29</v>
      </c>
    </row>
    <row r="760" customFormat="false" ht="18.7" hidden="false" customHeight="true" outlineLevel="0" collapsed="false">
      <c r="A760" s="1" t="n">
        <v>759</v>
      </c>
      <c r="B760" s="6" t="str">
        <f aca="false">HYPERLINK("https://mncourtfraud.com/file/MCRO_27-CR-20-11638_Notice of Remote Hearing with Instructions_2022-04-21_20240430085828.pdf","MCRO_27-CR-20-11638_Notice of Remote Hearing with Instructions_2022-04-21_20240430085828.pdf")</f>
        <v>MCRO_27-CR-20-11638_Notice of Remote Hearing with Instructions_2022-04-21_20240430085828.pdf</v>
      </c>
      <c r="C760" s="1" t="n">
        <v>5</v>
      </c>
      <c r="D760" s="1" t="n">
        <v>1</v>
      </c>
      <c r="E760" s="1" t="n">
        <v>1</v>
      </c>
      <c r="F760" s="3" t="s">
        <v>20</v>
      </c>
      <c r="G760" s="3" t="s">
        <v>3174</v>
      </c>
      <c r="H760" s="1" t="s">
        <v>22</v>
      </c>
      <c r="I760" s="1" t="n">
        <v>20240430085828</v>
      </c>
      <c r="J760" s="3" t="s">
        <v>3175</v>
      </c>
      <c r="K760" s="3" t="s">
        <v>3176</v>
      </c>
      <c r="L760" s="3" t="s">
        <v>3177</v>
      </c>
      <c r="M760" s="3" t="n">
        <v>777407</v>
      </c>
      <c r="N760" s="3" t="s">
        <v>1205</v>
      </c>
      <c r="O760" s="1" t="n">
        <v>761021</v>
      </c>
      <c r="P760" s="1" t="n">
        <v>97.89</v>
      </c>
      <c r="Q760" s="1" t="s">
        <v>20</v>
      </c>
      <c r="R760" s="1" t="s">
        <v>27</v>
      </c>
      <c r="S760" s="1" t="s">
        <v>28</v>
      </c>
      <c r="T760" s="1" t="s">
        <v>29</v>
      </c>
    </row>
    <row r="761" customFormat="false" ht="18.7" hidden="false" customHeight="true" outlineLevel="0" collapsed="false">
      <c r="A761" s="1" t="n">
        <v>760</v>
      </c>
      <c r="B761" s="6" t="str">
        <f aca="false">HYPERLINK("https://mncourtfraud.com/file/MCRO_27-CR-20-11638_Notice of Remote Hearing with Instructions_2023-01-23_20240430085824.pdf","MCRO_27-CR-20-11638_Notice of Remote Hearing with Instructions_2023-01-23_20240430085824.pdf")</f>
        <v>MCRO_27-CR-20-11638_Notice of Remote Hearing with Instructions_2023-01-23_20240430085824.pdf</v>
      </c>
      <c r="C761" s="1" t="n">
        <v>4</v>
      </c>
      <c r="D761" s="1" t="n">
        <v>1</v>
      </c>
      <c r="E761" s="1" t="n">
        <v>1</v>
      </c>
      <c r="F761" s="3" t="s">
        <v>20</v>
      </c>
      <c r="G761" s="3" t="s">
        <v>3178</v>
      </c>
      <c r="H761" s="1" t="s">
        <v>22</v>
      </c>
      <c r="I761" s="1" t="n">
        <v>20240430085824</v>
      </c>
      <c r="J761" s="3" t="s">
        <v>3179</v>
      </c>
      <c r="K761" s="3" t="s">
        <v>3180</v>
      </c>
      <c r="L761" s="3" t="s">
        <v>3181</v>
      </c>
      <c r="M761" s="3" t="n">
        <v>138907</v>
      </c>
      <c r="N761" s="3" t="s">
        <v>1159</v>
      </c>
      <c r="O761" s="1" t="n">
        <v>122521</v>
      </c>
      <c r="P761" s="1" t="n">
        <v>88.2</v>
      </c>
      <c r="Q761" s="1" t="s">
        <v>20</v>
      </c>
      <c r="R761" s="1" t="s">
        <v>27</v>
      </c>
      <c r="S761" s="1" t="s">
        <v>28</v>
      </c>
      <c r="T761" s="1" t="s">
        <v>29</v>
      </c>
    </row>
    <row r="762" customFormat="false" ht="18.7" hidden="false" customHeight="true" outlineLevel="0" collapsed="false">
      <c r="A762" s="1" t="n">
        <v>761</v>
      </c>
      <c r="B762" s="6" t="str">
        <f aca="false">HYPERLINK("https://mncourtfraud.com/file/MCRO_27-CR-20-11638_Notice of Remote Hearing with Instructions_2023-05-10_20240430085822.pdf","MCRO_27-CR-20-11638_Notice of Remote Hearing with Instructions_2023-05-10_20240430085822.pdf")</f>
        <v>MCRO_27-CR-20-11638_Notice of Remote Hearing with Instructions_2023-05-10_20240430085822.pdf</v>
      </c>
      <c r="C762" s="1" t="n">
        <v>5</v>
      </c>
      <c r="D762" s="1" t="n">
        <v>1</v>
      </c>
      <c r="E762" s="1" t="n">
        <v>1</v>
      </c>
      <c r="F762" s="3" t="s">
        <v>20</v>
      </c>
      <c r="G762" s="3" t="s">
        <v>3182</v>
      </c>
      <c r="H762" s="1" t="s">
        <v>22</v>
      </c>
      <c r="I762" s="1" t="n">
        <v>20240430085822</v>
      </c>
      <c r="J762" s="3" t="s">
        <v>3183</v>
      </c>
      <c r="K762" s="3" t="s">
        <v>3184</v>
      </c>
      <c r="L762" s="3" t="s">
        <v>3185</v>
      </c>
      <c r="M762" s="3" t="n">
        <v>848277</v>
      </c>
      <c r="N762" s="3" t="s">
        <v>2852</v>
      </c>
      <c r="O762" s="1" t="n">
        <v>831891</v>
      </c>
      <c r="P762" s="1" t="n">
        <v>98.07</v>
      </c>
      <c r="Q762" s="1" t="s">
        <v>20</v>
      </c>
      <c r="R762" s="1" t="s">
        <v>27</v>
      </c>
      <c r="S762" s="1" t="s">
        <v>28</v>
      </c>
      <c r="T762" s="1" t="s">
        <v>29</v>
      </c>
    </row>
    <row r="763" customFormat="false" ht="18.7" hidden="false" customHeight="true" outlineLevel="0" collapsed="false">
      <c r="A763" s="1" t="n">
        <v>762</v>
      </c>
      <c r="B763" s="6" t="str">
        <f aca="false">HYPERLINK("https://mncourtfraud.com/file/MCRO_27-CR-20-11638_Notice of Remote Hearing with Instructions_2023-11-28_20240430085817.pdf","MCRO_27-CR-20-11638_Notice of Remote Hearing with Instructions_2023-11-28_20240430085817.pdf")</f>
        <v>MCRO_27-CR-20-11638_Notice of Remote Hearing with Instructions_2023-11-28_20240430085817.pdf</v>
      </c>
      <c r="C763" s="1" t="n">
        <v>5</v>
      </c>
      <c r="D763" s="1" t="n">
        <v>1</v>
      </c>
      <c r="E763" s="1" t="n">
        <v>1</v>
      </c>
      <c r="F763" s="3" t="s">
        <v>20</v>
      </c>
      <c r="G763" s="3" t="s">
        <v>3186</v>
      </c>
      <c r="H763" s="1" t="s">
        <v>22</v>
      </c>
      <c r="I763" s="1" t="n">
        <v>20240430085817</v>
      </c>
      <c r="J763" s="3" t="s">
        <v>3187</v>
      </c>
      <c r="K763" s="3" t="s">
        <v>3188</v>
      </c>
      <c r="L763" s="3" t="s">
        <v>3189</v>
      </c>
      <c r="M763" s="3" t="n">
        <v>844308</v>
      </c>
      <c r="N763" s="3" t="s">
        <v>3164</v>
      </c>
      <c r="O763" s="1" t="n">
        <v>827922</v>
      </c>
      <c r="P763" s="1" t="n">
        <v>98.06</v>
      </c>
      <c r="Q763" s="1" t="s">
        <v>20</v>
      </c>
      <c r="R763" s="1" t="s">
        <v>27</v>
      </c>
      <c r="S763" s="1" t="s">
        <v>28</v>
      </c>
      <c r="T763" s="1" t="s">
        <v>29</v>
      </c>
    </row>
    <row r="764" customFormat="false" ht="18.7" hidden="false" customHeight="true" outlineLevel="0" collapsed="false">
      <c r="A764" s="1" t="n">
        <v>763</v>
      </c>
      <c r="B764" s="6" t="str">
        <f aca="false">HYPERLINK("https://mncourtfraud.com/file/MCRO_27-CR-20-11638_Order-Evaluation for Competency to Proceed (Rule 20.01)_2023-01-23_20240430085823.pdf","MCRO_27-CR-20-11638_Order-Evaluation for Competency to Proceed (Rule 20.01)_2023-01-23_20240430085823.pdf")</f>
        <v>MCRO_27-CR-20-11638_Order-Evaluation for Competency to Proceed (Rule 20.01)_2023-01-23_20240430085823.pdf</v>
      </c>
      <c r="C764" s="1" t="n">
        <v>4</v>
      </c>
      <c r="D764" s="1" t="n">
        <v>1</v>
      </c>
      <c r="E764" s="1" t="n">
        <v>1</v>
      </c>
      <c r="F764" s="3" t="s">
        <v>20</v>
      </c>
      <c r="G764" s="3" t="s">
        <v>3190</v>
      </c>
      <c r="H764" s="1" t="s">
        <v>22</v>
      </c>
      <c r="I764" s="1" t="n">
        <v>20240430085823</v>
      </c>
      <c r="J764" s="3" t="s">
        <v>3191</v>
      </c>
      <c r="K764" s="3" t="s">
        <v>3192</v>
      </c>
      <c r="L764" s="3" t="s">
        <v>3193</v>
      </c>
      <c r="M764" s="3" t="n">
        <v>146182</v>
      </c>
      <c r="N764" s="3" t="s">
        <v>1159</v>
      </c>
      <c r="O764" s="1" t="n">
        <v>129796</v>
      </c>
      <c r="P764" s="1" t="n">
        <v>88.79</v>
      </c>
      <c r="Q764" s="1" t="s">
        <v>20</v>
      </c>
      <c r="R764" s="1" t="s">
        <v>27</v>
      </c>
      <c r="S764" s="1" t="s">
        <v>28</v>
      </c>
      <c r="T764" s="1" t="s">
        <v>29</v>
      </c>
    </row>
    <row r="765" customFormat="false" ht="18.7" hidden="false" customHeight="true" outlineLevel="0" collapsed="false">
      <c r="A765" s="1" t="n">
        <v>764</v>
      </c>
      <c r="B765" s="6" t="str">
        <f aca="false">HYPERLINK("https://mncourtfraud.com/file/MCRO_27-CR-20-11638_Order-Evaluation for Competency to Proceed (Rule 20.01)_2023-09-12_20240430085819.pdf","MCRO_27-CR-20-11638_Order-Evaluation for Competency to Proceed (Rule 20.01)_2023-09-12_20240430085819.pdf")</f>
        <v>MCRO_27-CR-20-11638_Order-Evaluation for Competency to Proceed (Rule 20.01)_2023-09-12_20240430085819.pdf</v>
      </c>
      <c r="C765" s="1" t="n">
        <v>4</v>
      </c>
      <c r="D765" s="1" t="n">
        <v>1</v>
      </c>
      <c r="E765" s="1" t="n">
        <v>1</v>
      </c>
      <c r="F765" s="3" t="s">
        <v>20</v>
      </c>
      <c r="G765" s="3" t="s">
        <v>3194</v>
      </c>
      <c r="H765" s="1" t="s">
        <v>22</v>
      </c>
      <c r="I765" s="1" t="n">
        <v>20240430085819</v>
      </c>
      <c r="J765" s="3" t="s">
        <v>3195</v>
      </c>
      <c r="K765" s="3" t="s">
        <v>3196</v>
      </c>
      <c r="L765" s="3" t="s">
        <v>3197</v>
      </c>
      <c r="M765" s="3" t="n">
        <v>214235</v>
      </c>
      <c r="N765" s="3" t="s">
        <v>3198</v>
      </c>
      <c r="O765" s="1" t="n">
        <v>197849</v>
      </c>
      <c r="P765" s="1" t="n">
        <v>92.35</v>
      </c>
      <c r="Q765" s="1" t="s">
        <v>20</v>
      </c>
      <c r="R765" s="1" t="s">
        <v>27</v>
      </c>
      <c r="S765" s="1" t="s">
        <v>28</v>
      </c>
      <c r="T765" s="1" t="s">
        <v>29</v>
      </c>
    </row>
    <row r="766" customFormat="false" ht="18.7" hidden="false" customHeight="true" outlineLevel="0" collapsed="false">
      <c r="A766" s="1" t="n">
        <v>765</v>
      </c>
      <c r="B766" s="6" t="str">
        <f aca="false">HYPERLINK("https://mncourtfraud.com/file/MCRO_27-CR-20-11638_Order-Evaluation for Competency to Proceed (Rule 20.01)_2024-04-01_20240430085815.pdf","MCRO_27-CR-20-11638_Order-Evaluation for Competency to Proceed (Rule 20.01)_2024-04-01_20240430085815.pdf")</f>
        <v>MCRO_27-CR-20-11638_Order-Evaluation for Competency to Proceed (Rule 20.01)_2024-04-01_20240430085815.pdf</v>
      </c>
      <c r="C766" s="1" t="n">
        <v>4</v>
      </c>
      <c r="D766" s="1" t="n">
        <v>1</v>
      </c>
      <c r="E766" s="1" t="n">
        <v>1</v>
      </c>
      <c r="F766" s="3" t="s">
        <v>20</v>
      </c>
      <c r="G766" s="3" t="s">
        <v>3199</v>
      </c>
      <c r="H766" s="1" t="s">
        <v>22</v>
      </c>
      <c r="I766" s="1" t="n">
        <v>20240430085815</v>
      </c>
      <c r="J766" s="3" t="s">
        <v>3200</v>
      </c>
      <c r="K766" s="3" t="s">
        <v>3201</v>
      </c>
      <c r="L766" s="3" t="s">
        <v>3202</v>
      </c>
      <c r="M766" s="3" t="n">
        <v>227327</v>
      </c>
      <c r="N766" s="3" t="s">
        <v>1659</v>
      </c>
      <c r="O766" s="1" t="n">
        <v>210941</v>
      </c>
      <c r="P766" s="1" t="n">
        <v>92.79</v>
      </c>
      <c r="Q766" s="1" t="s">
        <v>20</v>
      </c>
      <c r="R766" s="1" t="s">
        <v>27</v>
      </c>
      <c r="S766" s="1" t="s">
        <v>28</v>
      </c>
      <c r="T766" s="1" t="s">
        <v>29</v>
      </c>
    </row>
    <row r="767" customFormat="false" ht="18.7" hidden="false" customHeight="true" outlineLevel="0" collapsed="false">
      <c r="A767" s="1" t="n">
        <v>766</v>
      </c>
      <c r="B767" s="6" t="str">
        <f aca="false">HYPERLINK("https://mncourtfraud.com/file/MCRO_27-CR-20-11638_Order for Conditional Release_2021-11-19_20240430085830.pdf","MCRO_27-CR-20-11638_Order for Conditional Release_2021-11-19_20240430085830.pdf")</f>
        <v>MCRO_27-CR-20-11638_Order for Conditional Release_2021-11-19_20240430085830.pdf</v>
      </c>
      <c r="C767" s="1" t="n">
        <v>4</v>
      </c>
      <c r="D767" s="1" t="n">
        <v>1</v>
      </c>
      <c r="E767" s="1" t="n">
        <v>1</v>
      </c>
      <c r="F767" s="3" t="s">
        <v>20</v>
      </c>
      <c r="G767" s="3" t="s">
        <v>3203</v>
      </c>
      <c r="H767" s="1" t="s">
        <v>22</v>
      </c>
      <c r="I767" s="1" t="n">
        <v>20240430085830</v>
      </c>
      <c r="J767" s="3" t="s">
        <v>3204</v>
      </c>
      <c r="K767" s="3" t="s">
        <v>3205</v>
      </c>
      <c r="L767" s="3" t="s">
        <v>3206</v>
      </c>
      <c r="M767" s="3" t="n">
        <v>132934</v>
      </c>
      <c r="N767" s="3" t="s">
        <v>456</v>
      </c>
      <c r="O767" s="1" t="n">
        <v>116548</v>
      </c>
      <c r="P767" s="1" t="n">
        <v>87.67</v>
      </c>
      <c r="Q767" s="1" t="s">
        <v>20</v>
      </c>
      <c r="R767" s="1" t="s">
        <v>27</v>
      </c>
      <c r="S767" s="1" t="s">
        <v>28</v>
      </c>
      <c r="T767" s="1" t="s">
        <v>29</v>
      </c>
    </row>
    <row r="768" customFormat="false" ht="18.7" hidden="false" customHeight="true" outlineLevel="0" collapsed="false">
      <c r="A768" s="1" t="n">
        <v>767</v>
      </c>
      <c r="B768" s="6" t="str">
        <f aca="false">HYPERLINK("https://mncourtfraud.com/file/MCRO_27-CR-20-11638_Pandemic Notice of Cancelled or Rescheduled Hearing_2020-08-12_20240430085842.pdf","MCRO_27-CR-20-11638_Pandemic Notice of Cancelled or Rescheduled Hearing_2020-08-12_20240430085842.pdf")</f>
        <v>MCRO_27-CR-20-11638_Pandemic Notice of Cancelled or Rescheduled Hearing_2020-08-12_20240430085842.pdf</v>
      </c>
      <c r="C768" s="1" t="n">
        <v>4</v>
      </c>
      <c r="D768" s="1" t="n">
        <v>1</v>
      </c>
      <c r="E768" s="1" t="n">
        <v>1</v>
      </c>
      <c r="F768" s="3" t="s">
        <v>20</v>
      </c>
      <c r="G768" s="3" t="s">
        <v>3207</v>
      </c>
      <c r="H768" s="1" t="s">
        <v>22</v>
      </c>
      <c r="I768" s="1" t="n">
        <v>20240430085842</v>
      </c>
      <c r="J768" s="3" t="s">
        <v>3208</v>
      </c>
      <c r="K768" s="3" t="s">
        <v>3209</v>
      </c>
      <c r="L768" s="3" t="s">
        <v>3210</v>
      </c>
      <c r="M768" s="3" t="n">
        <v>97978</v>
      </c>
      <c r="N768" s="3" t="s">
        <v>137</v>
      </c>
      <c r="O768" s="1" t="n">
        <v>81592</v>
      </c>
      <c r="P768" s="1" t="n">
        <v>83.28</v>
      </c>
      <c r="Q768" s="1" t="s">
        <v>20</v>
      </c>
      <c r="R768" s="1" t="s">
        <v>27</v>
      </c>
      <c r="S768" s="1" t="s">
        <v>28</v>
      </c>
      <c r="T768" s="1" t="s">
        <v>29</v>
      </c>
    </row>
    <row r="769" customFormat="false" ht="18.7" hidden="false" customHeight="true" outlineLevel="0" collapsed="false">
      <c r="A769" s="1" t="n">
        <v>768</v>
      </c>
      <c r="B769" s="6" t="str">
        <f aca="false">HYPERLINK("https://mncourtfraud.com/file/MCRO_27-CR-20-11638_Summons_2020-05-14_20240430085845.pdf","MCRO_27-CR-20-11638_Summons_2020-05-14_20240430085845.pdf")</f>
        <v>MCRO_27-CR-20-11638_Summons_2020-05-14_20240430085845.pdf</v>
      </c>
      <c r="C769" s="1" t="n">
        <v>4</v>
      </c>
      <c r="D769" s="1" t="n">
        <v>1</v>
      </c>
      <c r="E769" s="1" t="n">
        <v>1</v>
      </c>
      <c r="F769" s="3" t="s">
        <v>20</v>
      </c>
      <c r="G769" s="3" t="s">
        <v>3211</v>
      </c>
      <c r="H769" s="1" t="s">
        <v>22</v>
      </c>
      <c r="I769" s="1" t="n">
        <v>20240430085845</v>
      </c>
      <c r="J769" s="3" t="s">
        <v>3212</v>
      </c>
      <c r="K769" s="3" t="s">
        <v>3213</v>
      </c>
      <c r="L769" s="3" t="s">
        <v>3214</v>
      </c>
      <c r="M769" s="3" t="n">
        <v>252306</v>
      </c>
      <c r="N769" s="3" t="s">
        <v>3215</v>
      </c>
      <c r="O769" s="1" t="n">
        <v>235920</v>
      </c>
      <c r="P769" s="1" t="n">
        <v>93.51</v>
      </c>
      <c r="Q769" s="1" t="s">
        <v>20</v>
      </c>
      <c r="R769" s="1" t="s">
        <v>27</v>
      </c>
      <c r="S769" s="1" t="s">
        <v>28</v>
      </c>
      <c r="T769" s="1" t="s">
        <v>29</v>
      </c>
    </row>
    <row r="770" customFormat="false" ht="18.7" hidden="false" customHeight="true" outlineLevel="0" collapsed="false">
      <c r="A770" s="1" t="n">
        <v>769</v>
      </c>
      <c r="B770" s="6" t="str">
        <f aca="false">HYPERLINK("https://mncourtfraud.com/file/MCRO_27-CR-20-13495_Affidavit in Support of Petition_2021-10-26_20240430085956.pdf","MCRO_27-CR-20-13495_Affidavit in Support of Petition_2021-10-26_20240430085956.pdf")</f>
        <v>MCRO_27-CR-20-13495_Affidavit in Support of Petition_2021-10-26_20240430085956.pdf</v>
      </c>
      <c r="C770" s="1" t="n">
        <v>4</v>
      </c>
      <c r="D770" s="1" t="n">
        <v>1</v>
      </c>
      <c r="E770" s="1" t="n">
        <v>1</v>
      </c>
      <c r="F770" s="3" t="s">
        <v>20</v>
      </c>
      <c r="G770" s="3" t="s">
        <v>3216</v>
      </c>
      <c r="H770" s="1" t="s">
        <v>22</v>
      </c>
      <c r="I770" s="1" t="n">
        <v>20240430085956</v>
      </c>
      <c r="J770" s="3" t="s">
        <v>3217</v>
      </c>
      <c r="K770" s="3" t="s">
        <v>3218</v>
      </c>
      <c r="L770" s="3" t="s">
        <v>3219</v>
      </c>
      <c r="M770" s="3" t="n">
        <v>909950</v>
      </c>
      <c r="N770" s="3" t="s">
        <v>3220</v>
      </c>
      <c r="O770" s="1" t="n">
        <v>893564</v>
      </c>
      <c r="P770" s="1" t="n">
        <v>98.2</v>
      </c>
      <c r="Q770" s="1" t="s">
        <v>20</v>
      </c>
      <c r="R770" s="1" t="s">
        <v>27</v>
      </c>
      <c r="S770" s="1" t="s">
        <v>28</v>
      </c>
      <c r="T770" s="1" t="s">
        <v>29</v>
      </c>
    </row>
    <row r="771" customFormat="false" ht="18.7" hidden="false" customHeight="true" outlineLevel="0" collapsed="false">
      <c r="A771" s="1" t="n">
        <v>770</v>
      </c>
      <c r="B771" s="6" t="str">
        <f aca="false">HYPERLINK("https://mncourtfraud.com/file/MCRO_27-CR-20-13495_Affidavit of Mailing_2021-10-26_20240430085953.pdf","MCRO_27-CR-20-13495_Affidavit of Mailing_2021-10-26_20240430085953.pdf")</f>
        <v>MCRO_27-CR-20-13495_Affidavit of Mailing_2021-10-26_20240430085953.pdf</v>
      </c>
      <c r="C771" s="1" t="n">
        <v>4</v>
      </c>
      <c r="D771" s="1" t="n">
        <v>1</v>
      </c>
      <c r="E771" s="1" t="n">
        <v>1</v>
      </c>
      <c r="F771" s="3" t="s">
        <v>20</v>
      </c>
      <c r="G771" s="3" t="s">
        <v>3221</v>
      </c>
      <c r="H771" s="1" t="s">
        <v>22</v>
      </c>
      <c r="I771" s="1" t="n">
        <v>20240430085953</v>
      </c>
      <c r="J771" s="3" t="s">
        <v>3222</v>
      </c>
      <c r="K771" s="3" t="s">
        <v>3223</v>
      </c>
      <c r="L771" s="3" t="s">
        <v>3224</v>
      </c>
      <c r="M771" s="3" t="n">
        <v>397905</v>
      </c>
      <c r="N771" s="3" t="s">
        <v>3225</v>
      </c>
      <c r="O771" s="1" t="n">
        <v>381519</v>
      </c>
      <c r="P771" s="1" t="n">
        <v>95.88</v>
      </c>
      <c r="Q771" s="1" t="s">
        <v>20</v>
      </c>
      <c r="R771" s="1" t="s">
        <v>27</v>
      </c>
      <c r="S771" s="1" t="s">
        <v>28</v>
      </c>
      <c r="T771" s="1" t="s">
        <v>29</v>
      </c>
    </row>
    <row r="772" customFormat="false" ht="18.7" hidden="false" customHeight="true" outlineLevel="0" collapsed="false">
      <c r="A772" s="1" t="n">
        <v>771</v>
      </c>
      <c r="B772" s="6" t="str">
        <f aca="false">HYPERLINK("https://mncourtfraud.com/file/MCRO_27-CR-20-13495_Affidavit of Service_2021-10-26_20240430085954.pdf","MCRO_27-CR-20-13495_Affidavit of Service_2021-10-26_20240430085954.pdf")</f>
        <v>MCRO_27-CR-20-13495_Affidavit of Service_2021-10-26_20240430085954.pdf</v>
      </c>
      <c r="C772" s="1" t="n">
        <v>4</v>
      </c>
      <c r="D772" s="1" t="n">
        <v>1</v>
      </c>
      <c r="E772" s="1" t="n">
        <v>1</v>
      </c>
      <c r="F772" s="3" t="s">
        <v>20</v>
      </c>
      <c r="G772" s="3" t="s">
        <v>3226</v>
      </c>
      <c r="H772" s="1" t="s">
        <v>22</v>
      </c>
      <c r="I772" s="1" t="n">
        <v>20240430085954</v>
      </c>
      <c r="J772" s="3" t="s">
        <v>3227</v>
      </c>
      <c r="K772" s="3" t="s">
        <v>3228</v>
      </c>
      <c r="L772" s="3" t="s">
        <v>3229</v>
      </c>
      <c r="M772" s="3" t="n">
        <v>370481</v>
      </c>
      <c r="N772" s="3" t="s">
        <v>3225</v>
      </c>
      <c r="O772" s="1" t="n">
        <v>354095</v>
      </c>
      <c r="P772" s="1" t="n">
        <v>95.58</v>
      </c>
      <c r="Q772" s="1" t="s">
        <v>20</v>
      </c>
      <c r="R772" s="1" t="s">
        <v>27</v>
      </c>
      <c r="S772" s="1" t="s">
        <v>28</v>
      </c>
      <c r="T772" s="1" t="s">
        <v>29</v>
      </c>
    </row>
    <row r="773" customFormat="false" ht="18.7" hidden="false" customHeight="true" outlineLevel="0" collapsed="false">
      <c r="A773" s="1" t="n">
        <v>772</v>
      </c>
      <c r="B773" s="6" t="str">
        <f aca="false">HYPERLINK("https://mncourtfraud.com/file/MCRO_27-CR-20-13495_E-filed Comp-Summons_2020-06-09_20240430090011.pdf","MCRO_27-CR-20-13495_E-filed Comp-Summons_2020-06-09_20240430090011.pdf")</f>
        <v>MCRO_27-CR-20-13495_E-filed Comp-Summons_2020-06-09_20240430090011.pdf</v>
      </c>
      <c r="C773" s="1" t="n">
        <v>4</v>
      </c>
      <c r="D773" s="1" t="n">
        <v>2</v>
      </c>
      <c r="E773" s="1" t="n">
        <v>2</v>
      </c>
      <c r="F773" s="3" t="s">
        <v>20</v>
      </c>
      <c r="G773" s="3" t="s">
        <v>3230</v>
      </c>
      <c r="H773" s="1" t="s">
        <v>22</v>
      </c>
      <c r="I773" s="1" t="n">
        <v>20240430090011</v>
      </c>
      <c r="J773" s="3" t="s">
        <v>3231</v>
      </c>
      <c r="K773" s="3" t="s">
        <v>3232</v>
      </c>
      <c r="L773" s="3" t="s">
        <v>3233</v>
      </c>
      <c r="M773" s="3" t="n">
        <v>543592</v>
      </c>
      <c r="N773" s="3" t="s">
        <v>3234</v>
      </c>
      <c r="O773" s="1" t="n">
        <v>527206</v>
      </c>
      <c r="P773" s="1" t="n">
        <v>96.99</v>
      </c>
      <c r="Q773" s="1" t="s">
        <v>20</v>
      </c>
      <c r="R773" s="1" t="s">
        <v>27</v>
      </c>
      <c r="S773" s="1" t="s">
        <v>28</v>
      </c>
      <c r="T773" s="1" t="s">
        <v>29</v>
      </c>
    </row>
    <row r="774" customFormat="false" ht="18.7" hidden="false" customHeight="true" outlineLevel="0" collapsed="false">
      <c r="A774" s="1" t="n">
        <v>773</v>
      </c>
      <c r="B774" s="6" t="str">
        <f aca="false">HYPERLINK("https://mncourtfraud.com/file/MCRO_27-CR-20-13495_Finding of Incompetency and Order_2023-02-15_20240430085918.pdf","MCRO_27-CR-20-13495_Finding of Incompetency and Order_2023-02-15_20240430085918.pdf")</f>
        <v>MCRO_27-CR-20-13495_Finding of Incompetency and Order_2023-02-15_20240430085918.pdf</v>
      </c>
      <c r="C774" s="1" t="n">
        <v>9</v>
      </c>
      <c r="D774" s="1" t="n">
        <v>3</v>
      </c>
      <c r="E774" s="1" t="n">
        <v>3</v>
      </c>
      <c r="F774" s="3" t="s">
        <v>27</v>
      </c>
      <c r="G774" s="3" t="s">
        <v>3235</v>
      </c>
      <c r="H774" s="1" t="s">
        <v>22</v>
      </c>
      <c r="I774" s="1" t="n">
        <v>20240430085918</v>
      </c>
      <c r="J774" s="3" t="s">
        <v>3236</v>
      </c>
      <c r="K774" s="3" t="s">
        <v>3237</v>
      </c>
      <c r="L774" s="3" t="s">
        <v>3238</v>
      </c>
      <c r="M774" s="3" t="n">
        <v>952006</v>
      </c>
      <c r="N774" s="3" t="s">
        <v>2723</v>
      </c>
      <c r="O774" s="1" t="n">
        <v>935620</v>
      </c>
      <c r="P774" s="1" t="n">
        <v>98.28</v>
      </c>
      <c r="Q774" s="1" t="s">
        <v>20</v>
      </c>
      <c r="R774" s="1" t="s">
        <v>27</v>
      </c>
      <c r="S774" s="1" t="s">
        <v>28</v>
      </c>
      <c r="T774" s="1" t="s">
        <v>29</v>
      </c>
    </row>
    <row r="775" customFormat="false" ht="18.7" hidden="false" customHeight="true" outlineLevel="0" collapsed="false">
      <c r="A775" s="1" t="n">
        <v>774</v>
      </c>
      <c r="B775" s="6" t="str">
        <f aca="false">HYPERLINK("https://mncourtfraud.com/file/MCRO_27-CR-20-13495_Findings and Order_2022-08-02_20240430085921.pdf","MCRO_27-CR-20-13495_Findings and Order_2022-08-02_20240430085921.pdf")</f>
        <v>MCRO_27-CR-20-13495_Findings and Order_2022-08-02_20240430085921.pdf</v>
      </c>
      <c r="C775" s="1" t="n">
        <v>4</v>
      </c>
      <c r="D775" s="1" t="n">
        <v>2</v>
      </c>
      <c r="E775" s="1" t="n">
        <v>2</v>
      </c>
      <c r="F775" s="3" t="s">
        <v>20</v>
      </c>
      <c r="G775" s="3" t="s">
        <v>3239</v>
      </c>
      <c r="H775" s="1" t="s">
        <v>22</v>
      </c>
      <c r="I775" s="1" t="n">
        <v>20240430085921</v>
      </c>
      <c r="J775" s="3" t="s">
        <v>3240</v>
      </c>
      <c r="K775" s="3" t="s">
        <v>3241</v>
      </c>
      <c r="L775" s="3" t="s">
        <v>3242</v>
      </c>
      <c r="M775" s="3" t="n">
        <v>287864</v>
      </c>
      <c r="N775" s="3" t="s">
        <v>2728</v>
      </c>
      <c r="O775" s="1" t="n">
        <v>271478</v>
      </c>
      <c r="P775" s="1" t="n">
        <v>94.31</v>
      </c>
      <c r="Q775" s="1" t="s">
        <v>20</v>
      </c>
      <c r="R775" s="1" t="s">
        <v>27</v>
      </c>
      <c r="S775" s="1" t="s">
        <v>28</v>
      </c>
      <c r="T775" s="1" t="s">
        <v>29</v>
      </c>
    </row>
    <row r="776" customFormat="false" ht="18.7" hidden="false" customHeight="true" outlineLevel="0" collapsed="false">
      <c r="A776" s="1" t="n">
        <v>775</v>
      </c>
      <c r="B776" s="6" t="str">
        <f aca="false">HYPERLINK("https://mncourtfraud.com/file/MCRO_27-CR-20-13495_Law Enforcement Notice of Release and Appearance_2021-02-22_20240430090006.pdf","MCRO_27-CR-20-13495_Law Enforcement Notice of Release and Appearance_2021-02-22_20240430090006.pdf")</f>
        <v>MCRO_27-CR-20-13495_Law Enforcement Notice of Release and Appearance_2021-02-22_20240430090006.pdf</v>
      </c>
      <c r="C776" s="1" t="n">
        <v>4</v>
      </c>
      <c r="D776" s="1" t="n">
        <v>1</v>
      </c>
      <c r="E776" s="1" t="n">
        <v>1</v>
      </c>
      <c r="F776" s="3" t="s">
        <v>20</v>
      </c>
      <c r="G776" s="3" t="s">
        <v>3243</v>
      </c>
      <c r="H776" s="1" t="s">
        <v>22</v>
      </c>
      <c r="I776" s="1" t="n">
        <v>20240430090006</v>
      </c>
      <c r="J776" s="3" t="s">
        <v>3244</v>
      </c>
      <c r="K776" s="3" t="s">
        <v>3245</v>
      </c>
      <c r="L776" s="3" t="s">
        <v>3246</v>
      </c>
      <c r="M776" s="3" t="n">
        <v>113813</v>
      </c>
      <c r="N776" s="3" t="s">
        <v>456</v>
      </c>
      <c r="O776" s="1" t="n">
        <v>97427</v>
      </c>
      <c r="P776" s="1" t="n">
        <v>85.6</v>
      </c>
      <c r="Q776" s="1" t="s">
        <v>20</v>
      </c>
      <c r="R776" s="1" t="s">
        <v>27</v>
      </c>
      <c r="S776" s="1" t="s">
        <v>28</v>
      </c>
      <c r="T776" s="1" t="s">
        <v>29</v>
      </c>
    </row>
    <row r="777" customFormat="false" ht="18.7" hidden="false" customHeight="true" outlineLevel="0" collapsed="false">
      <c r="A777" s="1" t="n">
        <v>776</v>
      </c>
      <c r="B777" s="6" t="str">
        <f aca="false">HYPERLINK("https://mncourtfraud.com/file/MCRO_27-CR-20-13495_Motion_2022-04-07_20240430085936.pdf","MCRO_27-CR-20-13495_Motion_2022-04-07_20240430085936.pdf")</f>
        <v>MCRO_27-CR-20-13495_Motion_2022-04-07_20240430085936.pdf</v>
      </c>
      <c r="C777" s="1" t="n">
        <v>4</v>
      </c>
      <c r="D777" s="1" t="n">
        <v>1</v>
      </c>
      <c r="E777" s="1" t="n">
        <v>1</v>
      </c>
      <c r="F777" s="3" t="s">
        <v>20</v>
      </c>
      <c r="G777" s="3" t="s">
        <v>3247</v>
      </c>
      <c r="H777" s="1" t="s">
        <v>22</v>
      </c>
      <c r="I777" s="1" t="n">
        <v>20240430085936</v>
      </c>
      <c r="J777" s="3" t="s">
        <v>3248</v>
      </c>
      <c r="K777" s="3" t="s">
        <v>3249</v>
      </c>
      <c r="L777" s="3" t="s">
        <v>3250</v>
      </c>
      <c r="M777" s="3" t="n">
        <v>686553</v>
      </c>
      <c r="N777" s="3" t="s">
        <v>3251</v>
      </c>
      <c r="O777" s="1" t="n">
        <v>670167</v>
      </c>
      <c r="P777" s="1" t="n">
        <v>97.61</v>
      </c>
      <c r="Q777" s="1" t="s">
        <v>20</v>
      </c>
      <c r="R777" s="1" t="s">
        <v>27</v>
      </c>
      <c r="S777" s="1" t="s">
        <v>28</v>
      </c>
      <c r="T777" s="1" t="s">
        <v>29</v>
      </c>
    </row>
    <row r="778" customFormat="false" ht="18.7" hidden="false" customHeight="true" outlineLevel="0" collapsed="false">
      <c r="A778" s="1" t="n">
        <v>777</v>
      </c>
      <c r="B778" s="6" t="str">
        <f aca="false">HYPERLINK("https://mncourtfraud.com/file/MCRO_27-CR-20-13495_Non-Cash Bond Posted_2021-02-22_20240430090007.pdf","MCRO_27-CR-20-13495_Non-Cash Bond Posted_2021-02-22_20240430090007.pdf")</f>
        <v>MCRO_27-CR-20-13495_Non-Cash Bond Posted_2021-02-22_20240430090007.pdf</v>
      </c>
      <c r="C778" s="1" t="n">
        <v>4</v>
      </c>
      <c r="D778" s="1" t="n">
        <v>1</v>
      </c>
      <c r="E778" s="1" t="n">
        <v>1</v>
      </c>
      <c r="F778" s="3" t="s">
        <v>20</v>
      </c>
      <c r="G778" s="3" t="s">
        <v>3252</v>
      </c>
      <c r="H778" s="1" t="s">
        <v>22</v>
      </c>
      <c r="I778" s="1" t="n">
        <v>20240430090007</v>
      </c>
      <c r="J778" s="3" t="s">
        <v>3253</v>
      </c>
      <c r="K778" s="3" t="s">
        <v>3254</v>
      </c>
      <c r="L778" s="3" t="s">
        <v>3255</v>
      </c>
      <c r="M778" s="3" t="n">
        <v>201143</v>
      </c>
      <c r="N778" s="3" t="s">
        <v>1065</v>
      </c>
      <c r="O778" s="1" t="n">
        <v>184757</v>
      </c>
      <c r="P778" s="1" t="n">
        <v>91.85</v>
      </c>
      <c r="Q778" s="1" t="s">
        <v>20</v>
      </c>
      <c r="R778" s="1" t="s">
        <v>27</v>
      </c>
      <c r="S778" s="1" t="s">
        <v>28</v>
      </c>
      <c r="T778" s="1" t="s">
        <v>29</v>
      </c>
    </row>
    <row r="779" customFormat="false" ht="18.7" hidden="false" customHeight="true" outlineLevel="0" collapsed="false">
      <c r="A779" s="1" t="n">
        <v>778</v>
      </c>
      <c r="B779" s="6" t="str">
        <f aca="false">HYPERLINK("https://mncourtfraud.com/file/MCRO_27-CR-20-13495_Notice of Bond Forfeiture_2021-09-13_20240430090000.pdf","MCRO_27-CR-20-13495_Notice of Bond Forfeiture_2021-09-13_20240430090000.pdf")</f>
        <v>MCRO_27-CR-20-13495_Notice of Bond Forfeiture_2021-09-13_20240430090000.pdf</v>
      </c>
      <c r="C779" s="1" t="n">
        <v>5</v>
      </c>
      <c r="D779" s="1" t="n">
        <v>1</v>
      </c>
      <c r="E779" s="1" t="n">
        <v>1</v>
      </c>
      <c r="F779" s="3" t="s">
        <v>20</v>
      </c>
      <c r="G779" s="3" t="s">
        <v>3256</v>
      </c>
      <c r="H779" s="1" t="s">
        <v>22</v>
      </c>
      <c r="I779" s="1" t="n">
        <v>20240430090000</v>
      </c>
      <c r="J779" s="3" t="s">
        <v>3257</v>
      </c>
      <c r="K779" s="3" t="s">
        <v>3258</v>
      </c>
      <c r="L779" s="3" t="s">
        <v>3259</v>
      </c>
      <c r="M779" s="3" t="n">
        <v>767838</v>
      </c>
      <c r="N779" s="3" t="s">
        <v>1503</v>
      </c>
      <c r="O779" s="1" t="n">
        <v>751452</v>
      </c>
      <c r="P779" s="1" t="n">
        <v>97.87</v>
      </c>
      <c r="Q779" s="1" t="s">
        <v>20</v>
      </c>
      <c r="R779" s="1" t="s">
        <v>27</v>
      </c>
      <c r="S779" s="1" t="s">
        <v>28</v>
      </c>
      <c r="T779" s="1" t="s">
        <v>29</v>
      </c>
    </row>
    <row r="780" customFormat="false" ht="18.7" hidden="false" customHeight="true" outlineLevel="0" collapsed="false">
      <c r="A780" s="1" t="n">
        <v>779</v>
      </c>
      <c r="B780" s="6" t="str">
        <f aca="false">HYPERLINK("https://mncourtfraud.com/file/MCRO_27-CR-20-13495_Notice of Evidence and Identification Procedures_2022-04-05_20240430085938.pdf","MCRO_27-CR-20-13495_Notice of Evidence and Identification Procedures_2022-04-05_20240430085938.pdf")</f>
        <v>MCRO_27-CR-20-13495_Notice of Evidence and Identification Procedures_2022-04-05_20240430085938.pdf</v>
      </c>
      <c r="C780" s="1" t="n">
        <v>3</v>
      </c>
      <c r="D780" s="1" t="n">
        <v>1</v>
      </c>
      <c r="E780" s="1" t="n">
        <v>1</v>
      </c>
      <c r="F780" s="3" t="s">
        <v>20</v>
      </c>
      <c r="G780" s="3" t="s">
        <v>3260</v>
      </c>
      <c r="H780" s="1" t="s">
        <v>22</v>
      </c>
      <c r="I780" s="1" t="n">
        <v>20240430085938</v>
      </c>
      <c r="J780" s="3" t="s">
        <v>3261</v>
      </c>
      <c r="K780" s="3" t="s">
        <v>3262</v>
      </c>
      <c r="L780" s="3" t="s">
        <v>3263</v>
      </c>
      <c r="M780" s="3" t="n">
        <v>169681</v>
      </c>
      <c r="N780" s="3" t="s">
        <v>3264</v>
      </c>
      <c r="O780" s="1" t="n">
        <v>153295</v>
      </c>
      <c r="P780" s="1" t="n">
        <v>90.34</v>
      </c>
      <c r="Q780" s="1" t="s">
        <v>20</v>
      </c>
      <c r="R780" s="1" t="s">
        <v>27</v>
      </c>
      <c r="S780" s="1" t="s">
        <v>28</v>
      </c>
      <c r="T780" s="1" t="s">
        <v>29</v>
      </c>
    </row>
    <row r="781" customFormat="false" ht="18.7" hidden="false" customHeight="true" outlineLevel="0" collapsed="false">
      <c r="A781" s="1" t="n">
        <v>780</v>
      </c>
      <c r="B781" s="6" t="str">
        <f aca="false">HYPERLINK("https://mncourtfraud.com/file/MCRO_27-CR-20-13495_Notice of Filing of Order_2021-10-28_20240430085949.pdf","MCRO_27-CR-20-13495_Notice of Filing of Order_2021-10-28_20240430085949.pdf")</f>
        <v>MCRO_27-CR-20-13495_Notice of Filing of Order_2021-10-28_20240430085949.pdf</v>
      </c>
      <c r="C781" s="1" t="n">
        <v>3</v>
      </c>
      <c r="D781" s="1" t="n">
        <v>1</v>
      </c>
      <c r="E781" s="1" t="n">
        <v>1</v>
      </c>
      <c r="F781" s="3" t="s">
        <v>20</v>
      </c>
      <c r="G781" s="3" t="s">
        <v>3265</v>
      </c>
      <c r="H781" s="1" t="s">
        <v>22</v>
      </c>
      <c r="I781" s="1" t="n">
        <v>20240430085949</v>
      </c>
      <c r="J781" s="3" t="s">
        <v>3266</v>
      </c>
      <c r="K781" s="3" t="s">
        <v>3267</v>
      </c>
      <c r="L781" s="3" t="s">
        <v>3268</v>
      </c>
      <c r="M781" s="3" t="n">
        <v>80628</v>
      </c>
      <c r="N781" s="3" t="s">
        <v>3269</v>
      </c>
      <c r="O781" s="1" t="n">
        <v>64242</v>
      </c>
      <c r="P781" s="1" t="n">
        <v>79.68</v>
      </c>
      <c r="Q781" s="1" t="s">
        <v>20</v>
      </c>
      <c r="R781" s="1" t="s">
        <v>27</v>
      </c>
      <c r="S781" s="1" t="s">
        <v>28</v>
      </c>
      <c r="T781" s="1" t="s">
        <v>29</v>
      </c>
    </row>
    <row r="782" customFormat="false" ht="18.7" hidden="false" customHeight="true" outlineLevel="0" collapsed="false">
      <c r="A782" s="1" t="n">
        <v>781</v>
      </c>
      <c r="B782" s="6" t="str">
        <f aca="false">HYPERLINK("https://mncourtfraud.com/file/MCRO_27-CR-20-13495_Notice of Filing of Order_2021-11-22_20240430085945.pdf","MCRO_27-CR-20-13495_Notice of Filing of Order_2021-11-22_20240430085945.pdf")</f>
        <v>MCRO_27-CR-20-13495_Notice of Filing of Order_2021-11-22_20240430085945.pdf</v>
      </c>
      <c r="C782" s="1" t="n">
        <v>3</v>
      </c>
      <c r="D782" s="1" t="n">
        <v>1</v>
      </c>
      <c r="E782" s="1" t="n">
        <v>1</v>
      </c>
      <c r="F782" s="3" t="s">
        <v>20</v>
      </c>
      <c r="G782" s="3" t="s">
        <v>3270</v>
      </c>
      <c r="H782" s="1" t="s">
        <v>22</v>
      </c>
      <c r="I782" s="1" t="n">
        <v>20240430085945</v>
      </c>
      <c r="J782" s="3" t="s">
        <v>3271</v>
      </c>
      <c r="K782" s="3" t="s">
        <v>3272</v>
      </c>
      <c r="L782" s="3" t="s">
        <v>3273</v>
      </c>
      <c r="M782" s="3" t="n">
        <v>80527</v>
      </c>
      <c r="N782" s="3" t="s">
        <v>892</v>
      </c>
      <c r="O782" s="1" t="n">
        <v>64141</v>
      </c>
      <c r="P782" s="1" t="n">
        <v>79.65</v>
      </c>
      <c r="Q782" s="1" t="s">
        <v>20</v>
      </c>
      <c r="R782" s="1" t="s">
        <v>27</v>
      </c>
      <c r="S782" s="1" t="s">
        <v>28</v>
      </c>
      <c r="T782" s="1" t="s">
        <v>29</v>
      </c>
    </row>
    <row r="783" customFormat="false" ht="18.7" hidden="false" customHeight="true" outlineLevel="0" collapsed="false">
      <c r="A783" s="1" t="n">
        <v>782</v>
      </c>
      <c r="B783" s="6" t="str">
        <f aca="false">HYPERLINK("https://mncourtfraud.com/file/MCRO_27-CR-20-13495_Notice of Hearing_2021-12-30_20240430085944.pdf","MCRO_27-CR-20-13495_Notice of Hearing_2021-12-30_20240430085944.pdf")</f>
        <v>MCRO_27-CR-20-13495_Notice of Hearing_2021-12-30_20240430085944.pdf</v>
      </c>
      <c r="C783" s="1" t="n">
        <v>5</v>
      </c>
      <c r="D783" s="1" t="n">
        <v>1</v>
      </c>
      <c r="E783" s="1" t="n">
        <v>1</v>
      </c>
      <c r="F783" s="3" t="s">
        <v>20</v>
      </c>
      <c r="G783" s="3" t="s">
        <v>3274</v>
      </c>
      <c r="H783" s="1" t="s">
        <v>22</v>
      </c>
      <c r="I783" s="1" t="n">
        <v>20240430085944</v>
      </c>
      <c r="J783" s="3" t="s">
        <v>3275</v>
      </c>
      <c r="K783" s="3" t="s">
        <v>3276</v>
      </c>
      <c r="L783" s="3" t="s">
        <v>3277</v>
      </c>
      <c r="M783" s="3" t="n">
        <v>210732</v>
      </c>
      <c r="N783" s="3" t="s">
        <v>2763</v>
      </c>
      <c r="O783" s="1" t="n">
        <v>194346</v>
      </c>
      <c r="P783" s="1" t="n">
        <v>92.22</v>
      </c>
      <c r="Q783" s="1" t="s">
        <v>20</v>
      </c>
      <c r="R783" s="1" t="s">
        <v>27</v>
      </c>
      <c r="S783" s="1" t="s">
        <v>28</v>
      </c>
      <c r="T783" s="1" t="s">
        <v>29</v>
      </c>
    </row>
    <row r="784" customFormat="false" ht="18.7" hidden="false" customHeight="true" outlineLevel="0" collapsed="false">
      <c r="A784" s="1" t="n">
        <v>783</v>
      </c>
      <c r="B784" s="6" t="str">
        <f aca="false">HYPERLINK("https://mncourtfraud.com/file/MCRO_27-CR-20-13495_Notice of Hearing_2023-09-19_20240430085916.pdf","MCRO_27-CR-20-13495_Notice of Hearing_2023-09-19_20240430085916.pdf")</f>
        <v>MCRO_27-CR-20-13495_Notice of Hearing_2023-09-19_20240430085916.pdf</v>
      </c>
      <c r="C784" s="1" t="n">
        <v>5</v>
      </c>
      <c r="D784" s="1" t="n">
        <v>1</v>
      </c>
      <c r="E784" s="1" t="n">
        <v>1</v>
      </c>
      <c r="F784" s="3" t="s">
        <v>20</v>
      </c>
      <c r="G784" s="3" t="s">
        <v>3278</v>
      </c>
      <c r="H784" s="1" t="s">
        <v>22</v>
      </c>
      <c r="I784" s="1" t="n">
        <v>20240430085916</v>
      </c>
      <c r="J784" s="3" t="s">
        <v>3279</v>
      </c>
      <c r="K784" s="3" t="s">
        <v>3280</v>
      </c>
      <c r="L784" s="3" t="s">
        <v>2767</v>
      </c>
      <c r="M784" s="3" t="n">
        <v>740529</v>
      </c>
      <c r="N784" s="3" t="s">
        <v>2768</v>
      </c>
      <c r="O784" s="1" t="n">
        <v>724143</v>
      </c>
      <c r="P784" s="1" t="n">
        <v>97.79</v>
      </c>
      <c r="Q784" s="1" t="s">
        <v>20</v>
      </c>
      <c r="R784" s="1" t="s">
        <v>27</v>
      </c>
      <c r="S784" s="1" t="s">
        <v>28</v>
      </c>
      <c r="T784" s="1" t="s">
        <v>29</v>
      </c>
    </row>
    <row r="785" customFormat="false" ht="18.7" hidden="false" customHeight="true" outlineLevel="0" collapsed="false">
      <c r="A785" s="1" t="n">
        <v>784</v>
      </c>
      <c r="B785" s="6" t="str">
        <f aca="false">HYPERLINK("https://mncourtfraud.com/file/MCRO_27-CR-20-13495_Notice of Hearing_2023-10-04_20240430085915.pdf","MCRO_27-CR-20-13495_Notice of Hearing_2023-10-04_20240430085915.pdf")</f>
        <v>MCRO_27-CR-20-13495_Notice of Hearing_2023-10-04_20240430085915.pdf</v>
      </c>
      <c r="C785" s="1" t="n">
        <v>4</v>
      </c>
      <c r="D785" s="1" t="n">
        <v>1</v>
      </c>
      <c r="E785" s="1" t="n">
        <v>1</v>
      </c>
      <c r="F785" s="3" t="s">
        <v>20</v>
      </c>
      <c r="G785" s="3" t="s">
        <v>3281</v>
      </c>
      <c r="H785" s="1" t="s">
        <v>22</v>
      </c>
      <c r="I785" s="1" t="n">
        <v>20240430085915</v>
      </c>
      <c r="J785" s="3" t="s">
        <v>3282</v>
      </c>
      <c r="K785" s="3" t="s">
        <v>3283</v>
      </c>
      <c r="L785" s="3" t="s">
        <v>3284</v>
      </c>
      <c r="M785" s="3" t="n">
        <v>98282</v>
      </c>
      <c r="N785" s="3" t="s">
        <v>435</v>
      </c>
      <c r="O785" s="1" t="n">
        <v>81896</v>
      </c>
      <c r="P785" s="1" t="n">
        <v>83.33</v>
      </c>
      <c r="Q785" s="1" t="s">
        <v>20</v>
      </c>
      <c r="R785" s="1" t="s">
        <v>27</v>
      </c>
      <c r="S785" s="1" t="s">
        <v>28</v>
      </c>
      <c r="T785" s="1" t="s">
        <v>29</v>
      </c>
    </row>
    <row r="786" customFormat="false" ht="18.7" hidden="false" customHeight="true" outlineLevel="0" collapsed="false">
      <c r="A786" s="1" t="n">
        <v>785</v>
      </c>
      <c r="B786" s="6" t="str">
        <f aca="false">HYPERLINK("https://mncourtfraud.com/file/MCRO_27-CR-20-13495_Notice of Intent to Prosecute_2022-08-02_20240430085922.pdf","MCRO_27-CR-20-13495_Notice of Intent to Prosecute_2022-08-02_20240430085922.pdf")</f>
        <v>MCRO_27-CR-20-13495_Notice of Intent to Prosecute_2022-08-02_20240430085922.pdf</v>
      </c>
      <c r="C786" s="1" t="n">
        <v>3</v>
      </c>
      <c r="D786" s="1" t="n">
        <v>1</v>
      </c>
      <c r="E786" s="1" t="n">
        <v>1</v>
      </c>
      <c r="F786" s="3" t="s">
        <v>20</v>
      </c>
      <c r="G786" s="3" t="s">
        <v>3285</v>
      </c>
      <c r="H786" s="1" t="s">
        <v>22</v>
      </c>
      <c r="I786" s="1" t="n">
        <v>20240430085922</v>
      </c>
      <c r="J786" s="3" t="s">
        <v>3286</v>
      </c>
      <c r="K786" s="3" t="s">
        <v>3287</v>
      </c>
      <c r="L786" s="3" t="s">
        <v>3288</v>
      </c>
      <c r="M786" s="3" t="n">
        <v>138650</v>
      </c>
      <c r="N786" s="3" t="s">
        <v>2777</v>
      </c>
      <c r="O786" s="1" t="n">
        <v>122264</v>
      </c>
      <c r="P786" s="1" t="n">
        <v>88.18</v>
      </c>
      <c r="Q786" s="1" t="s">
        <v>20</v>
      </c>
      <c r="R786" s="1" t="s">
        <v>27</v>
      </c>
      <c r="S786" s="1" t="s">
        <v>28</v>
      </c>
      <c r="T786" s="1" t="s">
        <v>29</v>
      </c>
    </row>
    <row r="787" customFormat="false" ht="18.7" hidden="false" customHeight="true" outlineLevel="0" collapsed="false">
      <c r="A787" s="1" t="n">
        <v>786</v>
      </c>
      <c r="B787" s="6" t="str">
        <f aca="false">HYPERLINK("https://mncourtfraud.com/file/MCRO_27-CR-20-13495_Notice of Remote Hearing with Instructions_2021-02-23_20240430090005.pdf","MCRO_27-CR-20-13495_Notice of Remote Hearing with Instructions_2021-02-23_20240430090005.pdf")</f>
        <v>MCRO_27-CR-20-13495_Notice of Remote Hearing with Instructions_2021-02-23_20240430090005.pdf</v>
      </c>
      <c r="C787" s="1" t="n">
        <v>4</v>
      </c>
      <c r="D787" s="1" t="n">
        <v>1</v>
      </c>
      <c r="E787" s="1" t="n">
        <v>1</v>
      </c>
      <c r="F787" s="3" t="s">
        <v>20</v>
      </c>
      <c r="G787" s="3" t="s">
        <v>3289</v>
      </c>
      <c r="H787" s="1" t="s">
        <v>22</v>
      </c>
      <c r="I787" s="1" t="n">
        <v>20240430090005</v>
      </c>
      <c r="J787" s="3" t="s">
        <v>3290</v>
      </c>
      <c r="K787" s="3" t="s">
        <v>3291</v>
      </c>
      <c r="L787" s="3" t="s">
        <v>3292</v>
      </c>
      <c r="M787" s="3" t="n">
        <v>156654</v>
      </c>
      <c r="N787" s="3" t="s">
        <v>1065</v>
      </c>
      <c r="O787" s="1" t="n">
        <v>140268</v>
      </c>
      <c r="P787" s="1" t="n">
        <v>89.54</v>
      </c>
      <c r="Q787" s="1" t="s">
        <v>20</v>
      </c>
      <c r="R787" s="1" t="s">
        <v>27</v>
      </c>
      <c r="S787" s="1" t="s">
        <v>28</v>
      </c>
      <c r="T787" s="1" t="s">
        <v>29</v>
      </c>
    </row>
    <row r="788" customFormat="false" ht="18.7" hidden="false" customHeight="true" outlineLevel="0" collapsed="false">
      <c r="A788" s="1" t="n">
        <v>787</v>
      </c>
      <c r="B788" s="6" t="str">
        <f aca="false">HYPERLINK("https://mncourtfraud.com/file/MCRO_27-CR-20-13495_Notice of Remote Hearing with Instructions_2021-03-08_20240430090004.pdf","MCRO_27-CR-20-13495_Notice of Remote Hearing with Instructions_2021-03-08_20240430090004.pdf")</f>
        <v>MCRO_27-CR-20-13495_Notice of Remote Hearing with Instructions_2021-03-08_20240430090004.pdf</v>
      </c>
      <c r="C788" s="1" t="n">
        <v>5</v>
      </c>
      <c r="D788" s="1" t="n">
        <v>1</v>
      </c>
      <c r="E788" s="1" t="n">
        <v>1</v>
      </c>
      <c r="F788" s="3" t="s">
        <v>20</v>
      </c>
      <c r="G788" s="3" t="s">
        <v>3293</v>
      </c>
      <c r="H788" s="1" t="s">
        <v>22</v>
      </c>
      <c r="I788" s="1" t="n">
        <v>20240430090004</v>
      </c>
      <c r="J788" s="3" t="s">
        <v>3294</v>
      </c>
      <c r="K788" s="3" t="s">
        <v>3295</v>
      </c>
      <c r="L788" s="3" t="s">
        <v>3296</v>
      </c>
      <c r="M788" s="3" t="n">
        <v>1258525</v>
      </c>
      <c r="N788" s="3" t="s">
        <v>3047</v>
      </c>
      <c r="O788" s="1" t="n">
        <v>1242139</v>
      </c>
      <c r="P788" s="1" t="n">
        <v>98.7</v>
      </c>
      <c r="Q788" s="1" t="s">
        <v>20</v>
      </c>
      <c r="R788" s="1" t="s">
        <v>27</v>
      </c>
      <c r="S788" s="1" t="s">
        <v>28</v>
      </c>
      <c r="T788" s="1" t="s">
        <v>29</v>
      </c>
    </row>
    <row r="789" customFormat="false" ht="18.7" hidden="false" customHeight="true" outlineLevel="0" collapsed="false">
      <c r="A789" s="1" t="n">
        <v>788</v>
      </c>
      <c r="B789" s="6" t="str">
        <f aca="false">HYPERLINK("https://mncourtfraud.com/file/MCRO_27-CR-20-13495_Notice of Remote Hearing with Instructions_2021-05-06_20240430090003.pdf","MCRO_27-CR-20-13495_Notice of Remote Hearing with Instructions_2021-05-06_20240430090003.pdf")</f>
        <v>MCRO_27-CR-20-13495_Notice of Remote Hearing with Instructions_2021-05-06_20240430090003.pdf</v>
      </c>
      <c r="C789" s="1" t="n">
        <v>4</v>
      </c>
      <c r="D789" s="1" t="n">
        <v>1</v>
      </c>
      <c r="E789" s="1" t="n">
        <v>1</v>
      </c>
      <c r="F789" s="3" t="s">
        <v>20</v>
      </c>
      <c r="G789" s="3" t="s">
        <v>3297</v>
      </c>
      <c r="H789" s="1" t="s">
        <v>22</v>
      </c>
      <c r="I789" s="1" t="n">
        <v>20240430090003</v>
      </c>
      <c r="J789" s="3" t="s">
        <v>3298</v>
      </c>
      <c r="K789" s="3" t="s">
        <v>3299</v>
      </c>
      <c r="L789" s="3" t="s">
        <v>3300</v>
      </c>
      <c r="M789" s="3" t="n">
        <v>156769</v>
      </c>
      <c r="N789" s="3" t="s">
        <v>1065</v>
      </c>
      <c r="O789" s="1" t="n">
        <v>140383</v>
      </c>
      <c r="P789" s="1" t="n">
        <v>89.55</v>
      </c>
      <c r="Q789" s="1" t="s">
        <v>20</v>
      </c>
      <c r="R789" s="1" t="s">
        <v>27</v>
      </c>
      <c r="S789" s="1" t="s">
        <v>28</v>
      </c>
      <c r="T789" s="1" t="s">
        <v>29</v>
      </c>
    </row>
    <row r="790" customFormat="false" ht="18.7" hidden="false" customHeight="true" outlineLevel="0" collapsed="false">
      <c r="A790" s="1" t="n">
        <v>789</v>
      </c>
      <c r="B790" s="6" t="str">
        <f aca="false">HYPERLINK("https://mncourtfraud.com/file/MCRO_27-CR-20-13495_Notice of Remote Hearing with Instructions_2021-06-21_20240430090002.pdf","MCRO_27-CR-20-13495_Notice of Remote Hearing with Instructions_2021-06-21_20240430090002.pdf")</f>
        <v>MCRO_27-CR-20-13495_Notice of Remote Hearing with Instructions_2021-06-21_20240430090002.pdf</v>
      </c>
      <c r="C790" s="1" t="n">
        <v>4</v>
      </c>
      <c r="D790" s="1" t="n">
        <v>1</v>
      </c>
      <c r="E790" s="1" t="n">
        <v>1</v>
      </c>
      <c r="F790" s="3" t="s">
        <v>20</v>
      </c>
      <c r="G790" s="3" t="s">
        <v>3301</v>
      </c>
      <c r="H790" s="1" t="s">
        <v>22</v>
      </c>
      <c r="I790" s="1" t="n">
        <v>20240430090002</v>
      </c>
      <c r="J790" s="3" t="s">
        <v>3302</v>
      </c>
      <c r="K790" s="3" t="s">
        <v>3303</v>
      </c>
      <c r="L790" s="3" t="s">
        <v>3304</v>
      </c>
      <c r="M790" s="3" t="n">
        <v>903658</v>
      </c>
      <c r="N790" s="3" t="s">
        <v>1065</v>
      </c>
      <c r="O790" s="1" t="n">
        <v>887272</v>
      </c>
      <c r="P790" s="1" t="n">
        <v>98.19</v>
      </c>
      <c r="Q790" s="1" t="s">
        <v>20</v>
      </c>
      <c r="R790" s="1" t="s">
        <v>27</v>
      </c>
      <c r="S790" s="1" t="s">
        <v>28</v>
      </c>
      <c r="T790" s="1" t="s">
        <v>29</v>
      </c>
    </row>
    <row r="791" customFormat="false" ht="18.7" hidden="false" customHeight="true" outlineLevel="0" collapsed="false">
      <c r="A791" s="1" t="n">
        <v>790</v>
      </c>
      <c r="B791" s="6" t="str">
        <f aca="false">HYPERLINK("https://mncourtfraud.com/file/MCRO_27-CR-20-13495_Notice of Remote Hearing with Instructions_2021-10-25_20240430085958.pdf","MCRO_27-CR-20-13495_Notice of Remote Hearing with Instructions_2021-10-25_20240430085958.pdf")</f>
        <v>MCRO_27-CR-20-13495_Notice of Remote Hearing with Instructions_2021-10-25_20240430085958.pdf</v>
      </c>
      <c r="C791" s="1" t="n">
        <v>4</v>
      </c>
      <c r="D791" s="1" t="n">
        <v>1</v>
      </c>
      <c r="E791" s="1" t="n">
        <v>1</v>
      </c>
      <c r="F791" s="3" t="s">
        <v>20</v>
      </c>
      <c r="G791" s="3" t="s">
        <v>3305</v>
      </c>
      <c r="H791" s="1" t="s">
        <v>22</v>
      </c>
      <c r="I791" s="1" t="n">
        <v>20240430085958</v>
      </c>
      <c r="J791" s="3" t="s">
        <v>3306</v>
      </c>
      <c r="K791" s="3" t="s">
        <v>3307</v>
      </c>
      <c r="L791" s="3" t="s">
        <v>3308</v>
      </c>
      <c r="M791" s="3" t="n">
        <v>157503</v>
      </c>
      <c r="N791" s="3" t="s">
        <v>1065</v>
      </c>
      <c r="O791" s="1" t="n">
        <v>141117</v>
      </c>
      <c r="P791" s="1" t="n">
        <v>89.6</v>
      </c>
      <c r="Q791" s="1" t="s">
        <v>20</v>
      </c>
      <c r="R791" s="1" t="s">
        <v>27</v>
      </c>
      <c r="S791" s="1" t="s">
        <v>28</v>
      </c>
      <c r="T791" s="1" t="s">
        <v>29</v>
      </c>
    </row>
    <row r="792" customFormat="false" ht="18.7" hidden="false" customHeight="true" outlineLevel="0" collapsed="false">
      <c r="A792" s="1" t="n">
        <v>791</v>
      </c>
      <c r="B792" s="6" t="str">
        <f aca="false">HYPERLINK("https://mncourtfraud.com/file/MCRO_27-CR-20-13495_Notice of Remote Hearing with Instructions_2021-11-01_20240430085948.pdf","MCRO_27-CR-20-13495_Notice of Remote Hearing with Instructions_2021-11-01_20240430085948.pdf")</f>
        <v>MCRO_27-CR-20-13495_Notice of Remote Hearing with Instructions_2021-11-01_20240430085948.pdf</v>
      </c>
      <c r="C792" s="1" t="n">
        <v>5</v>
      </c>
      <c r="D792" s="1" t="n">
        <v>1</v>
      </c>
      <c r="E792" s="1" t="n">
        <v>1</v>
      </c>
      <c r="F792" s="3" t="s">
        <v>20</v>
      </c>
      <c r="G792" s="3" t="s">
        <v>3309</v>
      </c>
      <c r="H792" s="1" t="s">
        <v>22</v>
      </c>
      <c r="I792" s="1" t="n">
        <v>20240430085948</v>
      </c>
      <c r="J792" s="3" t="s">
        <v>3310</v>
      </c>
      <c r="K792" s="3" t="s">
        <v>3311</v>
      </c>
      <c r="L792" s="3" t="s">
        <v>3312</v>
      </c>
      <c r="M792" s="3" t="n">
        <v>889475</v>
      </c>
      <c r="N792" s="3" t="s">
        <v>854</v>
      </c>
      <c r="O792" s="1" t="n">
        <v>873089</v>
      </c>
      <c r="P792" s="1" t="n">
        <v>98.16</v>
      </c>
      <c r="Q792" s="1" t="s">
        <v>20</v>
      </c>
      <c r="R792" s="1" t="s">
        <v>27</v>
      </c>
      <c r="S792" s="1" t="s">
        <v>28</v>
      </c>
      <c r="T792" s="1" t="s">
        <v>29</v>
      </c>
    </row>
    <row r="793" customFormat="false" ht="18.7" hidden="false" customHeight="true" outlineLevel="0" collapsed="false">
      <c r="A793" s="1" t="n">
        <v>792</v>
      </c>
      <c r="B793" s="6" t="str">
        <f aca="false">HYPERLINK("https://mncourtfraud.com/file/MCRO_27-CR-20-13495_Notice of Remote Hearing with Instructions_2021-11-02_20240430085947.pdf","MCRO_27-CR-20-13495_Notice of Remote Hearing with Instructions_2021-11-02_20240430085947.pdf")</f>
        <v>MCRO_27-CR-20-13495_Notice of Remote Hearing with Instructions_2021-11-02_20240430085947.pdf</v>
      </c>
      <c r="C793" s="1" t="n">
        <v>5</v>
      </c>
      <c r="D793" s="1" t="n">
        <v>1</v>
      </c>
      <c r="E793" s="1" t="n">
        <v>1</v>
      </c>
      <c r="F793" s="3" t="s">
        <v>20</v>
      </c>
      <c r="G793" s="3" t="s">
        <v>3313</v>
      </c>
      <c r="H793" s="1" t="s">
        <v>22</v>
      </c>
      <c r="I793" s="1" t="n">
        <v>20240430085947</v>
      </c>
      <c r="J793" s="3" t="s">
        <v>3314</v>
      </c>
      <c r="K793" s="3" t="s">
        <v>3315</v>
      </c>
      <c r="L793" s="3" t="s">
        <v>3316</v>
      </c>
      <c r="M793" s="3" t="n">
        <v>854087</v>
      </c>
      <c r="N793" s="3" t="s">
        <v>510</v>
      </c>
      <c r="O793" s="1" t="n">
        <v>837701</v>
      </c>
      <c r="P793" s="1" t="n">
        <v>98.08</v>
      </c>
      <c r="Q793" s="1" t="s">
        <v>20</v>
      </c>
      <c r="R793" s="1" t="s">
        <v>27</v>
      </c>
      <c r="S793" s="1" t="s">
        <v>28</v>
      </c>
      <c r="T793" s="1" t="s">
        <v>29</v>
      </c>
    </row>
    <row r="794" customFormat="false" ht="18.7" hidden="false" customHeight="true" outlineLevel="0" collapsed="false">
      <c r="A794" s="1" t="n">
        <v>793</v>
      </c>
      <c r="B794" s="6" t="str">
        <f aca="false">HYPERLINK("https://mncourtfraud.com/file/MCRO_27-CR-20-13495_Notice of Remote Hearing with Instructions_2022-03-22_20240430085941.pdf","MCRO_27-CR-20-13495_Notice of Remote Hearing with Instructions_2022-03-22_20240430085941.pdf")</f>
        <v>MCRO_27-CR-20-13495_Notice of Remote Hearing with Instructions_2022-03-22_20240430085941.pdf</v>
      </c>
      <c r="C794" s="1" t="n">
        <v>5</v>
      </c>
      <c r="D794" s="1" t="n">
        <v>1</v>
      </c>
      <c r="E794" s="1" t="n">
        <v>1</v>
      </c>
      <c r="F794" s="3" t="s">
        <v>20</v>
      </c>
      <c r="G794" s="3" t="s">
        <v>3317</v>
      </c>
      <c r="H794" s="1" t="s">
        <v>22</v>
      </c>
      <c r="I794" s="1" t="n">
        <v>20240430085941</v>
      </c>
      <c r="J794" s="3" t="s">
        <v>3318</v>
      </c>
      <c r="K794" s="3" t="s">
        <v>3319</v>
      </c>
      <c r="L794" s="3" t="s">
        <v>3320</v>
      </c>
      <c r="M794" s="3" t="n">
        <v>889523</v>
      </c>
      <c r="N794" s="3" t="s">
        <v>854</v>
      </c>
      <c r="O794" s="1" t="n">
        <v>873137</v>
      </c>
      <c r="P794" s="1" t="n">
        <v>98.16</v>
      </c>
      <c r="Q794" s="1" t="s">
        <v>20</v>
      </c>
      <c r="R794" s="1" t="s">
        <v>27</v>
      </c>
      <c r="S794" s="1" t="s">
        <v>28</v>
      </c>
      <c r="T794" s="1" t="s">
        <v>29</v>
      </c>
    </row>
    <row r="795" customFormat="false" ht="18.7" hidden="false" customHeight="true" outlineLevel="0" collapsed="false">
      <c r="A795" s="1" t="n">
        <v>794</v>
      </c>
      <c r="B795" s="6" t="str">
        <f aca="false">HYPERLINK("https://mncourtfraud.com/file/MCRO_27-CR-20-13495_Notice of Remote Hearing with Instructions_2022-04-04_20240430085939.pdf","MCRO_27-CR-20-13495_Notice of Remote Hearing with Instructions_2022-04-04_20240430085939.pdf")</f>
        <v>MCRO_27-CR-20-13495_Notice of Remote Hearing with Instructions_2022-04-04_20240430085939.pdf</v>
      </c>
      <c r="C795" s="1" t="n">
        <v>4</v>
      </c>
      <c r="D795" s="1" t="n">
        <v>1</v>
      </c>
      <c r="E795" s="1" t="n">
        <v>1</v>
      </c>
      <c r="F795" s="3" t="s">
        <v>20</v>
      </c>
      <c r="G795" s="3" t="s">
        <v>3321</v>
      </c>
      <c r="H795" s="1" t="s">
        <v>22</v>
      </c>
      <c r="I795" s="1" t="n">
        <v>20240430085939</v>
      </c>
      <c r="J795" s="3" t="s">
        <v>3322</v>
      </c>
      <c r="K795" s="3" t="s">
        <v>3323</v>
      </c>
      <c r="L795" s="3" t="s">
        <v>3324</v>
      </c>
      <c r="M795" s="3" t="n">
        <v>139965</v>
      </c>
      <c r="N795" s="3" t="s">
        <v>2813</v>
      </c>
      <c r="O795" s="1" t="n">
        <v>123579</v>
      </c>
      <c r="P795" s="1" t="n">
        <v>88.29</v>
      </c>
      <c r="Q795" s="1" t="s">
        <v>20</v>
      </c>
      <c r="R795" s="1" t="s">
        <v>27</v>
      </c>
      <c r="S795" s="1" t="s">
        <v>28</v>
      </c>
      <c r="T795" s="1" t="s">
        <v>29</v>
      </c>
    </row>
    <row r="796" customFormat="false" ht="18.7" hidden="false" customHeight="true" outlineLevel="0" collapsed="false">
      <c r="A796" s="1" t="n">
        <v>795</v>
      </c>
      <c r="B796" s="6" t="str">
        <f aca="false">HYPERLINK("https://mncourtfraud.com/file/MCRO_27-CR-20-13495_Notice of Remote Hearing with Instructions_2022-04-12_20240430085934.pdf","MCRO_27-CR-20-13495_Notice of Remote Hearing with Instructions_2022-04-12_20240430085934.pdf")</f>
        <v>MCRO_27-CR-20-13495_Notice of Remote Hearing with Instructions_2022-04-12_20240430085934.pdf</v>
      </c>
      <c r="C796" s="1" t="n">
        <v>4</v>
      </c>
      <c r="D796" s="1" t="n">
        <v>1</v>
      </c>
      <c r="E796" s="1" t="n">
        <v>1</v>
      </c>
      <c r="F796" s="3" t="s">
        <v>20</v>
      </c>
      <c r="G796" s="3" t="s">
        <v>3325</v>
      </c>
      <c r="H796" s="1" t="s">
        <v>22</v>
      </c>
      <c r="I796" s="1" t="n">
        <v>20240430085934</v>
      </c>
      <c r="J796" s="3" t="s">
        <v>3326</v>
      </c>
      <c r="K796" s="3" t="s">
        <v>3327</v>
      </c>
      <c r="L796" s="3" t="s">
        <v>3328</v>
      </c>
      <c r="M796" s="3" t="n">
        <v>821734</v>
      </c>
      <c r="N796" s="3" t="s">
        <v>2818</v>
      </c>
      <c r="O796" s="1" t="n">
        <v>805348</v>
      </c>
      <c r="P796" s="1" t="n">
        <v>98.01</v>
      </c>
      <c r="Q796" s="1" t="s">
        <v>20</v>
      </c>
      <c r="R796" s="1" t="s">
        <v>27</v>
      </c>
      <c r="S796" s="1" t="s">
        <v>28</v>
      </c>
      <c r="T796" s="1" t="s">
        <v>29</v>
      </c>
    </row>
    <row r="797" customFormat="false" ht="18.7" hidden="false" customHeight="true" outlineLevel="0" collapsed="false">
      <c r="A797" s="1" t="n">
        <v>796</v>
      </c>
      <c r="B797" s="6" t="str">
        <f aca="false">HYPERLINK("https://mncourtfraud.com/file/MCRO_27-CR-20-13495_Notice of Remote Hearing with Instructions_2022-04-12_20240430085935.pdf","MCRO_27-CR-20-13495_Notice of Remote Hearing with Instructions_2022-04-12_20240430085935.pdf")</f>
        <v>MCRO_27-CR-20-13495_Notice of Remote Hearing with Instructions_2022-04-12_20240430085935.pdf</v>
      </c>
      <c r="C797" s="1" t="n">
        <v>4</v>
      </c>
      <c r="D797" s="1" t="n">
        <v>1</v>
      </c>
      <c r="E797" s="1" t="n">
        <v>1</v>
      </c>
      <c r="F797" s="3" t="s">
        <v>20</v>
      </c>
      <c r="G797" s="3" t="s">
        <v>3329</v>
      </c>
      <c r="H797" s="1" t="s">
        <v>22</v>
      </c>
      <c r="I797" s="1" t="n">
        <v>20240430085935</v>
      </c>
      <c r="J797" s="3" t="s">
        <v>3330</v>
      </c>
      <c r="K797" s="3" t="s">
        <v>3331</v>
      </c>
      <c r="L797" s="3" t="s">
        <v>3332</v>
      </c>
      <c r="M797" s="3" t="n">
        <v>821788</v>
      </c>
      <c r="N797" s="3" t="s">
        <v>2818</v>
      </c>
      <c r="O797" s="1" t="n">
        <v>805402</v>
      </c>
      <c r="P797" s="1" t="n">
        <v>98.01</v>
      </c>
      <c r="Q797" s="1" t="s">
        <v>20</v>
      </c>
      <c r="R797" s="1" t="s">
        <v>27</v>
      </c>
      <c r="S797" s="1" t="s">
        <v>28</v>
      </c>
      <c r="T797" s="1" t="s">
        <v>29</v>
      </c>
    </row>
    <row r="798" customFormat="false" ht="18.7" hidden="false" customHeight="true" outlineLevel="0" collapsed="false">
      <c r="A798" s="1" t="n">
        <v>797</v>
      </c>
      <c r="B798" s="6" t="str">
        <f aca="false">HYPERLINK("https://mncourtfraud.com/file/MCRO_27-CR-20-13495_Notice of Remote Hearing with Instructions_2022-04-26_20240430085930.pdf","MCRO_27-CR-20-13495_Notice of Remote Hearing with Instructions_2022-04-26_20240430085930.pdf")</f>
        <v>MCRO_27-CR-20-13495_Notice of Remote Hearing with Instructions_2022-04-26_20240430085930.pdf</v>
      </c>
      <c r="C798" s="1" t="n">
        <v>5</v>
      </c>
      <c r="D798" s="1" t="n">
        <v>1</v>
      </c>
      <c r="E798" s="1" t="n">
        <v>1</v>
      </c>
      <c r="F798" s="3" t="s">
        <v>20</v>
      </c>
      <c r="G798" s="3" t="s">
        <v>3333</v>
      </c>
      <c r="H798" s="1" t="s">
        <v>22</v>
      </c>
      <c r="I798" s="1" t="n">
        <v>20240430085930</v>
      </c>
      <c r="J798" s="3" t="s">
        <v>3334</v>
      </c>
      <c r="K798" s="3" t="s">
        <v>3335</v>
      </c>
      <c r="L798" s="3" t="s">
        <v>3336</v>
      </c>
      <c r="M798" s="3" t="n">
        <v>841499</v>
      </c>
      <c r="N798" s="3" t="s">
        <v>849</v>
      </c>
      <c r="O798" s="1" t="n">
        <v>825113</v>
      </c>
      <c r="P798" s="1" t="n">
        <v>98.05</v>
      </c>
      <c r="Q798" s="1" t="s">
        <v>20</v>
      </c>
      <c r="R798" s="1" t="s">
        <v>27</v>
      </c>
      <c r="S798" s="1" t="s">
        <v>28</v>
      </c>
      <c r="T798" s="1" t="s">
        <v>29</v>
      </c>
    </row>
    <row r="799" customFormat="false" ht="18.7" hidden="false" customHeight="true" outlineLevel="0" collapsed="false">
      <c r="A799" s="1" t="n">
        <v>798</v>
      </c>
      <c r="B799" s="6" t="str">
        <f aca="false">HYPERLINK("https://mncourtfraud.com/file/MCRO_27-CR-20-13495_Notice of Remote Hearing with Instructions_2022-04-26_20240430085931.pdf","MCRO_27-CR-20-13495_Notice of Remote Hearing with Instructions_2022-04-26_20240430085931.pdf")</f>
        <v>MCRO_27-CR-20-13495_Notice of Remote Hearing with Instructions_2022-04-26_20240430085931.pdf</v>
      </c>
      <c r="C799" s="1" t="n">
        <v>5</v>
      </c>
      <c r="D799" s="1" t="n">
        <v>1</v>
      </c>
      <c r="E799" s="1" t="n">
        <v>1</v>
      </c>
      <c r="F799" s="3" t="s">
        <v>20</v>
      </c>
      <c r="G799" s="3" t="s">
        <v>3337</v>
      </c>
      <c r="H799" s="1" t="s">
        <v>22</v>
      </c>
      <c r="I799" s="1" t="n">
        <v>20240430085931</v>
      </c>
      <c r="J799" s="3" t="s">
        <v>3338</v>
      </c>
      <c r="K799" s="3" t="s">
        <v>3339</v>
      </c>
      <c r="L799" s="3" t="s">
        <v>2830</v>
      </c>
      <c r="M799" s="3" t="n">
        <v>380356</v>
      </c>
      <c r="N799" s="3" t="s">
        <v>26</v>
      </c>
      <c r="O799" s="1" t="n">
        <v>363970</v>
      </c>
      <c r="P799" s="1" t="n">
        <v>95.69</v>
      </c>
      <c r="Q799" s="1" t="s">
        <v>20</v>
      </c>
      <c r="R799" s="1" t="s">
        <v>27</v>
      </c>
      <c r="S799" s="1" t="s">
        <v>28</v>
      </c>
      <c r="T799" s="1" t="s">
        <v>29</v>
      </c>
    </row>
    <row r="800" customFormat="false" ht="18.7" hidden="false" customHeight="true" outlineLevel="0" collapsed="false">
      <c r="A800" s="1" t="n">
        <v>799</v>
      </c>
      <c r="B800" s="6" t="str">
        <f aca="false">HYPERLINK("https://mncourtfraud.com/file/MCRO_27-CR-20-13495_Notice of Remote Hearing with Instructions_2022-05-02_20240430085929.pdf","MCRO_27-CR-20-13495_Notice of Remote Hearing with Instructions_2022-05-02_20240430085929.pdf")</f>
        <v>MCRO_27-CR-20-13495_Notice of Remote Hearing with Instructions_2022-05-02_20240430085929.pdf</v>
      </c>
      <c r="C800" s="1" t="n">
        <v>4</v>
      </c>
      <c r="D800" s="1" t="n">
        <v>1</v>
      </c>
      <c r="E800" s="1" t="n">
        <v>1</v>
      </c>
      <c r="F800" s="3" t="s">
        <v>20</v>
      </c>
      <c r="G800" s="3" t="s">
        <v>3340</v>
      </c>
      <c r="H800" s="1" t="s">
        <v>22</v>
      </c>
      <c r="I800" s="1" t="n">
        <v>20240430085929</v>
      </c>
      <c r="J800" s="3" t="s">
        <v>3341</v>
      </c>
      <c r="K800" s="3" t="s">
        <v>3342</v>
      </c>
      <c r="L800" s="3" t="s">
        <v>3343</v>
      </c>
      <c r="M800" s="3" t="n">
        <v>778746</v>
      </c>
      <c r="N800" s="3" t="s">
        <v>1065</v>
      </c>
      <c r="O800" s="1" t="n">
        <v>762360</v>
      </c>
      <c r="P800" s="1" t="n">
        <v>97.9</v>
      </c>
      <c r="Q800" s="1" t="s">
        <v>20</v>
      </c>
      <c r="R800" s="1" t="s">
        <v>27</v>
      </c>
      <c r="S800" s="1" t="s">
        <v>28</v>
      </c>
      <c r="T800" s="1" t="s">
        <v>29</v>
      </c>
    </row>
    <row r="801" customFormat="false" ht="18.7" hidden="false" customHeight="true" outlineLevel="0" collapsed="false">
      <c r="A801" s="1" t="n">
        <v>800</v>
      </c>
      <c r="B801" s="6" t="str">
        <f aca="false">HYPERLINK("https://mncourtfraud.com/file/MCRO_27-CR-20-13495_Notice of Remote Hearing with Instructions_2022-05-05_20240430085928.pdf","MCRO_27-CR-20-13495_Notice of Remote Hearing with Instructions_2022-05-05_20240430085928.pdf")</f>
        <v>MCRO_27-CR-20-13495_Notice of Remote Hearing with Instructions_2022-05-05_20240430085928.pdf</v>
      </c>
      <c r="C801" s="1" t="n">
        <v>5</v>
      </c>
      <c r="D801" s="1" t="n">
        <v>1</v>
      </c>
      <c r="E801" s="1" t="n">
        <v>1</v>
      </c>
      <c r="F801" s="3" t="s">
        <v>20</v>
      </c>
      <c r="G801" s="3" t="s">
        <v>3344</v>
      </c>
      <c r="H801" s="1" t="s">
        <v>22</v>
      </c>
      <c r="I801" s="1" t="n">
        <v>20240430085928</v>
      </c>
      <c r="J801" s="3" t="s">
        <v>3345</v>
      </c>
      <c r="K801" s="3" t="s">
        <v>3346</v>
      </c>
      <c r="L801" s="3" t="s">
        <v>3347</v>
      </c>
      <c r="M801" s="3" t="n">
        <v>367799</v>
      </c>
      <c r="N801" s="3" t="s">
        <v>2839</v>
      </c>
      <c r="O801" s="1" t="n">
        <v>351413</v>
      </c>
      <c r="P801" s="1" t="n">
        <v>95.54</v>
      </c>
      <c r="Q801" s="1" t="s">
        <v>20</v>
      </c>
      <c r="R801" s="1" t="s">
        <v>27</v>
      </c>
      <c r="S801" s="1" t="s">
        <v>28</v>
      </c>
      <c r="T801" s="1" t="s">
        <v>29</v>
      </c>
    </row>
    <row r="802" customFormat="false" ht="18.7" hidden="false" customHeight="true" outlineLevel="0" collapsed="false">
      <c r="A802" s="1" t="n">
        <v>801</v>
      </c>
      <c r="B802" s="6" t="str">
        <f aca="false">HYPERLINK("https://mncourtfraud.com/file/MCRO_27-CR-20-13495_Notice of Remote Hearing with Instructions_2022-05-09_20240430085923.pdf","MCRO_27-CR-20-13495_Notice of Remote Hearing with Instructions_2022-05-09_20240430085923.pdf")</f>
        <v>MCRO_27-CR-20-13495_Notice of Remote Hearing with Instructions_2022-05-09_20240430085923.pdf</v>
      </c>
      <c r="C802" s="1" t="n">
        <v>5</v>
      </c>
      <c r="D802" s="1" t="n">
        <v>1</v>
      </c>
      <c r="E802" s="1" t="n">
        <v>1</v>
      </c>
      <c r="F802" s="3" t="s">
        <v>20</v>
      </c>
      <c r="G802" s="3" t="s">
        <v>3348</v>
      </c>
      <c r="H802" s="1" t="s">
        <v>22</v>
      </c>
      <c r="I802" s="1" t="n">
        <v>20240430085923</v>
      </c>
      <c r="J802" s="3" t="s">
        <v>3349</v>
      </c>
      <c r="K802" s="3" t="s">
        <v>3350</v>
      </c>
      <c r="L802" s="3" t="s">
        <v>3351</v>
      </c>
      <c r="M802" s="3" t="n">
        <v>840266</v>
      </c>
      <c r="N802" s="3" t="s">
        <v>849</v>
      </c>
      <c r="O802" s="1" t="n">
        <v>823880</v>
      </c>
      <c r="P802" s="1" t="n">
        <v>98.05</v>
      </c>
      <c r="Q802" s="1" t="s">
        <v>20</v>
      </c>
      <c r="R802" s="1" t="s">
        <v>27</v>
      </c>
      <c r="S802" s="1" t="s">
        <v>28</v>
      </c>
      <c r="T802" s="1" t="s">
        <v>29</v>
      </c>
    </row>
    <row r="803" customFormat="false" ht="18.7" hidden="false" customHeight="true" outlineLevel="0" collapsed="false">
      <c r="A803" s="1" t="n">
        <v>802</v>
      </c>
      <c r="B803" s="6" t="str">
        <f aca="false">HYPERLINK("https://mncourtfraud.com/file/MCRO_27-CR-20-13495_Notice of Remote Hearing with Instructions_2022-05-09_20240430085925.pdf","MCRO_27-CR-20-13495_Notice of Remote Hearing with Instructions_2022-05-09_20240430085925.pdf")</f>
        <v>MCRO_27-CR-20-13495_Notice of Remote Hearing with Instructions_2022-05-09_20240430085925.pdf</v>
      </c>
      <c r="C803" s="1" t="n">
        <v>5</v>
      </c>
      <c r="D803" s="1" t="n">
        <v>1</v>
      </c>
      <c r="E803" s="1" t="n">
        <v>1</v>
      </c>
      <c r="F803" s="3" t="s">
        <v>20</v>
      </c>
      <c r="G803" s="3" t="s">
        <v>3352</v>
      </c>
      <c r="H803" s="1" t="s">
        <v>22</v>
      </c>
      <c r="I803" s="1" t="n">
        <v>20240430085925</v>
      </c>
      <c r="J803" s="3" t="s">
        <v>3353</v>
      </c>
      <c r="K803" s="3" t="s">
        <v>3354</v>
      </c>
      <c r="L803" s="3" t="s">
        <v>3355</v>
      </c>
      <c r="M803" s="3" t="n">
        <v>840174</v>
      </c>
      <c r="N803" s="3" t="s">
        <v>849</v>
      </c>
      <c r="O803" s="1" t="n">
        <v>823788</v>
      </c>
      <c r="P803" s="1" t="n">
        <v>98.05</v>
      </c>
      <c r="Q803" s="1" t="s">
        <v>20</v>
      </c>
      <c r="R803" s="1" t="s">
        <v>27</v>
      </c>
      <c r="S803" s="1" t="s">
        <v>28</v>
      </c>
      <c r="T803" s="1" t="s">
        <v>29</v>
      </c>
    </row>
    <row r="804" customFormat="false" ht="18.7" hidden="false" customHeight="true" outlineLevel="0" collapsed="false">
      <c r="A804" s="1" t="n">
        <v>803</v>
      </c>
      <c r="B804" s="6" t="str">
        <f aca="false">HYPERLINK("https://mncourtfraud.com/file/MCRO_27-CR-20-13495_Notice of Remote Hearing with Instructions_2023-09-12_20240430085917.pdf","MCRO_27-CR-20-13495_Notice of Remote Hearing with Instructions_2023-09-12_20240430085917.pdf")</f>
        <v>MCRO_27-CR-20-13495_Notice of Remote Hearing with Instructions_2023-09-12_20240430085917.pdf</v>
      </c>
      <c r="C804" s="1" t="n">
        <v>5</v>
      </c>
      <c r="D804" s="1" t="n">
        <v>1</v>
      </c>
      <c r="E804" s="1" t="n">
        <v>1</v>
      </c>
      <c r="F804" s="3" t="s">
        <v>20</v>
      </c>
      <c r="G804" s="3" t="s">
        <v>3356</v>
      </c>
      <c r="H804" s="1" t="s">
        <v>22</v>
      </c>
      <c r="I804" s="1" t="n">
        <v>20240430085917</v>
      </c>
      <c r="J804" s="3" t="s">
        <v>3357</v>
      </c>
      <c r="K804" s="3" t="s">
        <v>3358</v>
      </c>
      <c r="L804" s="3" t="s">
        <v>3359</v>
      </c>
      <c r="M804" s="3" t="n">
        <v>845653</v>
      </c>
      <c r="N804" s="3" t="s">
        <v>2852</v>
      </c>
      <c r="O804" s="1" t="n">
        <v>829267</v>
      </c>
      <c r="P804" s="1" t="n">
        <v>98.06</v>
      </c>
      <c r="Q804" s="1" t="s">
        <v>20</v>
      </c>
      <c r="R804" s="1" t="s">
        <v>27</v>
      </c>
      <c r="S804" s="1" t="s">
        <v>28</v>
      </c>
      <c r="T804" s="1" t="s">
        <v>29</v>
      </c>
    </row>
    <row r="805" customFormat="false" ht="18.7" hidden="false" customHeight="true" outlineLevel="0" collapsed="false">
      <c r="A805" s="1" t="n">
        <v>804</v>
      </c>
      <c r="B805" s="6" t="str">
        <f aca="false">HYPERLINK("https://mncourtfraud.com/file/MCRO_27-CR-20-13495_Notice-Other_2021-10-26_20240430085951.pdf","MCRO_27-CR-20-13495_Notice-Other_2021-10-26_20240430085951.pdf")</f>
        <v>MCRO_27-CR-20-13495_Notice-Other_2021-10-26_20240430085951.pdf</v>
      </c>
      <c r="C805" s="1" t="n">
        <v>5</v>
      </c>
      <c r="D805" s="1" t="n">
        <v>1</v>
      </c>
      <c r="E805" s="1" t="n">
        <v>1</v>
      </c>
      <c r="F805" s="3" t="s">
        <v>20</v>
      </c>
      <c r="G805" s="3" t="s">
        <v>3360</v>
      </c>
      <c r="H805" s="1" t="s">
        <v>22</v>
      </c>
      <c r="I805" s="1" t="n">
        <v>20240430085951</v>
      </c>
      <c r="J805" s="3" t="s">
        <v>3361</v>
      </c>
      <c r="K805" s="3" t="s">
        <v>3362</v>
      </c>
      <c r="L805" s="3" t="s">
        <v>3363</v>
      </c>
      <c r="M805" s="3" t="n">
        <v>711941</v>
      </c>
      <c r="N805" s="3" t="s">
        <v>3364</v>
      </c>
      <c r="O805" s="1" t="n">
        <v>695555</v>
      </c>
      <c r="P805" s="1" t="n">
        <v>97.7</v>
      </c>
      <c r="Q805" s="1" t="s">
        <v>20</v>
      </c>
      <c r="R805" s="1" t="s">
        <v>27</v>
      </c>
      <c r="S805" s="1" t="s">
        <v>28</v>
      </c>
      <c r="T805" s="1" t="s">
        <v>29</v>
      </c>
    </row>
    <row r="806" customFormat="false" ht="18.7" hidden="false" customHeight="true" outlineLevel="0" collapsed="false">
      <c r="A806" s="1" t="n">
        <v>805</v>
      </c>
      <c r="B806" s="6" t="str">
        <f aca="false">HYPERLINK("https://mncourtfraud.com/file/MCRO_27-CR-20-13495_Order-Evaluation for Competency to Proceed (Rule 20.01)_2022-05-09_20240430085926.pdf","MCRO_27-CR-20-13495_Order-Evaluation for Competency to Proceed (Rule 20.01)_2022-05-09_20240430085926.pdf")</f>
        <v>MCRO_27-CR-20-13495_Order-Evaluation for Competency to Proceed (Rule 20.01)_2022-05-09_20240430085926.pdf</v>
      </c>
      <c r="C806" s="1" t="n">
        <v>4</v>
      </c>
      <c r="D806" s="1" t="n">
        <v>1</v>
      </c>
      <c r="E806" s="1" t="n">
        <v>1</v>
      </c>
      <c r="F806" s="3" t="s">
        <v>20</v>
      </c>
      <c r="G806" s="3" t="s">
        <v>3365</v>
      </c>
      <c r="H806" s="1" t="s">
        <v>22</v>
      </c>
      <c r="I806" s="1" t="n">
        <v>20240430085926</v>
      </c>
      <c r="J806" s="3" t="s">
        <v>3366</v>
      </c>
      <c r="K806" s="3" t="s">
        <v>3367</v>
      </c>
      <c r="L806" s="3" t="s">
        <v>3368</v>
      </c>
      <c r="M806" s="3" t="n">
        <v>3053428</v>
      </c>
      <c r="N806" s="3" t="s">
        <v>2861</v>
      </c>
      <c r="O806" s="1" t="n">
        <v>3037042</v>
      </c>
      <c r="P806" s="1" t="n">
        <v>99.46</v>
      </c>
      <c r="Q806" s="1" t="s">
        <v>20</v>
      </c>
      <c r="R806" s="1" t="s">
        <v>27</v>
      </c>
      <c r="S806" s="1" t="s">
        <v>28</v>
      </c>
      <c r="T806" s="1" t="s">
        <v>29</v>
      </c>
    </row>
    <row r="807" customFormat="false" ht="18.7" hidden="false" customHeight="true" outlineLevel="0" collapsed="false">
      <c r="A807" s="1" t="n">
        <v>806</v>
      </c>
      <c r="B807" s="6" t="str">
        <f aca="false">HYPERLINK("https://mncourtfraud.com/file/MCRO_27-CR-20-13495_Order-Evaluation for Competency to Proceed (Rule 20.01)_2022-11-23_20240430085920.pdf","MCRO_27-CR-20-13495_Order-Evaluation for Competency to Proceed (Rule 20.01)_2022-11-23_20240430085920.pdf")</f>
        <v>MCRO_27-CR-20-13495_Order-Evaluation for Competency to Proceed (Rule 20.01)_2022-11-23_20240430085920.pdf</v>
      </c>
      <c r="C807" s="1" t="n">
        <v>3</v>
      </c>
      <c r="D807" s="1" t="n">
        <v>1</v>
      </c>
      <c r="E807" s="1" t="n">
        <v>1</v>
      </c>
      <c r="F807" s="3" t="s">
        <v>20</v>
      </c>
      <c r="G807" s="3" t="s">
        <v>3369</v>
      </c>
      <c r="H807" s="1" t="s">
        <v>22</v>
      </c>
      <c r="I807" s="1" t="n">
        <v>20240430085920</v>
      </c>
      <c r="J807" s="3" t="s">
        <v>3370</v>
      </c>
      <c r="K807" s="3" t="s">
        <v>3371</v>
      </c>
      <c r="L807" s="3" t="s">
        <v>3372</v>
      </c>
      <c r="M807" s="3" t="n">
        <v>810761</v>
      </c>
      <c r="N807" s="3" t="s">
        <v>2520</v>
      </c>
      <c r="O807" s="1" t="n">
        <v>794375</v>
      </c>
      <c r="P807" s="1" t="n">
        <v>97.98</v>
      </c>
      <c r="Q807" s="1" t="s">
        <v>20</v>
      </c>
      <c r="R807" s="1" t="s">
        <v>27</v>
      </c>
      <c r="S807" s="1" t="s">
        <v>28</v>
      </c>
      <c r="T807" s="1" t="s">
        <v>29</v>
      </c>
    </row>
    <row r="808" customFormat="false" ht="18.7" hidden="false" customHeight="true" outlineLevel="0" collapsed="false">
      <c r="A808" s="1" t="n">
        <v>807</v>
      </c>
      <c r="B808" s="6" t="str">
        <f aca="false">HYPERLINK("https://mncourtfraud.com/file/MCRO_27-CR-20-13495_Order-Evaluation for Competency to Proceed (Rule 20.01)_2022-11-28_20240430085919.pdf","MCRO_27-CR-20-13495_Order-Evaluation for Competency to Proceed (Rule 20.01)_2022-11-28_20240430085919.pdf")</f>
        <v>MCRO_27-CR-20-13495_Order-Evaluation for Competency to Proceed (Rule 20.01)_2022-11-28_20240430085919.pdf</v>
      </c>
      <c r="C808" s="1" t="n">
        <v>3</v>
      </c>
      <c r="D808" s="1" t="n">
        <v>1</v>
      </c>
      <c r="E808" s="1" t="n">
        <v>1</v>
      </c>
      <c r="F808" s="3" t="s">
        <v>20</v>
      </c>
      <c r="G808" s="3" t="s">
        <v>3373</v>
      </c>
      <c r="H808" s="1" t="s">
        <v>22</v>
      </c>
      <c r="I808" s="1" t="n">
        <v>20240430085919</v>
      </c>
      <c r="J808" s="3" t="s">
        <v>3374</v>
      </c>
      <c r="K808" s="3" t="s">
        <v>3375</v>
      </c>
      <c r="L808" s="3" t="s">
        <v>3376</v>
      </c>
      <c r="M808" s="3" t="n">
        <v>852698</v>
      </c>
      <c r="N808" s="3" t="s">
        <v>2870</v>
      </c>
      <c r="O808" s="1" t="n">
        <v>836312</v>
      </c>
      <c r="P808" s="1" t="n">
        <v>98.08</v>
      </c>
      <c r="Q808" s="1" t="s">
        <v>20</v>
      </c>
      <c r="R808" s="1" t="s">
        <v>27</v>
      </c>
      <c r="S808" s="1" t="s">
        <v>28</v>
      </c>
      <c r="T808" s="1" t="s">
        <v>29</v>
      </c>
    </row>
    <row r="809" customFormat="false" ht="18.7" hidden="false" customHeight="true" outlineLevel="0" collapsed="false">
      <c r="A809" s="1" t="n">
        <v>808</v>
      </c>
      <c r="B809" s="6" t="str">
        <f aca="false">HYPERLINK("https://mncourtfraud.com/file/MCRO_27-CR-20-13495_Order for Conditional Release_2021-10-25_20240430085959.pdf","MCRO_27-CR-20-13495_Order for Conditional Release_2021-10-25_20240430085959.pdf")</f>
        <v>MCRO_27-CR-20-13495_Order for Conditional Release_2021-10-25_20240430085959.pdf</v>
      </c>
      <c r="C809" s="1" t="n">
        <v>4</v>
      </c>
      <c r="D809" s="1" t="n">
        <v>1</v>
      </c>
      <c r="E809" s="1" t="n">
        <v>1</v>
      </c>
      <c r="F809" s="3" t="s">
        <v>20</v>
      </c>
      <c r="G809" s="3" t="s">
        <v>3377</v>
      </c>
      <c r="H809" s="1" t="s">
        <v>22</v>
      </c>
      <c r="I809" s="1" t="n">
        <v>20240430085959</v>
      </c>
      <c r="J809" s="3" t="s">
        <v>3378</v>
      </c>
      <c r="K809" s="3" t="s">
        <v>3379</v>
      </c>
      <c r="L809" s="3" t="s">
        <v>3380</v>
      </c>
      <c r="M809" s="3" t="n">
        <v>134820</v>
      </c>
      <c r="N809" s="3" t="s">
        <v>456</v>
      </c>
      <c r="O809" s="1" t="n">
        <v>118434</v>
      </c>
      <c r="P809" s="1" t="n">
        <v>87.85</v>
      </c>
      <c r="Q809" s="1" t="s">
        <v>20</v>
      </c>
      <c r="R809" s="1" t="s">
        <v>27</v>
      </c>
      <c r="S809" s="1" t="s">
        <v>28</v>
      </c>
      <c r="T809" s="1" t="s">
        <v>29</v>
      </c>
    </row>
    <row r="810" customFormat="false" ht="18.7" hidden="false" customHeight="true" outlineLevel="0" collapsed="false">
      <c r="A810" s="1" t="n">
        <v>809</v>
      </c>
      <c r="B810" s="6" t="str">
        <f aca="false">HYPERLINK("https://mncourtfraud.com/file/MCRO_27-CR-20-13495_Order for Conditional Release_2022-04-12_20240430085933.pdf","MCRO_27-CR-20-13495_Order for Conditional Release_2022-04-12_20240430085933.pdf")</f>
        <v>MCRO_27-CR-20-13495_Order for Conditional Release_2022-04-12_20240430085933.pdf</v>
      </c>
      <c r="C810" s="1" t="n">
        <v>4</v>
      </c>
      <c r="D810" s="1" t="n">
        <v>1</v>
      </c>
      <c r="E810" s="1" t="n">
        <v>1</v>
      </c>
      <c r="F810" s="3" t="s">
        <v>20</v>
      </c>
      <c r="G810" s="3" t="s">
        <v>3381</v>
      </c>
      <c r="H810" s="1" t="s">
        <v>22</v>
      </c>
      <c r="I810" s="1" t="n">
        <v>20240430085933</v>
      </c>
      <c r="J810" s="3" t="s">
        <v>3382</v>
      </c>
      <c r="K810" s="3" t="s">
        <v>3383</v>
      </c>
      <c r="L810" s="3" t="s">
        <v>3384</v>
      </c>
      <c r="M810" s="3" t="n">
        <v>739233</v>
      </c>
      <c r="N810" s="3" t="s">
        <v>3385</v>
      </c>
      <c r="O810" s="1" t="n">
        <v>722847</v>
      </c>
      <c r="P810" s="1" t="n">
        <v>97.78</v>
      </c>
      <c r="Q810" s="1" t="s">
        <v>20</v>
      </c>
      <c r="R810" s="1" t="s">
        <v>27</v>
      </c>
      <c r="S810" s="1" t="s">
        <v>28</v>
      </c>
      <c r="T810" s="1" t="s">
        <v>29</v>
      </c>
    </row>
    <row r="811" customFormat="false" ht="18.7" hidden="false" customHeight="true" outlineLevel="0" collapsed="false">
      <c r="A811" s="1" t="n">
        <v>810</v>
      </c>
      <c r="B811" s="6" t="str">
        <f aca="false">HYPERLINK("https://mncourtfraud.com/file/MCRO_27-CR-20-13495_Order Forfeiting Cash Bond or Surety Bond_2021-09-09_20240430090001.pdf","MCRO_27-CR-20-13495_Order Forfeiting Cash Bond or Surety Bond_2021-09-09_20240430090001.pdf")</f>
        <v>MCRO_27-CR-20-13495_Order Forfeiting Cash Bond or Surety Bond_2021-09-09_20240430090001.pdf</v>
      </c>
      <c r="C811" s="1" t="n">
        <v>5</v>
      </c>
      <c r="D811" s="1" t="n">
        <v>1</v>
      </c>
      <c r="E811" s="1" t="n">
        <v>1</v>
      </c>
      <c r="F811" s="3" t="s">
        <v>20</v>
      </c>
      <c r="G811" s="3" t="s">
        <v>3386</v>
      </c>
      <c r="H811" s="1" t="s">
        <v>22</v>
      </c>
      <c r="I811" s="1" t="n">
        <v>20240430090001</v>
      </c>
      <c r="J811" s="3" t="s">
        <v>3387</v>
      </c>
      <c r="K811" s="3" t="s">
        <v>3388</v>
      </c>
      <c r="L811" s="3" t="s">
        <v>3389</v>
      </c>
      <c r="M811" s="3" t="n">
        <v>193204</v>
      </c>
      <c r="N811" s="3" t="s">
        <v>1673</v>
      </c>
      <c r="O811" s="1" t="n">
        <v>176818</v>
      </c>
      <c r="P811" s="1" t="n">
        <v>91.52</v>
      </c>
      <c r="Q811" s="1" t="s">
        <v>20</v>
      </c>
      <c r="R811" s="1" t="s">
        <v>27</v>
      </c>
      <c r="S811" s="1" t="s">
        <v>28</v>
      </c>
      <c r="T811" s="1" t="s">
        <v>29</v>
      </c>
    </row>
    <row r="812" customFormat="false" ht="18.7" hidden="false" customHeight="true" outlineLevel="0" collapsed="false">
      <c r="A812" s="1" t="n">
        <v>811</v>
      </c>
      <c r="B812" s="6" t="str">
        <f aca="false">HYPERLINK("https://mncourtfraud.com/file/MCRO_27-CR-20-13495_Order-Other_2021-10-27_20240430085950.pdf","MCRO_27-CR-20-13495_Order-Other_2021-10-27_20240430085950.pdf")</f>
        <v>MCRO_27-CR-20-13495_Order-Other_2021-10-27_20240430085950.pdf</v>
      </c>
      <c r="C812" s="1" t="n">
        <v>6</v>
      </c>
      <c r="D812" s="1" t="n">
        <v>5</v>
      </c>
      <c r="E812" s="1" t="n">
        <v>5</v>
      </c>
      <c r="F812" s="3" t="s">
        <v>20</v>
      </c>
      <c r="G812" s="3" t="s">
        <v>3390</v>
      </c>
      <c r="H812" s="1" t="s">
        <v>22</v>
      </c>
      <c r="I812" s="1" t="n">
        <v>20240430085950</v>
      </c>
      <c r="J812" s="3" t="s">
        <v>3391</v>
      </c>
      <c r="K812" s="3" t="s">
        <v>3392</v>
      </c>
      <c r="L812" s="3" t="s">
        <v>3393</v>
      </c>
      <c r="M812" s="3" t="n">
        <v>273518</v>
      </c>
      <c r="N812" s="3" t="s">
        <v>973</v>
      </c>
      <c r="O812" s="1" t="n">
        <v>257132</v>
      </c>
      <c r="P812" s="1" t="n">
        <v>94.01</v>
      </c>
      <c r="Q812" s="1" t="s">
        <v>20</v>
      </c>
      <c r="R812" s="1" t="s">
        <v>27</v>
      </c>
      <c r="S812" s="1" t="s">
        <v>28</v>
      </c>
      <c r="T812" s="1" t="s">
        <v>29</v>
      </c>
    </row>
    <row r="813" customFormat="false" ht="18.7" hidden="false" customHeight="true" outlineLevel="0" collapsed="false">
      <c r="A813" s="1" t="n">
        <v>812</v>
      </c>
      <c r="B813" s="6" t="str">
        <f aca="false">HYPERLINK("https://mncourtfraud.com/file/MCRO_27-CR-20-13495_Order-Other_2022-05-09_20240430085927.pdf","MCRO_27-CR-20-13495_Order-Other_2022-05-09_20240430085927.pdf")</f>
        <v>MCRO_27-CR-20-13495_Order-Other_2022-05-09_20240430085927.pdf</v>
      </c>
      <c r="C813" s="1" t="n">
        <v>5</v>
      </c>
      <c r="D813" s="1" t="n">
        <v>5</v>
      </c>
      <c r="E813" s="1" t="n">
        <v>5</v>
      </c>
      <c r="F813" s="3" t="s">
        <v>20</v>
      </c>
      <c r="G813" s="3" t="s">
        <v>3394</v>
      </c>
      <c r="H813" s="1" t="s">
        <v>22</v>
      </c>
      <c r="I813" s="1" t="n">
        <v>20240430085927</v>
      </c>
      <c r="J813" s="3" t="s">
        <v>3366</v>
      </c>
      <c r="K813" s="3" t="s">
        <v>3367</v>
      </c>
      <c r="L813" s="3" t="s">
        <v>3395</v>
      </c>
      <c r="M813" s="3" t="n">
        <v>378071</v>
      </c>
      <c r="N813" s="3" t="s">
        <v>2322</v>
      </c>
      <c r="O813" s="1" t="n">
        <v>361685</v>
      </c>
      <c r="P813" s="1" t="n">
        <v>95.67</v>
      </c>
      <c r="Q813" s="1" t="s">
        <v>20</v>
      </c>
      <c r="R813" s="1" t="s">
        <v>27</v>
      </c>
      <c r="S813" s="1" t="s">
        <v>28</v>
      </c>
      <c r="T813" s="1" t="s">
        <v>29</v>
      </c>
    </row>
    <row r="814" customFormat="false" ht="18.7" hidden="false" customHeight="true" outlineLevel="0" collapsed="false">
      <c r="A814" s="1" t="n">
        <v>813</v>
      </c>
      <c r="B814" s="6" t="str">
        <f aca="false">HYPERLINK("https://mncourtfraud.com/file/MCRO_27-CR-20-13495_Order-Other_2023-11-29_20240430085912.pdf","MCRO_27-CR-20-13495_Order-Other_2023-11-29_20240430085912.pdf")</f>
        <v>MCRO_27-CR-20-13495_Order-Other_2023-11-29_20240430085912.pdf</v>
      </c>
      <c r="C814" s="1" t="n">
        <v>4</v>
      </c>
      <c r="D814" s="1" t="n">
        <v>1</v>
      </c>
      <c r="E814" s="1" t="n">
        <v>1</v>
      </c>
      <c r="F814" s="3" t="s">
        <v>20</v>
      </c>
      <c r="G814" s="3" t="s">
        <v>3396</v>
      </c>
      <c r="H814" s="1" t="s">
        <v>22</v>
      </c>
      <c r="I814" s="1" t="n">
        <v>20240430085912</v>
      </c>
      <c r="J814" s="3" t="s">
        <v>3397</v>
      </c>
      <c r="K814" s="3" t="s">
        <v>3398</v>
      </c>
      <c r="L814" s="3" t="s">
        <v>3399</v>
      </c>
      <c r="M814" s="3" t="n">
        <v>269061</v>
      </c>
      <c r="N814" s="3" t="s">
        <v>1273</v>
      </c>
      <c r="O814" s="1" t="n">
        <v>252675</v>
      </c>
      <c r="P814" s="1" t="n">
        <v>93.91</v>
      </c>
      <c r="Q814" s="1" t="s">
        <v>20</v>
      </c>
      <c r="R814" s="1" t="s">
        <v>27</v>
      </c>
      <c r="S814" s="1" t="s">
        <v>28</v>
      </c>
      <c r="T814" s="1" t="s">
        <v>29</v>
      </c>
    </row>
    <row r="815" customFormat="false" ht="18.7" hidden="false" customHeight="true" outlineLevel="0" collapsed="false">
      <c r="A815" s="1" t="n">
        <v>814</v>
      </c>
      <c r="B815" s="6" t="str">
        <f aca="false">HYPERLINK("https://mncourtfraud.com/file/MCRO_27-CR-20-13495_Order Reinstating Forfeited Cash or Surety Bond_2021-11-19_20240430085946.pdf","MCRO_27-CR-20-13495_Order Reinstating Forfeited Cash or Surety Bond_2021-11-19_20240430085946.pdf")</f>
        <v>MCRO_27-CR-20-13495_Order Reinstating Forfeited Cash or Surety Bond_2021-11-19_20240430085946.pdf</v>
      </c>
      <c r="C815" s="1" t="n">
        <v>6</v>
      </c>
      <c r="D815" s="1" t="n">
        <v>6</v>
      </c>
      <c r="E815" s="1" t="n">
        <v>6</v>
      </c>
      <c r="F815" s="3" t="s">
        <v>20</v>
      </c>
      <c r="G815" s="3" t="s">
        <v>3400</v>
      </c>
      <c r="H815" s="1" t="s">
        <v>22</v>
      </c>
      <c r="I815" s="1" t="n">
        <v>20240430085946</v>
      </c>
      <c r="J815" s="3" t="s">
        <v>3401</v>
      </c>
      <c r="K815" s="3" t="s">
        <v>3402</v>
      </c>
      <c r="L815" s="3" t="s">
        <v>3403</v>
      </c>
      <c r="M815" s="3" t="n">
        <v>279231</v>
      </c>
      <c r="N815" s="3" t="s">
        <v>3404</v>
      </c>
      <c r="O815" s="1" t="n">
        <v>262845</v>
      </c>
      <c r="P815" s="1" t="n">
        <v>94.13</v>
      </c>
      <c r="Q815" s="1" t="s">
        <v>20</v>
      </c>
      <c r="R815" s="1" t="s">
        <v>27</v>
      </c>
      <c r="S815" s="1" t="s">
        <v>28</v>
      </c>
      <c r="T815" s="1" t="s">
        <v>29</v>
      </c>
    </row>
    <row r="816" customFormat="false" ht="18.7" hidden="false" customHeight="true" outlineLevel="0" collapsed="false">
      <c r="A816" s="1" t="n">
        <v>815</v>
      </c>
      <c r="B816" s="6" t="str">
        <f aca="false">HYPERLINK("https://mncourtfraud.com/file/MCRO_27-CR-20-13495_Order Revoking Interim Conditions of Release_2022-03-03_20240430085942.pdf","MCRO_27-CR-20-13495_Order Revoking Interim Conditions of Release_2022-03-03_20240430085942.pdf")</f>
        <v>MCRO_27-CR-20-13495_Order Revoking Interim Conditions of Release_2022-03-03_20240430085942.pdf</v>
      </c>
      <c r="C816" s="1" t="n">
        <v>4</v>
      </c>
      <c r="D816" s="1" t="n">
        <v>1</v>
      </c>
      <c r="E816" s="1" t="n">
        <v>1</v>
      </c>
      <c r="F816" s="3" t="s">
        <v>20</v>
      </c>
      <c r="G816" s="3" t="s">
        <v>3405</v>
      </c>
      <c r="H816" s="1" t="s">
        <v>22</v>
      </c>
      <c r="I816" s="1" t="n">
        <v>20240430085942</v>
      </c>
      <c r="J816" s="3" t="s">
        <v>3318</v>
      </c>
      <c r="K816" s="3" t="s">
        <v>3406</v>
      </c>
      <c r="L816" s="3" t="s">
        <v>3407</v>
      </c>
      <c r="M816" s="3" t="n">
        <v>276643</v>
      </c>
      <c r="N816" s="3" t="s">
        <v>3408</v>
      </c>
      <c r="O816" s="1" t="n">
        <v>260257</v>
      </c>
      <c r="P816" s="1" t="n">
        <v>94.08</v>
      </c>
      <c r="Q816" s="1" t="s">
        <v>20</v>
      </c>
      <c r="R816" s="1" t="s">
        <v>27</v>
      </c>
      <c r="S816" s="1" t="s">
        <v>28</v>
      </c>
      <c r="T816" s="1" t="s">
        <v>29</v>
      </c>
    </row>
    <row r="817" customFormat="false" ht="18.7" hidden="false" customHeight="true" outlineLevel="0" collapsed="false">
      <c r="A817" s="1" t="n">
        <v>816</v>
      </c>
      <c r="B817" s="6" t="str">
        <f aca="false">HYPERLINK("https://mncourtfraud.com/file/MCRO_27-CR-20-13495_Petition to Enter Guilty Plea_2023-11-28_20240430085914.pdf","MCRO_27-CR-20-13495_Petition to Enter Guilty Plea_2023-11-28_20240430085914.pdf")</f>
        <v>MCRO_27-CR-20-13495_Petition to Enter Guilty Plea_2023-11-28_20240430085914.pdf</v>
      </c>
      <c r="C817" s="1" t="n">
        <v>4</v>
      </c>
      <c r="D817" s="1" t="n">
        <v>1</v>
      </c>
      <c r="E817" s="1" t="n">
        <v>1</v>
      </c>
      <c r="F817" s="3" t="s">
        <v>20</v>
      </c>
      <c r="G817" s="3" t="s">
        <v>3409</v>
      </c>
      <c r="H817" s="1" t="s">
        <v>22</v>
      </c>
      <c r="I817" s="1" t="n">
        <v>20240430085914</v>
      </c>
      <c r="J817" s="3" t="s">
        <v>3410</v>
      </c>
      <c r="K817" s="3" t="s">
        <v>3411</v>
      </c>
      <c r="L817" s="3" t="s">
        <v>3412</v>
      </c>
      <c r="M817" s="3" t="n">
        <v>260955</v>
      </c>
      <c r="N817" s="3" t="s">
        <v>1273</v>
      </c>
      <c r="O817" s="1" t="n">
        <v>244569</v>
      </c>
      <c r="P817" s="1" t="n">
        <v>93.72</v>
      </c>
      <c r="Q817" s="1" t="s">
        <v>20</v>
      </c>
      <c r="R817" s="1" t="s">
        <v>27</v>
      </c>
      <c r="S817" s="1" t="s">
        <v>28</v>
      </c>
      <c r="T817" s="1" t="s">
        <v>29</v>
      </c>
    </row>
    <row r="818" customFormat="false" ht="18.7" hidden="false" customHeight="true" outlineLevel="0" collapsed="false">
      <c r="A818" s="1" t="n">
        <v>817</v>
      </c>
      <c r="B818" s="6" t="str">
        <f aca="false">HYPERLINK("https://mncourtfraud.com/file/MCRO_27-CR-20-13495_Petition to Enter Guilty Plea_2023-11-29_20240430085913.pdf","MCRO_27-CR-20-13495_Petition to Enter Guilty Plea_2023-11-29_20240430085913.pdf")</f>
        <v>MCRO_27-CR-20-13495_Petition to Enter Guilty Plea_2023-11-29_20240430085913.pdf</v>
      </c>
      <c r="C818" s="1" t="n">
        <v>4</v>
      </c>
      <c r="D818" s="1" t="n">
        <v>1</v>
      </c>
      <c r="E818" s="1" t="n">
        <v>1</v>
      </c>
      <c r="F818" s="3" t="s">
        <v>20</v>
      </c>
      <c r="G818" s="3" t="s">
        <v>3413</v>
      </c>
      <c r="H818" s="1" t="s">
        <v>22</v>
      </c>
      <c r="I818" s="1" t="n">
        <v>20240430085913</v>
      </c>
      <c r="J818" s="3" t="s">
        <v>3414</v>
      </c>
      <c r="K818" s="3" t="s">
        <v>3415</v>
      </c>
      <c r="L818" s="3" t="s">
        <v>3416</v>
      </c>
      <c r="M818" s="3" t="n">
        <v>236440</v>
      </c>
      <c r="N818" s="3" t="s">
        <v>1273</v>
      </c>
      <c r="O818" s="1" t="n">
        <v>220054</v>
      </c>
      <c r="P818" s="1" t="n">
        <v>93.07</v>
      </c>
      <c r="Q818" s="1" t="s">
        <v>20</v>
      </c>
      <c r="R818" s="1" t="s">
        <v>27</v>
      </c>
      <c r="S818" s="1" t="s">
        <v>28</v>
      </c>
      <c r="T818" s="1" t="s">
        <v>29</v>
      </c>
    </row>
    <row r="819" customFormat="false" ht="18.7" hidden="false" customHeight="true" outlineLevel="0" collapsed="false">
      <c r="A819" s="1" t="n">
        <v>818</v>
      </c>
      <c r="B819" s="6" t="str">
        <f aca="false">HYPERLINK("https://mncourtfraud.com/file/MCRO_27-CR-20-13495_Petition to Reinstate and Discharge Bond_2021-10-26_20240430085956.pdf","MCRO_27-CR-20-13495_Petition to Reinstate and Discharge Bond_2021-10-26_20240430085956.pdf")</f>
        <v>MCRO_27-CR-20-13495_Petition to Reinstate and Discharge Bond_2021-10-26_20240430085956.pdf</v>
      </c>
      <c r="C819" s="1" t="n">
        <v>4</v>
      </c>
      <c r="D819" s="1" t="n">
        <v>1</v>
      </c>
      <c r="E819" s="1" t="n">
        <v>1</v>
      </c>
      <c r="F819" s="3" t="s">
        <v>20</v>
      </c>
      <c r="G819" s="3" t="s">
        <v>3417</v>
      </c>
      <c r="H819" s="1" t="s">
        <v>22</v>
      </c>
      <c r="I819" s="1" t="n">
        <v>20240430085956</v>
      </c>
      <c r="J819" s="3" t="s">
        <v>3418</v>
      </c>
      <c r="K819" s="3" t="s">
        <v>3419</v>
      </c>
      <c r="L819" s="3" t="s">
        <v>3420</v>
      </c>
      <c r="M819" s="3" t="n">
        <v>382473</v>
      </c>
      <c r="N819" s="3" t="s">
        <v>3225</v>
      </c>
      <c r="O819" s="1" t="n">
        <v>366087</v>
      </c>
      <c r="P819" s="1" t="n">
        <v>95.72</v>
      </c>
      <c r="Q819" s="1" t="s">
        <v>20</v>
      </c>
      <c r="R819" s="1" t="s">
        <v>27</v>
      </c>
      <c r="S819" s="1" t="s">
        <v>28</v>
      </c>
      <c r="T819" s="1" t="s">
        <v>29</v>
      </c>
    </row>
    <row r="820" customFormat="false" ht="18.7" hidden="false" customHeight="true" outlineLevel="0" collapsed="false">
      <c r="A820" s="1" t="n">
        <v>819</v>
      </c>
      <c r="B820" s="6" t="str">
        <f aca="false">HYPERLINK("https://mncourtfraud.com/file/MCRO_27-CR-20-13495_Proposed Order or Document_2021-10-26_20240430085953.pdf","MCRO_27-CR-20-13495_Proposed Order or Document_2021-10-26_20240430085953.pdf")</f>
        <v>MCRO_27-CR-20-13495_Proposed Order or Document_2021-10-26_20240430085953.pdf</v>
      </c>
      <c r="C820" s="1" t="n">
        <v>4</v>
      </c>
      <c r="D820" s="1" t="n">
        <v>1</v>
      </c>
      <c r="E820" s="1" t="n">
        <v>1</v>
      </c>
      <c r="F820" s="3" t="s">
        <v>20</v>
      </c>
      <c r="G820" s="3" t="s">
        <v>3421</v>
      </c>
      <c r="H820" s="1" t="s">
        <v>22</v>
      </c>
      <c r="I820" s="1" t="n">
        <v>20240430085953</v>
      </c>
      <c r="J820" s="3" t="s">
        <v>3222</v>
      </c>
      <c r="K820" s="3" t="s">
        <v>3223</v>
      </c>
      <c r="L820" s="3" t="s">
        <v>3422</v>
      </c>
      <c r="M820" s="3" t="n">
        <v>324308</v>
      </c>
      <c r="N820" s="3" t="s">
        <v>59</v>
      </c>
      <c r="O820" s="1" t="n">
        <v>307922</v>
      </c>
      <c r="P820" s="1" t="n">
        <v>94.95</v>
      </c>
      <c r="Q820" s="1" t="s">
        <v>20</v>
      </c>
      <c r="R820" s="1" t="s">
        <v>27</v>
      </c>
      <c r="S820" s="1" t="s">
        <v>28</v>
      </c>
      <c r="T820" s="1" t="s">
        <v>29</v>
      </c>
    </row>
    <row r="821" customFormat="false" ht="18.7" hidden="false" customHeight="true" outlineLevel="0" collapsed="false">
      <c r="A821" s="1" t="n">
        <v>820</v>
      </c>
      <c r="B821" s="6" t="str">
        <f aca="false">HYPERLINK("https://mncourtfraud.com/file/MCRO_27-CR-20-13495_Proposed Order or Document_2022-03-03_20240430085943.pdf","MCRO_27-CR-20-13495_Proposed Order or Document_2022-03-03_20240430085943.pdf")</f>
        <v>MCRO_27-CR-20-13495_Proposed Order or Document_2022-03-03_20240430085943.pdf</v>
      </c>
      <c r="C821" s="1" t="n">
        <v>4</v>
      </c>
      <c r="D821" s="1" t="n">
        <v>1</v>
      </c>
      <c r="E821" s="1" t="n">
        <v>1</v>
      </c>
      <c r="F821" s="3" t="s">
        <v>20</v>
      </c>
      <c r="G821" s="3" t="s">
        <v>3423</v>
      </c>
      <c r="H821" s="1" t="s">
        <v>22</v>
      </c>
      <c r="I821" s="1" t="n">
        <v>20240430085943</v>
      </c>
      <c r="J821" s="3" t="s">
        <v>3424</v>
      </c>
      <c r="K821" s="3" t="s">
        <v>3425</v>
      </c>
      <c r="L821" s="3" t="s">
        <v>3426</v>
      </c>
      <c r="M821" s="3" t="n">
        <v>212376</v>
      </c>
      <c r="N821" s="3" t="s">
        <v>2329</v>
      </c>
      <c r="O821" s="1" t="n">
        <v>195990</v>
      </c>
      <c r="P821" s="1" t="n">
        <v>92.28</v>
      </c>
      <c r="Q821" s="1" t="s">
        <v>20</v>
      </c>
      <c r="R821" s="1" t="s">
        <v>27</v>
      </c>
      <c r="S821" s="1" t="s">
        <v>28</v>
      </c>
      <c r="T821" s="1" t="s">
        <v>29</v>
      </c>
    </row>
    <row r="822" customFormat="false" ht="18.7" hidden="false" customHeight="true" outlineLevel="0" collapsed="false">
      <c r="A822" s="1" t="n">
        <v>821</v>
      </c>
      <c r="B822" s="6" t="str">
        <f aca="false">HYPERLINK("https://mncourtfraud.com/file/MCRO_27-CR-20-13495_Request for Disclosure_2022-04-05_20240430085937.pdf","MCRO_27-CR-20-13495_Request for Disclosure_2022-04-05_20240430085937.pdf")</f>
        <v>MCRO_27-CR-20-13495_Request for Disclosure_2022-04-05_20240430085937.pdf</v>
      </c>
      <c r="C822" s="1" t="n">
        <v>3</v>
      </c>
      <c r="D822" s="1" t="n">
        <v>1</v>
      </c>
      <c r="E822" s="1" t="n">
        <v>1</v>
      </c>
      <c r="F822" s="3" t="s">
        <v>20</v>
      </c>
      <c r="G822" s="3" t="s">
        <v>3427</v>
      </c>
      <c r="H822" s="1" t="s">
        <v>22</v>
      </c>
      <c r="I822" s="1" t="n">
        <v>20240430085937</v>
      </c>
      <c r="J822" s="3" t="s">
        <v>3428</v>
      </c>
      <c r="K822" s="3" t="s">
        <v>3429</v>
      </c>
      <c r="L822" s="3" t="s">
        <v>3430</v>
      </c>
      <c r="M822" s="3" t="n">
        <v>162333</v>
      </c>
      <c r="N822" s="3" t="s">
        <v>3431</v>
      </c>
      <c r="O822" s="1" t="n">
        <v>145947</v>
      </c>
      <c r="P822" s="1" t="n">
        <v>89.91</v>
      </c>
      <c r="Q822" s="1" t="s">
        <v>20</v>
      </c>
      <c r="R822" s="1" t="s">
        <v>27</v>
      </c>
      <c r="S822" s="1" t="s">
        <v>28</v>
      </c>
      <c r="T822" s="1" t="s">
        <v>29</v>
      </c>
    </row>
    <row r="823" customFormat="false" ht="18.7" hidden="false" customHeight="true" outlineLevel="0" collapsed="false">
      <c r="A823" s="1" t="n">
        <v>822</v>
      </c>
      <c r="B823" s="6" t="str">
        <f aca="false">HYPERLINK("https://mncourtfraud.com/file/MCRO_27-CR-20-13495_Sentencing Order_2023-11-29_20240430085911.pdf","MCRO_27-CR-20-13495_Sentencing Order_2023-11-29_20240430085911.pdf")</f>
        <v>MCRO_27-CR-20-13495_Sentencing Order_2023-11-29_20240430085911.pdf</v>
      </c>
      <c r="C823" s="1" t="n">
        <v>4</v>
      </c>
      <c r="D823" s="1" t="n">
        <v>1</v>
      </c>
      <c r="E823" s="1" t="n">
        <v>1</v>
      </c>
      <c r="F823" s="3" t="s">
        <v>20</v>
      </c>
      <c r="G823" s="3" t="s">
        <v>3432</v>
      </c>
      <c r="H823" s="1" t="s">
        <v>22</v>
      </c>
      <c r="I823" s="1" t="n">
        <v>20240430085911</v>
      </c>
      <c r="J823" s="3" t="s">
        <v>3433</v>
      </c>
      <c r="K823" s="3" t="s">
        <v>3434</v>
      </c>
      <c r="L823" s="3" t="s">
        <v>3435</v>
      </c>
      <c r="M823" s="3" t="n">
        <v>766011</v>
      </c>
      <c r="N823" s="3" t="s">
        <v>3436</v>
      </c>
      <c r="O823" s="1" t="n">
        <v>749625</v>
      </c>
      <c r="P823" s="1" t="n">
        <v>97.86</v>
      </c>
      <c r="Q823" s="1" t="s">
        <v>20</v>
      </c>
      <c r="R823" s="1" t="s">
        <v>27</v>
      </c>
      <c r="S823" s="1" t="s">
        <v>28</v>
      </c>
      <c r="T823" s="1" t="s">
        <v>29</v>
      </c>
    </row>
    <row r="824" customFormat="false" ht="18.7" hidden="false" customHeight="true" outlineLevel="0" collapsed="false">
      <c r="A824" s="1" t="n">
        <v>823</v>
      </c>
      <c r="B824" s="6" t="str">
        <f aca="false">HYPERLINK("https://mncourtfraud.com/file/MCRO_27-CR-20-13495_Summons_2020-06-09_20240430090009.pdf","MCRO_27-CR-20-13495_Summons_2020-06-09_20240430090009.pdf")</f>
        <v>MCRO_27-CR-20-13495_Summons_2020-06-09_20240430090009.pdf</v>
      </c>
      <c r="C824" s="1" t="n">
        <v>4</v>
      </c>
      <c r="D824" s="1" t="n">
        <v>1</v>
      </c>
      <c r="E824" s="1" t="n">
        <v>1</v>
      </c>
      <c r="F824" s="3" t="s">
        <v>20</v>
      </c>
      <c r="G824" s="3" t="s">
        <v>3437</v>
      </c>
      <c r="H824" s="1" t="s">
        <v>22</v>
      </c>
      <c r="I824" s="1" t="n">
        <v>20240430090009</v>
      </c>
      <c r="J824" s="3" t="s">
        <v>3438</v>
      </c>
      <c r="K824" s="3" t="s">
        <v>3439</v>
      </c>
      <c r="L824" s="3" t="s">
        <v>3440</v>
      </c>
      <c r="M824" s="3" t="n">
        <v>252380</v>
      </c>
      <c r="N824" s="3" t="s">
        <v>3215</v>
      </c>
      <c r="O824" s="1" t="n">
        <v>235994</v>
      </c>
      <c r="P824" s="1" t="n">
        <v>93.51</v>
      </c>
      <c r="Q824" s="1" t="s">
        <v>20</v>
      </c>
      <c r="R824" s="1" t="s">
        <v>27</v>
      </c>
      <c r="S824" s="1" t="s">
        <v>28</v>
      </c>
      <c r="T824" s="1" t="s">
        <v>29</v>
      </c>
    </row>
    <row r="825" customFormat="false" ht="18.7" hidden="false" customHeight="true" outlineLevel="0" collapsed="false">
      <c r="A825" s="1" t="n">
        <v>824</v>
      </c>
      <c r="B825" s="6" t="str">
        <f aca="false">HYPERLINK("https://mncourtfraud.com/file/MCRO_27-CR-20-13495_Warrant Issued_2020-07-22_20240430090009.pdf","MCRO_27-CR-20-13495_Warrant Issued_2020-07-22_20240430090009.pdf")</f>
        <v>MCRO_27-CR-20-13495_Warrant Issued_2020-07-22_20240430090009.pdf</v>
      </c>
      <c r="C825" s="1" t="n">
        <v>4</v>
      </c>
      <c r="D825" s="1" t="n">
        <v>1</v>
      </c>
      <c r="E825" s="1" t="n">
        <v>1</v>
      </c>
      <c r="F825" s="3" t="s">
        <v>20</v>
      </c>
      <c r="G825" s="3" t="s">
        <v>3441</v>
      </c>
      <c r="H825" s="1" t="s">
        <v>22</v>
      </c>
      <c r="I825" s="1" t="n">
        <v>20240430090009</v>
      </c>
      <c r="J825" s="3" t="s">
        <v>3442</v>
      </c>
      <c r="K825" s="3" t="s">
        <v>3443</v>
      </c>
      <c r="L825" s="3" t="s">
        <v>3444</v>
      </c>
      <c r="M825" s="3" t="n">
        <v>825585</v>
      </c>
      <c r="N825" s="3" t="s">
        <v>3445</v>
      </c>
      <c r="O825" s="1" t="n">
        <v>809199</v>
      </c>
      <c r="P825" s="1" t="n">
        <v>98.02</v>
      </c>
      <c r="Q825" s="1" t="s">
        <v>20</v>
      </c>
      <c r="R825" s="1" t="s">
        <v>27</v>
      </c>
      <c r="S825" s="1" t="s">
        <v>28</v>
      </c>
      <c r="T825" s="1" t="s">
        <v>29</v>
      </c>
    </row>
    <row r="826" customFormat="false" ht="18.7" hidden="false" customHeight="true" outlineLevel="0" collapsed="false">
      <c r="A826" s="1" t="n">
        <v>825</v>
      </c>
      <c r="B826" s="6" t="str">
        <f aca="false">HYPERLINK("https://mncourtfraud.com/file/MCRO_27-CR-20-13495_Witness List_2022-04-19_20240430085932.pdf","MCRO_27-CR-20-13495_Witness List_2022-04-19_20240430085932.pdf")</f>
        <v>MCRO_27-CR-20-13495_Witness List_2022-04-19_20240430085932.pdf</v>
      </c>
      <c r="C826" s="1" t="n">
        <v>3</v>
      </c>
      <c r="D826" s="1" t="n">
        <v>1</v>
      </c>
      <c r="E826" s="1" t="n">
        <v>1</v>
      </c>
      <c r="F826" s="3" t="s">
        <v>20</v>
      </c>
      <c r="G826" s="3" t="s">
        <v>3446</v>
      </c>
      <c r="H826" s="1" t="s">
        <v>22</v>
      </c>
      <c r="I826" s="1" t="n">
        <v>20240430085932</v>
      </c>
      <c r="J826" s="3" t="s">
        <v>3447</v>
      </c>
      <c r="K826" s="3" t="s">
        <v>3448</v>
      </c>
      <c r="L826" s="3" t="s">
        <v>3449</v>
      </c>
      <c r="M826" s="3" t="n">
        <v>148324</v>
      </c>
      <c r="N826" s="3" t="s">
        <v>64</v>
      </c>
      <c r="O826" s="1" t="n">
        <v>131938</v>
      </c>
      <c r="P826" s="1" t="n">
        <v>88.95</v>
      </c>
      <c r="Q826" s="1" t="s">
        <v>20</v>
      </c>
      <c r="R826" s="1" t="s">
        <v>27</v>
      </c>
      <c r="S826" s="1" t="s">
        <v>28</v>
      </c>
      <c r="T826" s="1" t="s">
        <v>29</v>
      </c>
    </row>
    <row r="827" customFormat="false" ht="18.7" hidden="false" customHeight="true" outlineLevel="0" collapsed="false">
      <c r="A827" s="1" t="n">
        <v>826</v>
      </c>
      <c r="B827" s="6" t="str">
        <f aca="false">HYPERLINK("https://mncourtfraud.com/file/MCRO_27-CR-20-1893_Amended Order_2020-12-03_20240430084917.pdf","MCRO_27-CR-20-1893_Amended Order_2020-12-03_20240430084917.pdf")</f>
        <v>MCRO_27-CR-20-1893_Amended Order_2020-12-03_20240430084917.pdf</v>
      </c>
      <c r="C827" s="1" t="n">
        <v>3</v>
      </c>
      <c r="D827" s="1" t="n">
        <v>1</v>
      </c>
      <c r="E827" s="1" t="n">
        <v>1</v>
      </c>
      <c r="F827" s="3" t="s">
        <v>20</v>
      </c>
      <c r="G827" s="3" t="s">
        <v>3450</v>
      </c>
      <c r="H827" s="1" t="s">
        <v>22</v>
      </c>
      <c r="I827" s="1" t="n">
        <v>20240430084917</v>
      </c>
      <c r="J827" s="3" t="s">
        <v>3451</v>
      </c>
      <c r="K827" s="3" t="s">
        <v>3452</v>
      </c>
      <c r="L827" s="3" t="s">
        <v>3453</v>
      </c>
      <c r="M827" s="3" t="n">
        <v>237128</v>
      </c>
      <c r="N827" s="3" t="s">
        <v>741</v>
      </c>
      <c r="O827" s="1" t="n">
        <v>220742</v>
      </c>
      <c r="P827" s="1" t="n">
        <v>93.09</v>
      </c>
      <c r="Q827" s="1" t="s">
        <v>20</v>
      </c>
      <c r="R827" s="1" t="s">
        <v>27</v>
      </c>
      <c r="S827" s="1" t="s">
        <v>28</v>
      </c>
      <c r="T827" s="1" t="s">
        <v>29</v>
      </c>
    </row>
    <row r="828" customFormat="false" ht="18.7" hidden="false" customHeight="true" outlineLevel="0" collapsed="false">
      <c r="A828" s="1" t="n">
        <v>827</v>
      </c>
      <c r="B828" s="6" t="str">
        <f aca="false">HYPERLINK("https://mncourtfraud.com/file/MCRO_27-CR-20-1893_Amended Order_2020-12-08_20240430084916.pdf","MCRO_27-CR-20-1893_Amended Order_2020-12-08_20240430084916.pdf")</f>
        <v>MCRO_27-CR-20-1893_Amended Order_2020-12-08_20240430084916.pdf</v>
      </c>
      <c r="C828" s="1" t="n">
        <v>3</v>
      </c>
      <c r="D828" s="1" t="n">
        <v>1</v>
      </c>
      <c r="E828" s="1" t="n">
        <v>1</v>
      </c>
      <c r="F828" s="3" t="s">
        <v>20</v>
      </c>
      <c r="G828" s="3" t="s">
        <v>3454</v>
      </c>
      <c r="H828" s="1" t="s">
        <v>22</v>
      </c>
      <c r="I828" s="1" t="n">
        <v>20240430084916</v>
      </c>
      <c r="J828" s="3" t="s">
        <v>3455</v>
      </c>
      <c r="K828" s="3" t="s">
        <v>3456</v>
      </c>
      <c r="L828" s="3" t="s">
        <v>3457</v>
      </c>
      <c r="M828" s="3" t="n">
        <v>237135</v>
      </c>
      <c r="N828" s="3" t="s">
        <v>741</v>
      </c>
      <c r="O828" s="1" t="n">
        <v>220749</v>
      </c>
      <c r="P828" s="1" t="n">
        <v>93.09</v>
      </c>
      <c r="Q828" s="1" t="s">
        <v>20</v>
      </c>
      <c r="R828" s="1" t="s">
        <v>27</v>
      </c>
      <c r="S828" s="1" t="s">
        <v>28</v>
      </c>
      <c r="T828" s="1" t="s">
        <v>29</v>
      </c>
    </row>
    <row r="829" customFormat="false" ht="18.7" hidden="false" customHeight="true" outlineLevel="0" collapsed="false">
      <c r="A829" s="1" t="n">
        <v>828</v>
      </c>
      <c r="B829" s="6" t="str">
        <f aca="false">HYPERLINK("https://mncourtfraud.com/file/MCRO_27-CR-20-1893_Amended Order_2023-11-08_20240430084857.pdf","MCRO_27-CR-20-1893_Amended Order_2023-11-08_20240430084857.pdf")</f>
        <v>MCRO_27-CR-20-1893_Amended Order_2023-11-08_20240430084857.pdf</v>
      </c>
      <c r="C829" s="1" t="n">
        <v>3</v>
      </c>
      <c r="D829" s="1" t="n">
        <v>1</v>
      </c>
      <c r="E829" s="1" t="n">
        <v>1</v>
      </c>
      <c r="F829" s="3" t="s">
        <v>20</v>
      </c>
      <c r="G829" s="3" t="s">
        <v>3458</v>
      </c>
      <c r="H829" s="1" t="s">
        <v>22</v>
      </c>
      <c r="I829" s="1" t="n">
        <v>20240430084857</v>
      </c>
      <c r="J829" s="3" t="s">
        <v>3459</v>
      </c>
      <c r="K829" s="3" t="s">
        <v>3460</v>
      </c>
      <c r="L829" s="3" t="s">
        <v>3461</v>
      </c>
      <c r="M829" s="3" t="n">
        <v>259269</v>
      </c>
      <c r="N829" s="3" t="s">
        <v>3462</v>
      </c>
      <c r="O829" s="1" t="n">
        <v>242883</v>
      </c>
      <c r="P829" s="1" t="n">
        <v>93.68</v>
      </c>
      <c r="Q829" s="1" t="s">
        <v>20</v>
      </c>
      <c r="R829" s="1" t="s">
        <v>27</v>
      </c>
      <c r="S829" s="1" t="s">
        <v>28</v>
      </c>
      <c r="T829" s="1" t="s">
        <v>29</v>
      </c>
    </row>
    <row r="830" customFormat="false" ht="18.7" hidden="false" customHeight="true" outlineLevel="0" collapsed="false">
      <c r="A830" s="1" t="n">
        <v>829</v>
      </c>
      <c r="B830" s="6" t="str">
        <f aca="false">HYPERLINK("https://mncourtfraud.com/file/MCRO_27-CR-20-1893_Amended Sentencing Order_2023-03-13_20240430084903.pdf","MCRO_27-CR-20-1893_Amended Sentencing Order_2023-03-13_20240430084903.pdf")</f>
        <v>MCRO_27-CR-20-1893_Amended Sentencing Order_2023-03-13_20240430084903.pdf</v>
      </c>
      <c r="C830" s="1" t="n">
        <v>4</v>
      </c>
      <c r="D830" s="1" t="n">
        <v>1</v>
      </c>
      <c r="E830" s="1" t="n">
        <v>1</v>
      </c>
      <c r="F830" s="3" t="s">
        <v>20</v>
      </c>
      <c r="G830" s="3" t="s">
        <v>3463</v>
      </c>
      <c r="H830" s="1" t="s">
        <v>22</v>
      </c>
      <c r="I830" s="1" t="n">
        <v>20240430084903</v>
      </c>
      <c r="J830" s="3" t="s">
        <v>3464</v>
      </c>
      <c r="K830" s="3" t="s">
        <v>3465</v>
      </c>
      <c r="L830" s="3" t="s">
        <v>3466</v>
      </c>
      <c r="M830" s="3" t="n">
        <v>727704</v>
      </c>
      <c r="N830" s="3" t="s">
        <v>366</v>
      </c>
      <c r="O830" s="1" t="n">
        <v>711318</v>
      </c>
      <c r="P830" s="1" t="n">
        <v>97.75</v>
      </c>
      <c r="Q830" s="1" t="s">
        <v>20</v>
      </c>
      <c r="R830" s="1" t="s">
        <v>27</v>
      </c>
      <c r="S830" s="1" t="s">
        <v>28</v>
      </c>
      <c r="T830" s="1" t="s">
        <v>29</v>
      </c>
    </row>
    <row r="831" customFormat="false" ht="18.7" hidden="false" customHeight="true" outlineLevel="0" collapsed="false">
      <c r="A831" s="1" t="n">
        <v>830</v>
      </c>
      <c r="B831" s="6" t="str">
        <f aca="false">HYPERLINK("https://mncourtfraud.com/file/MCRO_27-CR-20-1893_Demand or Request for Discovery_2020-01-24_20240430084926.pdf","MCRO_27-CR-20-1893_Demand or Request for Discovery_2020-01-24_20240430084926.pdf")</f>
        <v>MCRO_27-CR-20-1893_Demand or Request for Discovery_2020-01-24_20240430084926.pdf</v>
      </c>
      <c r="C831" s="1" t="n">
        <v>3</v>
      </c>
      <c r="D831" s="1" t="n">
        <v>1</v>
      </c>
      <c r="E831" s="1" t="n">
        <v>1</v>
      </c>
      <c r="F831" s="3" t="s">
        <v>20</v>
      </c>
      <c r="G831" s="3" t="s">
        <v>3467</v>
      </c>
      <c r="H831" s="1" t="s">
        <v>22</v>
      </c>
      <c r="I831" s="1" t="n">
        <v>20240430084926</v>
      </c>
      <c r="J831" s="3" t="s">
        <v>3468</v>
      </c>
      <c r="K831" s="3" t="s">
        <v>3469</v>
      </c>
      <c r="L831" s="3" t="s">
        <v>3470</v>
      </c>
      <c r="M831" s="3" t="n">
        <v>311219</v>
      </c>
      <c r="N831" s="3" t="s">
        <v>3471</v>
      </c>
      <c r="O831" s="1" t="n">
        <v>294833</v>
      </c>
      <c r="P831" s="1" t="n">
        <v>94.73</v>
      </c>
      <c r="Q831" s="1" t="s">
        <v>20</v>
      </c>
      <c r="R831" s="1" t="s">
        <v>27</v>
      </c>
      <c r="S831" s="1" t="s">
        <v>28</v>
      </c>
      <c r="T831" s="1" t="s">
        <v>29</v>
      </c>
    </row>
    <row r="832" customFormat="false" ht="18.7" hidden="false" customHeight="true" outlineLevel="0" collapsed="false">
      <c r="A832" s="1" t="n">
        <v>831</v>
      </c>
      <c r="B832" s="6" t="str">
        <f aca="false">HYPERLINK("https://mncourtfraud.com/file/MCRO_27-CR-20-1893_Departure Report_2021-10-14_20240430084909.pdf","MCRO_27-CR-20-1893_Departure Report_2021-10-14_20240430084909.pdf")</f>
        <v>MCRO_27-CR-20-1893_Departure Report_2021-10-14_20240430084909.pdf</v>
      </c>
      <c r="C832" s="1" t="n">
        <v>4</v>
      </c>
      <c r="D832" s="1" t="n">
        <v>1</v>
      </c>
      <c r="E832" s="1" t="n">
        <v>1</v>
      </c>
      <c r="F832" s="3" t="s">
        <v>20</v>
      </c>
      <c r="G832" s="3" t="s">
        <v>3472</v>
      </c>
      <c r="H832" s="1" t="s">
        <v>22</v>
      </c>
      <c r="I832" s="1" t="n">
        <v>20240430084909</v>
      </c>
      <c r="J832" s="3" t="s">
        <v>3473</v>
      </c>
      <c r="K832" s="3" t="s">
        <v>3474</v>
      </c>
      <c r="L832" s="3" t="s">
        <v>3475</v>
      </c>
      <c r="M832" s="3" t="n">
        <v>243790</v>
      </c>
      <c r="N832" s="3" t="s">
        <v>2813</v>
      </c>
      <c r="O832" s="1" t="n">
        <v>227404</v>
      </c>
      <c r="P832" s="1" t="n">
        <v>93.28</v>
      </c>
      <c r="Q832" s="1" t="s">
        <v>20</v>
      </c>
      <c r="R832" s="1" t="s">
        <v>27</v>
      </c>
      <c r="S832" s="1" t="s">
        <v>28</v>
      </c>
      <c r="T832" s="1" t="s">
        <v>29</v>
      </c>
    </row>
    <row r="833" customFormat="false" ht="18.7" hidden="false" customHeight="true" outlineLevel="0" collapsed="false">
      <c r="A833" s="1" t="n">
        <v>832</v>
      </c>
      <c r="B833" s="6" t="str">
        <f aca="false">HYPERLINK("https://mncourtfraud.com/file/MCRO_27-CR-20-1893_E-filed Comp-Order for Detention_2020-01-22_20240430084928.pdf","MCRO_27-CR-20-1893_E-filed Comp-Order for Detention_2020-01-22_20240430084928.pdf")</f>
        <v>MCRO_27-CR-20-1893_E-filed Comp-Order for Detention_2020-01-22_20240430084928.pdf</v>
      </c>
      <c r="C833" s="1" t="n">
        <v>4</v>
      </c>
      <c r="D833" s="1" t="n">
        <v>2</v>
      </c>
      <c r="E833" s="1" t="n">
        <v>2</v>
      </c>
      <c r="F833" s="3" t="s">
        <v>20</v>
      </c>
      <c r="G833" s="3" t="s">
        <v>3476</v>
      </c>
      <c r="H833" s="1" t="s">
        <v>22</v>
      </c>
      <c r="I833" s="1" t="n">
        <v>20240430084928</v>
      </c>
      <c r="J833" s="3" t="s">
        <v>3477</v>
      </c>
      <c r="K833" s="3" t="s">
        <v>3478</v>
      </c>
      <c r="L833" s="3" t="s">
        <v>3479</v>
      </c>
      <c r="M833" s="3" t="n">
        <v>490916</v>
      </c>
      <c r="N833" s="3" t="s">
        <v>3480</v>
      </c>
      <c r="O833" s="1" t="n">
        <v>474530</v>
      </c>
      <c r="P833" s="1" t="n">
        <v>96.66</v>
      </c>
      <c r="Q833" s="1" t="s">
        <v>20</v>
      </c>
      <c r="R833" s="1" t="s">
        <v>27</v>
      </c>
      <c r="S833" s="1" t="s">
        <v>28</v>
      </c>
      <c r="T833" s="1" t="s">
        <v>29</v>
      </c>
    </row>
    <row r="834" customFormat="false" ht="18.7" hidden="false" customHeight="true" outlineLevel="0" collapsed="false">
      <c r="A834" s="1" t="n">
        <v>833</v>
      </c>
      <c r="B834" s="6" t="str">
        <f aca="false">HYPERLINK("https://mncourtfraud.com/file/MCRO_27-CR-20-1893_Law Enforcement Notice of Release and Appearance_2020-04-23_20240430084925.pdf","MCRO_27-CR-20-1893_Law Enforcement Notice of Release and Appearance_2020-04-23_20240430084925.pdf")</f>
        <v>MCRO_27-CR-20-1893_Law Enforcement Notice of Release and Appearance_2020-04-23_20240430084925.pdf</v>
      </c>
      <c r="C834" s="1" t="n">
        <v>4</v>
      </c>
      <c r="D834" s="1" t="n">
        <v>1</v>
      </c>
      <c r="E834" s="1" t="n">
        <v>1</v>
      </c>
      <c r="F834" s="3" t="s">
        <v>20</v>
      </c>
      <c r="G834" s="3" t="s">
        <v>3481</v>
      </c>
      <c r="H834" s="1" t="s">
        <v>22</v>
      </c>
      <c r="I834" s="1" t="n">
        <v>20240430084925</v>
      </c>
      <c r="J834" s="3" t="s">
        <v>3482</v>
      </c>
      <c r="K834" s="3" t="s">
        <v>3483</v>
      </c>
      <c r="L834" s="3" t="s">
        <v>3484</v>
      </c>
      <c r="M834" s="3" t="n">
        <v>105892</v>
      </c>
      <c r="N834" s="3" t="s">
        <v>137</v>
      </c>
      <c r="O834" s="1" t="n">
        <v>89506</v>
      </c>
      <c r="P834" s="1" t="n">
        <v>84.53</v>
      </c>
      <c r="Q834" s="1" t="s">
        <v>20</v>
      </c>
      <c r="R834" s="1" t="s">
        <v>27</v>
      </c>
      <c r="S834" s="1" t="s">
        <v>28</v>
      </c>
      <c r="T834" s="1" t="s">
        <v>29</v>
      </c>
    </row>
    <row r="835" customFormat="false" ht="18.7" hidden="false" customHeight="true" outlineLevel="0" collapsed="false">
      <c r="A835" s="1" t="n">
        <v>834</v>
      </c>
      <c r="B835" s="6" t="str">
        <f aca="false">HYPERLINK("https://mncourtfraud.com/file/MCRO_27-CR-20-1893_Notice of Hearing_2022-12-12_20240430084906.pdf","MCRO_27-CR-20-1893_Notice of Hearing_2022-12-12_20240430084906.pdf")</f>
        <v>MCRO_27-CR-20-1893_Notice of Hearing_2022-12-12_20240430084906.pdf</v>
      </c>
      <c r="C835" s="1" t="n">
        <v>4</v>
      </c>
      <c r="D835" s="1" t="n">
        <v>1</v>
      </c>
      <c r="E835" s="1" t="n">
        <v>1</v>
      </c>
      <c r="F835" s="3" t="s">
        <v>20</v>
      </c>
      <c r="G835" s="3" t="s">
        <v>3485</v>
      </c>
      <c r="H835" s="1" t="s">
        <v>22</v>
      </c>
      <c r="I835" s="1" t="n">
        <v>20240430084906</v>
      </c>
      <c r="J835" s="3" t="s">
        <v>3486</v>
      </c>
      <c r="K835" s="3" t="s">
        <v>3487</v>
      </c>
      <c r="L835" s="3" t="s">
        <v>3488</v>
      </c>
      <c r="M835" s="3" t="n">
        <v>102266</v>
      </c>
      <c r="N835" s="3" t="s">
        <v>435</v>
      </c>
      <c r="O835" s="1" t="n">
        <v>85880</v>
      </c>
      <c r="P835" s="1" t="n">
        <v>83.98</v>
      </c>
      <c r="Q835" s="1" t="s">
        <v>20</v>
      </c>
      <c r="R835" s="1" t="s">
        <v>27</v>
      </c>
      <c r="S835" s="1" t="s">
        <v>28</v>
      </c>
      <c r="T835" s="1" t="s">
        <v>29</v>
      </c>
    </row>
    <row r="836" customFormat="false" ht="18.7" hidden="false" customHeight="true" outlineLevel="0" collapsed="false">
      <c r="A836" s="1" t="n">
        <v>835</v>
      </c>
      <c r="B836" s="6" t="str">
        <f aca="false">HYPERLINK("https://mncourtfraud.com/file/MCRO_27-CR-20-1893_Notice of Hearing_2024-04-19_20240430084854.pdf","MCRO_27-CR-20-1893_Notice of Hearing_2024-04-19_20240430084854.pdf")</f>
        <v>MCRO_27-CR-20-1893_Notice of Hearing_2024-04-19_20240430084854.pdf</v>
      </c>
      <c r="C836" s="1" t="n">
        <v>4</v>
      </c>
      <c r="D836" s="1" t="n">
        <v>1</v>
      </c>
      <c r="E836" s="1" t="n">
        <v>1</v>
      </c>
      <c r="F836" s="3" t="s">
        <v>20</v>
      </c>
      <c r="G836" s="3" t="s">
        <v>3489</v>
      </c>
      <c r="H836" s="1" t="s">
        <v>22</v>
      </c>
      <c r="I836" s="1" t="n">
        <v>20240430084854</v>
      </c>
      <c r="J836" s="3" t="s">
        <v>3490</v>
      </c>
      <c r="K836" s="3" t="s">
        <v>3491</v>
      </c>
      <c r="L836" s="3" t="s">
        <v>3492</v>
      </c>
      <c r="M836" s="3" t="n">
        <v>456551</v>
      </c>
      <c r="N836" s="3" t="s">
        <v>158</v>
      </c>
      <c r="O836" s="1" t="n">
        <v>440165</v>
      </c>
      <c r="P836" s="1" t="n">
        <v>96.41</v>
      </c>
      <c r="Q836" s="1" t="s">
        <v>20</v>
      </c>
      <c r="R836" s="1" t="s">
        <v>27</v>
      </c>
      <c r="S836" s="1" t="s">
        <v>28</v>
      </c>
      <c r="T836" s="1" t="s">
        <v>29</v>
      </c>
    </row>
    <row r="837" customFormat="false" ht="18.7" hidden="false" customHeight="true" outlineLevel="0" collapsed="false">
      <c r="A837" s="1" t="n">
        <v>836</v>
      </c>
      <c r="B837" s="6" t="str">
        <f aca="false">HYPERLINK("https://mncourtfraud.com/file/MCRO_27-CR-20-1893_Notice of Hearing_2024-04-19_20240430084855.pdf","MCRO_27-CR-20-1893_Notice of Hearing_2024-04-19_20240430084855.pdf")</f>
        <v>MCRO_27-CR-20-1893_Notice of Hearing_2024-04-19_20240430084855.pdf</v>
      </c>
      <c r="C837" s="1" t="n">
        <v>4</v>
      </c>
      <c r="D837" s="1" t="n">
        <v>1</v>
      </c>
      <c r="E837" s="1" t="n">
        <v>1</v>
      </c>
      <c r="F837" s="3" t="s">
        <v>20</v>
      </c>
      <c r="G837" s="3" t="s">
        <v>3493</v>
      </c>
      <c r="H837" s="1" t="s">
        <v>22</v>
      </c>
      <c r="I837" s="1" t="n">
        <v>20240430084855</v>
      </c>
      <c r="J837" s="3" t="s">
        <v>3494</v>
      </c>
      <c r="K837" s="3" t="s">
        <v>3495</v>
      </c>
      <c r="L837" s="3" t="s">
        <v>3496</v>
      </c>
      <c r="M837" s="3" t="n">
        <v>454482</v>
      </c>
      <c r="N837" s="3" t="s">
        <v>158</v>
      </c>
      <c r="O837" s="1" t="n">
        <v>438096</v>
      </c>
      <c r="P837" s="1" t="n">
        <v>96.39</v>
      </c>
      <c r="Q837" s="1" t="s">
        <v>20</v>
      </c>
      <c r="R837" s="1" t="s">
        <v>27</v>
      </c>
      <c r="S837" s="1" t="s">
        <v>28</v>
      </c>
      <c r="T837" s="1" t="s">
        <v>29</v>
      </c>
    </row>
    <row r="838" customFormat="false" ht="18.7" hidden="false" customHeight="true" outlineLevel="0" collapsed="false">
      <c r="A838" s="1" t="n">
        <v>837</v>
      </c>
      <c r="B838" s="6" t="str">
        <f aca="false">HYPERLINK("https://mncourtfraud.com/file/MCRO_27-CR-20-1893_Notice of Remote Hearing with Instructions_2020-11-25_20240430084918.pdf","MCRO_27-CR-20-1893_Notice of Remote Hearing with Instructions_2020-11-25_20240430084918.pdf")</f>
        <v>MCRO_27-CR-20-1893_Notice of Remote Hearing with Instructions_2020-11-25_20240430084918.pdf</v>
      </c>
      <c r="C838" s="1" t="n">
        <v>4</v>
      </c>
      <c r="D838" s="1" t="n">
        <v>1</v>
      </c>
      <c r="E838" s="1" t="n">
        <v>1</v>
      </c>
      <c r="F838" s="3" t="s">
        <v>20</v>
      </c>
      <c r="G838" s="3" t="s">
        <v>3497</v>
      </c>
      <c r="H838" s="1" t="s">
        <v>22</v>
      </c>
      <c r="I838" s="1" t="n">
        <v>20240430084918</v>
      </c>
      <c r="J838" s="3" t="s">
        <v>3498</v>
      </c>
      <c r="K838" s="3" t="s">
        <v>3499</v>
      </c>
      <c r="L838" s="3" t="s">
        <v>3500</v>
      </c>
      <c r="M838" s="3" t="n">
        <v>138450</v>
      </c>
      <c r="N838" s="3" t="s">
        <v>2813</v>
      </c>
      <c r="O838" s="1" t="n">
        <v>122064</v>
      </c>
      <c r="P838" s="1" t="n">
        <v>88.16</v>
      </c>
      <c r="Q838" s="1" t="s">
        <v>20</v>
      </c>
      <c r="R838" s="1" t="s">
        <v>27</v>
      </c>
      <c r="S838" s="1" t="s">
        <v>28</v>
      </c>
      <c r="T838" s="1" t="s">
        <v>29</v>
      </c>
    </row>
    <row r="839" customFormat="false" ht="18.7" hidden="false" customHeight="true" outlineLevel="0" collapsed="false">
      <c r="A839" s="1" t="n">
        <v>838</v>
      </c>
      <c r="B839" s="6" t="str">
        <f aca="false">HYPERLINK("https://mncourtfraud.com/file/MCRO_27-CR-20-1893_Notice of Remote Hearing with Instructions_2021-07-16_20240430084911.pdf","MCRO_27-CR-20-1893_Notice of Remote Hearing with Instructions_2021-07-16_20240430084911.pdf")</f>
        <v>MCRO_27-CR-20-1893_Notice of Remote Hearing with Instructions_2021-07-16_20240430084911.pdf</v>
      </c>
      <c r="C839" s="1" t="n">
        <v>4</v>
      </c>
      <c r="D839" s="1" t="n">
        <v>1</v>
      </c>
      <c r="E839" s="1" t="n">
        <v>1</v>
      </c>
      <c r="F839" s="3" t="s">
        <v>20</v>
      </c>
      <c r="G839" s="3" t="s">
        <v>3501</v>
      </c>
      <c r="H839" s="1" t="s">
        <v>22</v>
      </c>
      <c r="I839" s="1" t="n">
        <v>20240430084911</v>
      </c>
      <c r="J839" s="3" t="s">
        <v>3502</v>
      </c>
      <c r="K839" s="3" t="s">
        <v>3503</v>
      </c>
      <c r="L839" s="3" t="s">
        <v>3504</v>
      </c>
      <c r="M839" s="3" t="n">
        <v>158080</v>
      </c>
      <c r="N839" s="3" t="s">
        <v>1065</v>
      </c>
      <c r="O839" s="1" t="n">
        <v>141694</v>
      </c>
      <c r="P839" s="1" t="n">
        <v>89.63</v>
      </c>
      <c r="Q839" s="1" t="s">
        <v>20</v>
      </c>
      <c r="R839" s="1" t="s">
        <v>27</v>
      </c>
      <c r="S839" s="1" t="s">
        <v>28</v>
      </c>
      <c r="T839" s="1" t="s">
        <v>29</v>
      </c>
    </row>
    <row r="840" customFormat="false" ht="18.7" hidden="false" customHeight="true" outlineLevel="0" collapsed="false">
      <c r="A840" s="1" t="n">
        <v>839</v>
      </c>
      <c r="B840" s="6" t="str">
        <f aca="false">HYPERLINK("https://mncourtfraud.com/file/MCRO_27-CR-20-1893_Order Appointing Forensic Navigator_2024-04-19_20240430084852.pdf","MCRO_27-CR-20-1893_Order Appointing Forensic Navigator_2024-04-19_20240430084852.pdf")</f>
        <v>MCRO_27-CR-20-1893_Order Appointing Forensic Navigator_2024-04-19_20240430084852.pdf</v>
      </c>
      <c r="C840" s="1" t="n">
        <v>4</v>
      </c>
      <c r="D840" s="1" t="n">
        <v>1</v>
      </c>
      <c r="E840" s="1" t="n">
        <v>1</v>
      </c>
      <c r="F840" s="3" t="s">
        <v>20</v>
      </c>
      <c r="G840" s="3" t="s">
        <v>3505</v>
      </c>
      <c r="H840" s="1" t="s">
        <v>22</v>
      </c>
      <c r="I840" s="1" t="n">
        <v>20240430084852</v>
      </c>
      <c r="J840" s="3" t="s">
        <v>3506</v>
      </c>
      <c r="K840" s="3" t="s">
        <v>3507</v>
      </c>
      <c r="L840" s="3" t="s">
        <v>3508</v>
      </c>
      <c r="M840" s="3" t="n">
        <v>870335</v>
      </c>
      <c r="N840" s="3" t="s">
        <v>1128</v>
      </c>
      <c r="O840" s="1" t="n">
        <v>853949</v>
      </c>
      <c r="P840" s="1" t="n">
        <v>98.12</v>
      </c>
      <c r="Q840" s="1" t="s">
        <v>20</v>
      </c>
      <c r="R840" s="1" t="s">
        <v>27</v>
      </c>
      <c r="S840" s="1" t="s">
        <v>28</v>
      </c>
      <c r="T840" s="1" t="s">
        <v>29</v>
      </c>
    </row>
    <row r="841" customFormat="false" ht="18.7" hidden="false" customHeight="true" outlineLevel="0" collapsed="false">
      <c r="A841" s="1" t="n">
        <v>840</v>
      </c>
      <c r="B841" s="6" t="str">
        <f aca="false">HYPERLINK("https://mncourtfraud.com/file/MCRO_27-CR-20-1893_Order-Evaluation for Competency to Proceed (Rule 20.01)_2023-06-02_20240430084901.pdf","MCRO_27-CR-20-1893_Order-Evaluation for Competency to Proceed (Rule 20.01)_2023-06-02_20240430084901.pdf")</f>
        <v>MCRO_27-CR-20-1893_Order-Evaluation for Competency to Proceed (Rule 20.01)_2023-06-02_20240430084901.pdf</v>
      </c>
      <c r="C841" s="1" t="n">
        <v>4</v>
      </c>
      <c r="D841" s="1" t="n">
        <v>1</v>
      </c>
      <c r="E841" s="1" t="n">
        <v>1</v>
      </c>
      <c r="F841" s="3" t="s">
        <v>20</v>
      </c>
      <c r="G841" s="3" t="s">
        <v>3509</v>
      </c>
      <c r="H841" s="1" t="s">
        <v>22</v>
      </c>
      <c r="I841" s="1" t="n">
        <v>20240430084901</v>
      </c>
      <c r="J841" s="3" t="s">
        <v>3510</v>
      </c>
      <c r="K841" s="3" t="s">
        <v>3511</v>
      </c>
      <c r="L841" s="3" t="s">
        <v>3512</v>
      </c>
      <c r="M841" s="3" t="n">
        <v>1084250</v>
      </c>
      <c r="N841" s="3" t="s">
        <v>1128</v>
      </c>
      <c r="O841" s="1" t="n">
        <v>1067864</v>
      </c>
      <c r="P841" s="1" t="n">
        <v>98.49</v>
      </c>
      <c r="Q841" s="1" t="s">
        <v>20</v>
      </c>
      <c r="R841" s="1" t="s">
        <v>27</v>
      </c>
      <c r="S841" s="1" t="s">
        <v>28</v>
      </c>
      <c r="T841" s="1" t="s">
        <v>29</v>
      </c>
    </row>
    <row r="842" customFormat="false" ht="18.7" hidden="false" customHeight="true" outlineLevel="0" collapsed="false">
      <c r="A842" s="1" t="n">
        <v>841</v>
      </c>
      <c r="B842" s="6" t="str">
        <f aca="false">HYPERLINK("https://mncourtfraud.com/file/MCRO_27-CR-20-1893_Order-Evaluation for Competency to Proceed (Rule 20.01)_2024-04-19_20240430084853.pdf","MCRO_27-CR-20-1893_Order-Evaluation for Competency to Proceed (Rule 20.01)_2024-04-19_20240430084853.pdf")</f>
        <v>MCRO_27-CR-20-1893_Order-Evaluation for Competency to Proceed (Rule 20.01)_2024-04-19_20240430084853.pdf</v>
      </c>
      <c r="C842" s="1" t="n">
        <v>4</v>
      </c>
      <c r="D842" s="1" t="n">
        <v>1</v>
      </c>
      <c r="E842" s="1" t="n">
        <v>1</v>
      </c>
      <c r="F842" s="3" t="s">
        <v>20</v>
      </c>
      <c r="G842" s="3" t="s">
        <v>3513</v>
      </c>
      <c r="H842" s="1" t="s">
        <v>22</v>
      </c>
      <c r="I842" s="1" t="n">
        <v>20240430084853</v>
      </c>
      <c r="J842" s="3" t="s">
        <v>3514</v>
      </c>
      <c r="K842" s="3" t="s">
        <v>3515</v>
      </c>
      <c r="L842" s="3" t="s">
        <v>3516</v>
      </c>
      <c r="M842" s="3" t="n">
        <v>1455780</v>
      </c>
      <c r="N842" s="3" t="s">
        <v>104</v>
      </c>
      <c r="O842" s="1" t="n">
        <v>1439394</v>
      </c>
      <c r="P842" s="1" t="n">
        <v>98.87</v>
      </c>
      <c r="Q842" s="1" t="s">
        <v>20</v>
      </c>
      <c r="R842" s="1" t="s">
        <v>27</v>
      </c>
      <c r="S842" s="1" t="s">
        <v>28</v>
      </c>
      <c r="T842" s="1" t="s">
        <v>29</v>
      </c>
    </row>
    <row r="843" customFormat="false" ht="18.7" hidden="false" customHeight="true" outlineLevel="0" collapsed="false">
      <c r="A843" s="1" t="n">
        <v>842</v>
      </c>
      <c r="B843" s="6" t="str">
        <f aca="false">HYPERLINK("https://mncourtfraud.com/file/MCRO_27-CR-20-1893_Order for Conditional Release_2023-07-14_20240430084859.pdf","MCRO_27-CR-20-1893_Order for Conditional Release_2023-07-14_20240430084859.pdf")</f>
        <v>MCRO_27-CR-20-1893_Order for Conditional Release_2023-07-14_20240430084859.pdf</v>
      </c>
      <c r="C843" s="1" t="n">
        <v>4</v>
      </c>
      <c r="D843" s="1" t="n">
        <v>1</v>
      </c>
      <c r="E843" s="1" t="n">
        <v>1</v>
      </c>
      <c r="F843" s="3" t="s">
        <v>20</v>
      </c>
      <c r="G843" s="3" t="s">
        <v>3517</v>
      </c>
      <c r="H843" s="1" t="s">
        <v>22</v>
      </c>
      <c r="I843" s="1" t="n">
        <v>20240430084859</v>
      </c>
      <c r="J843" s="3" t="s">
        <v>3518</v>
      </c>
      <c r="K843" s="3" t="s">
        <v>3519</v>
      </c>
      <c r="L843" s="3" t="s">
        <v>3520</v>
      </c>
      <c r="M843" s="3" t="n">
        <v>652003</v>
      </c>
      <c r="N843" s="3" t="s">
        <v>1273</v>
      </c>
      <c r="O843" s="1" t="n">
        <v>635617</v>
      </c>
      <c r="P843" s="1" t="n">
        <v>97.49</v>
      </c>
      <c r="Q843" s="1" t="s">
        <v>20</v>
      </c>
      <c r="R843" s="1" t="s">
        <v>27</v>
      </c>
      <c r="S843" s="1" t="s">
        <v>28</v>
      </c>
      <c r="T843" s="1" t="s">
        <v>29</v>
      </c>
    </row>
    <row r="844" customFormat="false" ht="18.7" hidden="false" customHeight="true" outlineLevel="0" collapsed="false">
      <c r="A844" s="1" t="n">
        <v>843</v>
      </c>
      <c r="B844" s="6" t="str">
        <f aca="false">HYPERLINK("https://mncourtfraud.com/file/MCRO_27-CR-20-1893_Order-Other_2022-12-12_20240430084907.pdf","MCRO_27-CR-20-1893_Order-Other_2022-12-12_20240430084907.pdf")</f>
        <v>MCRO_27-CR-20-1893_Order-Other_2022-12-12_20240430084907.pdf</v>
      </c>
      <c r="C844" s="1" t="n">
        <v>4</v>
      </c>
      <c r="D844" s="1" t="n">
        <v>1</v>
      </c>
      <c r="E844" s="1" t="n">
        <v>1</v>
      </c>
      <c r="F844" s="3" t="s">
        <v>20</v>
      </c>
      <c r="G844" s="3" t="s">
        <v>3521</v>
      </c>
      <c r="H844" s="1" t="s">
        <v>22</v>
      </c>
      <c r="I844" s="1" t="n">
        <v>20240430084907</v>
      </c>
      <c r="J844" s="3" t="s">
        <v>3522</v>
      </c>
      <c r="K844" s="3" t="s">
        <v>3523</v>
      </c>
      <c r="L844" s="3" t="s">
        <v>3524</v>
      </c>
      <c r="M844" s="3" t="n">
        <v>96791</v>
      </c>
      <c r="N844" s="3" t="s">
        <v>435</v>
      </c>
      <c r="O844" s="1" t="n">
        <v>80405</v>
      </c>
      <c r="P844" s="1" t="n">
        <v>83.07</v>
      </c>
      <c r="Q844" s="1" t="s">
        <v>20</v>
      </c>
      <c r="R844" s="1" t="s">
        <v>27</v>
      </c>
      <c r="S844" s="1" t="s">
        <v>28</v>
      </c>
      <c r="T844" s="1" t="s">
        <v>29</v>
      </c>
    </row>
    <row r="845" customFormat="false" ht="18.7" hidden="false" customHeight="true" outlineLevel="0" collapsed="false">
      <c r="A845" s="1" t="n">
        <v>844</v>
      </c>
      <c r="B845" s="6" t="str">
        <f aca="false">HYPERLINK("https://mncourtfraud.com/file/MCRO_27-CR-20-1893_Order-Other_2023-01-26_20240430084904.pdf","MCRO_27-CR-20-1893_Order-Other_2023-01-26_20240430084904.pdf")</f>
        <v>MCRO_27-CR-20-1893_Order-Other_2023-01-26_20240430084904.pdf</v>
      </c>
      <c r="C845" s="1" t="n">
        <v>4</v>
      </c>
      <c r="D845" s="1" t="n">
        <v>1</v>
      </c>
      <c r="E845" s="1" t="n">
        <v>1</v>
      </c>
      <c r="F845" s="3" t="s">
        <v>20</v>
      </c>
      <c r="G845" s="3" t="s">
        <v>3525</v>
      </c>
      <c r="H845" s="1" t="s">
        <v>22</v>
      </c>
      <c r="I845" s="1" t="n">
        <v>20240430084904</v>
      </c>
      <c r="J845" s="3" t="s">
        <v>3526</v>
      </c>
      <c r="K845" s="3" t="s">
        <v>3527</v>
      </c>
      <c r="L845" s="3" t="s">
        <v>3528</v>
      </c>
      <c r="M845" s="3" t="n">
        <v>545630</v>
      </c>
      <c r="N845" s="3" t="s">
        <v>158</v>
      </c>
      <c r="O845" s="1" t="n">
        <v>529244</v>
      </c>
      <c r="P845" s="1" t="n">
        <v>97</v>
      </c>
      <c r="Q845" s="1" t="s">
        <v>20</v>
      </c>
      <c r="R845" s="1" t="s">
        <v>27</v>
      </c>
      <c r="S845" s="1" t="s">
        <v>28</v>
      </c>
      <c r="T845" s="1" t="s">
        <v>29</v>
      </c>
    </row>
    <row r="846" customFormat="false" ht="18.7" hidden="false" customHeight="true" outlineLevel="0" collapsed="false">
      <c r="A846" s="1" t="n">
        <v>845</v>
      </c>
      <c r="B846" s="6" t="str">
        <f aca="false">HYPERLINK("https://mncourtfraud.com/file/MCRO_27-CR-20-1893_Order Revoking Interim Conditions of Release_2020-06-10_20240430084922.pdf","MCRO_27-CR-20-1893_Order Revoking Interim Conditions of Release_2020-06-10_20240430084922.pdf")</f>
        <v>MCRO_27-CR-20-1893_Order Revoking Interim Conditions of Release_2020-06-10_20240430084922.pdf</v>
      </c>
      <c r="C846" s="1" t="n">
        <v>6</v>
      </c>
      <c r="D846" s="1" t="n">
        <v>3</v>
      </c>
      <c r="E846" s="1" t="n">
        <v>3</v>
      </c>
      <c r="F846" s="3" t="s">
        <v>27</v>
      </c>
      <c r="G846" s="3" t="s">
        <v>3529</v>
      </c>
      <c r="H846" s="1" t="s">
        <v>22</v>
      </c>
      <c r="I846" s="1" t="n">
        <v>20240430084922</v>
      </c>
      <c r="J846" s="3" t="s">
        <v>3530</v>
      </c>
      <c r="K846" s="3" t="s">
        <v>3531</v>
      </c>
      <c r="L846" s="3" t="s">
        <v>3532</v>
      </c>
      <c r="M846" s="3" t="n">
        <v>1473955</v>
      </c>
      <c r="N846" s="3" t="s">
        <v>1494</v>
      </c>
      <c r="O846" s="1" t="n">
        <v>1457569</v>
      </c>
      <c r="P846" s="1" t="n">
        <v>98.89</v>
      </c>
      <c r="Q846" s="1" t="s">
        <v>20</v>
      </c>
      <c r="R846" s="1" t="s">
        <v>27</v>
      </c>
      <c r="S846" s="1" t="s">
        <v>28</v>
      </c>
      <c r="T846" s="1" t="s">
        <v>29</v>
      </c>
    </row>
    <row r="847" customFormat="false" ht="18.7" hidden="false" customHeight="true" outlineLevel="0" collapsed="false">
      <c r="A847" s="1" t="n">
        <v>846</v>
      </c>
      <c r="B847" s="6" t="str">
        <f aca="false">HYPERLINK("https://mncourtfraud.com/file/MCRO_27-CR-20-1893_Order Revoking Interim Conditions of Release_2020-12-31_20240430084914.pdf","MCRO_27-CR-20-1893_Order Revoking Interim Conditions of Release_2020-12-31_20240430084914.pdf")</f>
        <v>MCRO_27-CR-20-1893_Order Revoking Interim Conditions of Release_2020-12-31_20240430084914.pdf</v>
      </c>
      <c r="C847" s="1" t="n">
        <v>5</v>
      </c>
      <c r="D847" s="1" t="n">
        <v>3</v>
      </c>
      <c r="E847" s="1" t="n">
        <v>3</v>
      </c>
      <c r="F847" s="3" t="s">
        <v>20</v>
      </c>
      <c r="G847" s="3" t="s">
        <v>3533</v>
      </c>
      <c r="H847" s="1" t="s">
        <v>22</v>
      </c>
      <c r="I847" s="1" t="n">
        <v>20240430084914</v>
      </c>
      <c r="J847" s="3" t="s">
        <v>3534</v>
      </c>
      <c r="K847" s="3" t="s">
        <v>3535</v>
      </c>
      <c r="L847" s="3" t="s">
        <v>3536</v>
      </c>
      <c r="M847" s="3" t="n">
        <v>344360</v>
      </c>
      <c r="N847" s="3" t="s">
        <v>2541</v>
      </c>
      <c r="O847" s="1" t="n">
        <v>327974</v>
      </c>
      <c r="P847" s="1" t="n">
        <v>95.24</v>
      </c>
      <c r="Q847" s="1" t="s">
        <v>20</v>
      </c>
      <c r="R847" s="1" t="s">
        <v>27</v>
      </c>
      <c r="S847" s="1" t="s">
        <v>28</v>
      </c>
      <c r="T847" s="1" t="s">
        <v>29</v>
      </c>
    </row>
    <row r="848" customFormat="false" ht="18.7" hidden="false" customHeight="true" outlineLevel="0" collapsed="false">
      <c r="A848" s="1" t="n">
        <v>847</v>
      </c>
      <c r="B848" s="6" t="str">
        <f aca="false">HYPERLINK("https://mncourtfraud.com/file/MCRO_27-CR-20-1893_Petition to Enter Guilty Plea_2020-11-25_20240430084921.pdf","MCRO_27-CR-20-1893_Petition to Enter Guilty Plea_2020-11-25_20240430084921.pdf")</f>
        <v>MCRO_27-CR-20-1893_Petition to Enter Guilty Plea_2020-11-25_20240430084921.pdf</v>
      </c>
      <c r="C848" s="1" t="n">
        <v>4</v>
      </c>
      <c r="D848" s="1" t="n">
        <v>1</v>
      </c>
      <c r="E848" s="1" t="n">
        <v>1</v>
      </c>
      <c r="F848" s="3" t="s">
        <v>20</v>
      </c>
      <c r="G848" s="3" t="s">
        <v>3537</v>
      </c>
      <c r="H848" s="1" t="s">
        <v>22</v>
      </c>
      <c r="I848" s="1" t="n">
        <v>20240430084921</v>
      </c>
      <c r="J848" s="3" t="s">
        <v>3538</v>
      </c>
      <c r="K848" s="3" t="s">
        <v>3539</v>
      </c>
      <c r="L848" s="3" t="s">
        <v>3540</v>
      </c>
      <c r="M848" s="3" t="n">
        <v>373896</v>
      </c>
      <c r="N848" s="3" t="s">
        <v>3085</v>
      </c>
      <c r="O848" s="1" t="n">
        <v>357510</v>
      </c>
      <c r="P848" s="1" t="n">
        <v>95.62</v>
      </c>
      <c r="Q848" s="1" t="s">
        <v>20</v>
      </c>
      <c r="R848" s="1" t="s">
        <v>27</v>
      </c>
      <c r="S848" s="1" t="s">
        <v>28</v>
      </c>
      <c r="T848" s="1" t="s">
        <v>29</v>
      </c>
    </row>
    <row r="849" customFormat="false" ht="18.7" hidden="false" customHeight="true" outlineLevel="0" collapsed="false">
      <c r="A849" s="1" t="n">
        <v>848</v>
      </c>
      <c r="B849" s="6" t="str">
        <f aca="false">HYPERLINK("https://mncourtfraud.com/file/MCRO_27-CR-20-1893_Probation Referral Notification_2020-11-25_20240430084919.pdf","MCRO_27-CR-20-1893_Probation Referral Notification_2020-11-25_20240430084919.pdf")</f>
        <v>MCRO_27-CR-20-1893_Probation Referral Notification_2020-11-25_20240430084919.pdf</v>
      </c>
      <c r="C849" s="1" t="n">
        <v>4</v>
      </c>
      <c r="D849" s="1" t="n">
        <v>1</v>
      </c>
      <c r="E849" s="1" t="n">
        <v>1</v>
      </c>
      <c r="F849" s="3" t="s">
        <v>20</v>
      </c>
      <c r="G849" s="3" t="s">
        <v>3541</v>
      </c>
      <c r="H849" s="1" t="s">
        <v>22</v>
      </c>
      <c r="I849" s="1" t="n">
        <v>20240430084919</v>
      </c>
      <c r="J849" s="3" t="s">
        <v>3542</v>
      </c>
      <c r="K849" s="3" t="s">
        <v>3543</v>
      </c>
      <c r="L849" s="3" t="s">
        <v>3544</v>
      </c>
      <c r="M849" s="3" t="n">
        <v>101525</v>
      </c>
      <c r="N849" s="3" t="s">
        <v>128</v>
      </c>
      <c r="O849" s="1" t="n">
        <v>85139</v>
      </c>
      <c r="P849" s="1" t="n">
        <v>83.86</v>
      </c>
      <c r="Q849" s="1" t="s">
        <v>20</v>
      </c>
      <c r="R849" s="1" t="s">
        <v>27</v>
      </c>
      <c r="S849" s="1" t="s">
        <v>28</v>
      </c>
      <c r="T849" s="1" t="s">
        <v>29</v>
      </c>
    </row>
    <row r="850" customFormat="false" ht="18.7" hidden="false" customHeight="true" outlineLevel="0" collapsed="false">
      <c r="A850" s="1" t="n">
        <v>849</v>
      </c>
      <c r="B850" s="6" t="str">
        <f aca="false">HYPERLINK("https://mncourtfraud.com/file/MCRO_27-CR-20-1893_Probation Violation Warrant_2021-11-30_20240430084908.pdf","MCRO_27-CR-20-1893_Probation Violation Warrant_2021-11-30_20240430084908.pdf")</f>
        <v>MCRO_27-CR-20-1893_Probation Violation Warrant_2021-11-30_20240430084908.pdf</v>
      </c>
      <c r="C850" s="1" t="n">
        <v>5</v>
      </c>
      <c r="D850" s="1" t="n">
        <v>4</v>
      </c>
      <c r="E850" s="1" t="n">
        <v>4</v>
      </c>
      <c r="F850" s="3" t="s">
        <v>20</v>
      </c>
      <c r="G850" s="3" t="s">
        <v>3545</v>
      </c>
      <c r="H850" s="1" t="s">
        <v>22</v>
      </c>
      <c r="I850" s="1" t="n">
        <v>20240430084908</v>
      </c>
      <c r="J850" s="3" t="s">
        <v>3546</v>
      </c>
      <c r="K850" s="3" t="s">
        <v>3547</v>
      </c>
      <c r="L850" s="3" t="s">
        <v>3548</v>
      </c>
      <c r="M850" s="3" t="n">
        <v>389480</v>
      </c>
      <c r="N850" s="3" t="s">
        <v>3549</v>
      </c>
      <c r="O850" s="1" t="n">
        <v>373094</v>
      </c>
      <c r="P850" s="1" t="n">
        <v>95.79</v>
      </c>
      <c r="Q850" s="1" t="s">
        <v>20</v>
      </c>
      <c r="R850" s="1" t="s">
        <v>27</v>
      </c>
      <c r="S850" s="1" t="s">
        <v>28</v>
      </c>
      <c r="T850" s="1" t="s">
        <v>29</v>
      </c>
    </row>
    <row r="851" customFormat="false" ht="18.7" hidden="false" customHeight="true" outlineLevel="0" collapsed="false">
      <c r="A851" s="1" t="n">
        <v>850</v>
      </c>
      <c r="B851" s="6" t="str">
        <f aca="false">HYPERLINK("https://mncourtfraud.com/file/MCRO_27-CR-20-1893_Probation Violation Warrant_2023-05-17_20240430084901.pdf","MCRO_27-CR-20-1893_Probation Violation Warrant_2023-05-17_20240430084901.pdf")</f>
        <v>MCRO_27-CR-20-1893_Probation Violation Warrant_2023-05-17_20240430084901.pdf</v>
      </c>
      <c r="C851" s="1" t="n">
        <v>5</v>
      </c>
      <c r="D851" s="1" t="n">
        <v>4</v>
      </c>
      <c r="E851" s="1" t="n">
        <v>4</v>
      </c>
      <c r="F851" s="3" t="s">
        <v>20</v>
      </c>
      <c r="G851" s="3" t="s">
        <v>3550</v>
      </c>
      <c r="H851" s="1" t="s">
        <v>22</v>
      </c>
      <c r="I851" s="1" t="n">
        <v>20240430084901</v>
      </c>
      <c r="J851" s="3" t="s">
        <v>3551</v>
      </c>
      <c r="K851" s="3" t="s">
        <v>3552</v>
      </c>
      <c r="L851" s="3" t="s">
        <v>3553</v>
      </c>
      <c r="M851" s="3" t="n">
        <v>339603</v>
      </c>
      <c r="N851" s="3" t="s">
        <v>3554</v>
      </c>
      <c r="O851" s="1" t="n">
        <v>323217</v>
      </c>
      <c r="P851" s="1" t="n">
        <v>95.17</v>
      </c>
      <c r="Q851" s="1" t="s">
        <v>20</v>
      </c>
      <c r="R851" s="1" t="s">
        <v>27</v>
      </c>
      <c r="S851" s="1" t="s">
        <v>28</v>
      </c>
      <c r="T851" s="1" t="s">
        <v>29</v>
      </c>
    </row>
    <row r="852" customFormat="false" ht="18.7" hidden="false" customHeight="true" outlineLevel="0" collapsed="false">
      <c r="A852" s="1" t="n">
        <v>851</v>
      </c>
      <c r="B852" s="6" t="str">
        <f aca="false">HYPERLINK("https://mncourtfraud.com/file/MCRO_27-CR-20-1893_Probation Violation Warrant_2024-04-02_20240430084856.pdf","MCRO_27-CR-20-1893_Probation Violation Warrant_2024-04-02_20240430084856.pdf")</f>
        <v>MCRO_27-CR-20-1893_Probation Violation Warrant_2024-04-02_20240430084856.pdf</v>
      </c>
      <c r="C852" s="1" t="n">
        <v>3</v>
      </c>
      <c r="D852" s="1" t="n">
        <v>1</v>
      </c>
      <c r="E852" s="1" t="n">
        <v>1</v>
      </c>
      <c r="F852" s="3" t="s">
        <v>20</v>
      </c>
      <c r="G852" s="3" t="s">
        <v>3555</v>
      </c>
      <c r="H852" s="1" t="s">
        <v>22</v>
      </c>
      <c r="I852" s="1" t="n">
        <v>20240430084856</v>
      </c>
      <c r="J852" s="3" t="s">
        <v>3556</v>
      </c>
      <c r="K852" s="3" t="s">
        <v>3557</v>
      </c>
      <c r="L852" s="3" t="s">
        <v>3558</v>
      </c>
      <c r="M852" s="3" t="n">
        <v>258058</v>
      </c>
      <c r="N852" s="3" t="s">
        <v>3559</v>
      </c>
      <c r="O852" s="1" t="n">
        <v>241672</v>
      </c>
      <c r="P852" s="1" t="n">
        <v>93.65</v>
      </c>
      <c r="Q852" s="1" t="s">
        <v>20</v>
      </c>
      <c r="R852" s="1" t="s">
        <v>27</v>
      </c>
      <c r="S852" s="1" t="s">
        <v>28</v>
      </c>
      <c r="T852" s="1" t="s">
        <v>29</v>
      </c>
    </row>
    <row r="853" customFormat="false" ht="18.7" hidden="false" customHeight="true" outlineLevel="0" collapsed="false">
      <c r="A853" s="1" t="n">
        <v>852</v>
      </c>
      <c r="B853" s="6" t="str">
        <f aca="false">HYPERLINK("https://mncourtfraud.com/file/MCRO_27-CR-20-1893_Proposed Order or Document_2020-06-10_20240430084923.pdf","MCRO_27-CR-20-1893_Proposed Order or Document_2020-06-10_20240430084923.pdf")</f>
        <v>MCRO_27-CR-20-1893_Proposed Order or Document_2020-06-10_20240430084923.pdf</v>
      </c>
      <c r="C853" s="1" t="n">
        <v>3</v>
      </c>
      <c r="D853" s="1" t="n">
        <v>1</v>
      </c>
      <c r="E853" s="1" t="n">
        <v>1</v>
      </c>
      <c r="F853" s="3" t="s">
        <v>20</v>
      </c>
      <c r="G853" s="3" t="s">
        <v>3560</v>
      </c>
      <c r="H853" s="1" t="s">
        <v>22</v>
      </c>
      <c r="I853" s="1" t="n">
        <v>20240430084923</v>
      </c>
      <c r="J853" s="3" t="s">
        <v>3561</v>
      </c>
      <c r="K853" s="3" t="s">
        <v>3562</v>
      </c>
      <c r="L853" s="3" t="s">
        <v>3563</v>
      </c>
      <c r="M853" s="3" t="n">
        <v>172228</v>
      </c>
      <c r="N853" s="3" t="s">
        <v>1512</v>
      </c>
      <c r="O853" s="1" t="n">
        <v>155842</v>
      </c>
      <c r="P853" s="1" t="n">
        <v>90.49</v>
      </c>
      <c r="Q853" s="1" t="s">
        <v>20</v>
      </c>
      <c r="R853" s="1" t="s">
        <v>27</v>
      </c>
      <c r="S853" s="1" t="s">
        <v>28</v>
      </c>
      <c r="T853" s="1" t="s">
        <v>29</v>
      </c>
    </row>
    <row r="854" customFormat="false" ht="18.7" hidden="false" customHeight="true" outlineLevel="0" collapsed="false">
      <c r="A854" s="1" t="n">
        <v>853</v>
      </c>
      <c r="B854" s="6" t="str">
        <f aca="false">HYPERLINK("https://mncourtfraud.com/file/MCRO_27-CR-20-1893_Proposed Order or Document_2020-12-31_20240430084915.pdf","MCRO_27-CR-20-1893_Proposed Order or Document_2020-12-31_20240430084915.pdf")</f>
        <v>MCRO_27-CR-20-1893_Proposed Order or Document_2020-12-31_20240430084915.pdf</v>
      </c>
      <c r="C854" s="1" t="n">
        <v>3</v>
      </c>
      <c r="D854" s="1" t="n">
        <v>1</v>
      </c>
      <c r="E854" s="1" t="n">
        <v>1</v>
      </c>
      <c r="F854" s="3" t="s">
        <v>20</v>
      </c>
      <c r="G854" s="3" t="s">
        <v>3564</v>
      </c>
      <c r="H854" s="1" t="s">
        <v>22</v>
      </c>
      <c r="I854" s="1" t="n">
        <v>20240430084915</v>
      </c>
      <c r="J854" s="3" t="s">
        <v>3565</v>
      </c>
      <c r="K854" s="3" t="s">
        <v>3566</v>
      </c>
      <c r="L854" s="3" t="s">
        <v>3567</v>
      </c>
      <c r="M854" s="3" t="n">
        <v>172285</v>
      </c>
      <c r="N854" s="3" t="s">
        <v>1512</v>
      </c>
      <c r="O854" s="1" t="n">
        <v>155899</v>
      </c>
      <c r="P854" s="1" t="n">
        <v>90.49</v>
      </c>
      <c r="Q854" s="1" t="s">
        <v>20</v>
      </c>
      <c r="R854" s="1" t="s">
        <v>27</v>
      </c>
      <c r="S854" s="1" t="s">
        <v>28</v>
      </c>
      <c r="T854" s="1" t="s">
        <v>29</v>
      </c>
    </row>
    <row r="855" customFormat="false" ht="18.7" hidden="false" customHeight="true" outlineLevel="0" collapsed="false">
      <c r="A855" s="1" t="n">
        <v>854</v>
      </c>
      <c r="B855" s="6" t="str">
        <f aca="false">HYPERLINK("https://mncourtfraud.com/file/MCRO_27-CR-20-1893_Proposed Order or Document_2023-11-08_20240430084858.pdf","MCRO_27-CR-20-1893_Proposed Order or Document_2023-11-08_20240430084858.pdf")</f>
        <v>MCRO_27-CR-20-1893_Proposed Order or Document_2023-11-08_20240430084858.pdf</v>
      </c>
      <c r="C855" s="1" t="n">
        <v>3</v>
      </c>
      <c r="D855" s="1" t="n">
        <v>1</v>
      </c>
      <c r="E855" s="1" t="n">
        <v>1</v>
      </c>
      <c r="F855" s="3" t="s">
        <v>20</v>
      </c>
      <c r="G855" s="3" t="s">
        <v>3568</v>
      </c>
      <c r="H855" s="1" t="s">
        <v>22</v>
      </c>
      <c r="I855" s="1" t="n">
        <v>20240430084858</v>
      </c>
      <c r="J855" s="3" t="s">
        <v>3569</v>
      </c>
      <c r="K855" s="3" t="s">
        <v>3570</v>
      </c>
      <c r="L855" s="3" t="s">
        <v>3571</v>
      </c>
      <c r="M855" s="3" t="n">
        <v>224661</v>
      </c>
      <c r="N855" s="3" t="s">
        <v>3572</v>
      </c>
      <c r="O855" s="1" t="n">
        <v>208275</v>
      </c>
      <c r="P855" s="1" t="n">
        <v>92.71</v>
      </c>
      <c r="Q855" s="1" t="s">
        <v>20</v>
      </c>
      <c r="R855" s="1" t="s">
        <v>27</v>
      </c>
      <c r="S855" s="1" t="s">
        <v>28</v>
      </c>
      <c r="T855" s="1" t="s">
        <v>29</v>
      </c>
    </row>
    <row r="856" customFormat="false" ht="18.7" hidden="false" customHeight="true" outlineLevel="0" collapsed="false">
      <c r="A856" s="1" t="n">
        <v>855</v>
      </c>
      <c r="B856" s="6" t="str">
        <f aca="false">HYPERLINK("https://mncourtfraud.com/file/MCRO_27-CR-20-1893_Returned Mail_2022-12-20_20240430084905.pdf","MCRO_27-CR-20-1893_Returned Mail_2022-12-20_20240430084905.pdf")</f>
        <v>MCRO_27-CR-20-1893_Returned Mail_2022-12-20_20240430084905.pdf</v>
      </c>
      <c r="C856" s="1" t="n">
        <v>4</v>
      </c>
      <c r="D856" s="1" t="n">
        <v>1</v>
      </c>
      <c r="E856" s="1" t="n">
        <v>1</v>
      </c>
      <c r="F856" s="3" t="s">
        <v>20</v>
      </c>
      <c r="G856" s="3" t="s">
        <v>3573</v>
      </c>
      <c r="H856" s="1" t="s">
        <v>22</v>
      </c>
      <c r="I856" s="1" t="n">
        <v>20240430084905</v>
      </c>
      <c r="J856" s="3" t="s">
        <v>3574</v>
      </c>
      <c r="K856" s="3" t="s">
        <v>3575</v>
      </c>
      <c r="L856" s="3" t="s">
        <v>3576</v>
      </c>
      <c r="M856" s="3" t="n">
        <v>212587</v>
      </c>
      <c r="N856" s="3" t="s">
        <v>158</v>
      </c>
      <c r="O856" s="1" t="n">
        <v>196201</v>
      </c>
      <c r="P856" s="1" t="n">
        <v>92.29</v>
      </c>
      <c r="Q856" s="1" t="s">
        <v>20</v>
      </c>
      <c r="R856" s="1" t="s">
        <v>27</v>
      </c>
      <c r="S856" s="1" t="s">
        <v>28</v>
      </c>
      <c r="T856" s="1" t="s">
        <v>29</v>
      </c>
    </row>
    <row r="857" customFormat="false" ht="18.7" hidden="false" customHeight="true" outlineLevel="0" collapsed="false">
      <c r="A857" s="1" t="n">
        <v>856</v>
      </c>
      <c r="B857" s="6" t="str">
        <f aca="false">HYPERLINK("https://mncourtfraud.com/file/MCRO_27-CR-20-1893_Scheduling Order_2021-02-22_20240430084913.pdf","MCRO_27-CR-20-1893_Scheduling Order_2021-02-22_20240430084913.pdf")</f>
        <v>MCRO_27-CR-20-1893_Scheduling Order_2021-02-22_20240430084913.pdf</v>
      </c>
      <c r="C857" s="1" t="n">
        <v>4</v>
      </c>
      <c r="D857" s="1" t="n">
        <v>1</v>
      </c>
      <c r="E857" s="1" t="n">
        <v>1</v>
      </c>
      <c r="F857" s="3" t="s">
        <v>20</v>
      </c>
      <c r="G857" s="3" t="s">
        <v>3577</v>
      </c>
      <c r="H857" s="1" t="s">
        <v>22</v>
      </c>
      <c r="I857" s="1" t="n">
        <v>20240430084913</v>
      </c>
      <c r="J857" s="3" t="s">
        <v>3578</v>
      </c>
      <c r="K857" s="3" t="s">
        <v>3579</v>
      </c>
      <c r="L857" s="3" t="s">
        <v>3580</v>
      </c>
      <c r="M857" s="3" t="n">
        <v>109076</v>
      </c>
      <c r="N857" s="3" t="s">
        <v>2416</v>
      </c>
      <c r="O857" s="1" t="n">
        <v>92690</v>
      </c>
      <c r="P857" s="1" t="n">
        <v>84.98</v>
      </c>
      <c r="Q857" s="1" t="s">
        <v>20</v>
      </c>
      <c r="R857" s="1" t="s">
        <v>27</v>
      </c>
      <c r="S857" s="1" t="s">
        <v>28</v>
      </c>
      <c r="T857" s="1" t="s">
        <v>29</v>
      </c>
    </row>
    <row r="858" customFormat="false" ht="18.7" hidden="false" customHeight="true" outlineLevel="0" collapsed="false">
      <c r="A858" s="1" t="n">
        <v>857</v>
      </c>
      <c r="B858" s="6" t="str">
        <f aca="false">HYPERLINK("https://mncourtfraud.com/file/MCRO_27-CR-20-1893_Sentencing Order_2021-10-14_20240430084910.pdf","MCRO_27-CR-20-1893_Sentencing Order_2021-10-14_20240430084910.pdf")</f>
        <v>MCRO_27-CR-20-1893_Sentencing Order_2021-10-14_20240430084910.pdf</v>
      </c>
      <c r="C858" s="1" t="n">
        <v>4</v>
      </c>
      <c r="D858" s="1" t="n">
        <v>1</v>
      </c>
      <c r="E858" s="1" t="n">
        <v>1</v>
      </c>
      <c r="F858" s="3" t="s">
        <v>20</v>
      </c>
      <c r="G858" s="3" t="s">
        <v>3581</v>
      </c>
      <c r="H858" s="1" t="s">
        <v>22</v>
      </c>
      <c r="I858" s="1" t="n">
        <v>20240430084910</v>
      </c>
      <c r="J858" s="3" t="s">
        <v>3582</v>
      </c>
      <c r="K858" s="3" t="s">
        <v>3583</v>
      </c>
      <c r="L858" s="3" t="s">
        <v>3584</v>
      </c>
      <c r="M858" s="3" t="n">
        <v>716122</v>
      </c>
      <c r="N858" s="3" t="s">
        <v>741</v>
      </c>
      <c r="O858" s="1" t="n">
        <v>699736</v>
      </c>
      <c r="P858" s="1" t="n">
        <v>97.71</v>
      </c>
      <c r="Q858" s="1" t="s">
        <v>20</v>
      </c>
      <c r="R858" s="1" t="s">
        <v>27</v>
      </c>
      <c r="S858" s="1" t="s">
        <v>28</v>
      </c>
      <c r="T858" s="1" t="s">
        <v>29</v>
      </c>
    </row>
    <row r="859" customFormat="false" ht="18.7" hidden="false" customHeight="true" outlineLevel="0" collapsed="false">
      <c r="A859" s="1" t="n">
        <v>858</v>
      </c>
      <c r="B859" s="6" t="str">
        <f aca="false">HYPERLINK("https://mncourtfraud.com/file/MCRO_27-CR-20-1893_Witness List_2021-03-12_20240430084912.pdf","MCRO_27-CR-20-1893_Witness List_2021-03-12_20240430084912.pdf")</f>
        <v>MCRO_27-CR-20-1893_Witness List_2021-03-12_20240430084912.pdf</v>
      </c>
      <c r="C859" s="1" t="n">
        <v>4</v>
      </c>
      <c r="D859" s="1" t="n">
        <v>1</v>
      </c>
      <c r="E859" s="1" t="n">
        <v>1</v>
      </c>
      <c r="F859" s="3" t="s">
        <v>20</v>
      </c>
      <c r="G859" s="3" t="s">
        <v>3585</v>
      </c>
      <c r="H859" s="1" t="s">
        <v>22</v>
      </c>
      <c r="I859" s="1" t="n">
        <v>20240430084912</v>
      </c>
      <c r="J859" s="3" t="s">
        <v>3586</v>
      </c>
      <c r="K859" s="3" t="s">
        <v>3587</v>
      </c>
      <c r="L859" s="3" t="s">
        <v>3588</v>
      </c>
      <c r="M859" s="3" t="n">
        <v>456174</v>
      </c>
      <c r="N859" s="3" t="s">
        <v>593</v>
      </c>
      <c r="O859" s="1" t="n">
        <v>439788</v>
      </c>
      <c r="P859" s="1" t="n">
        <v>96.41</v>
      </c>
      <c r="Q859" s="1" t="s">
        <v>20</v>
      </c>
      <c r="R859" s="1" t="s">
        <v>27</v>
      </c>
      <c r="S859" s="1" t="s">
        <v>28</v>
      </c>
      <c r="T859" s="1" t="s">
        <v>29</v>
      </c>
    </row>
    <row r="860" customFormat="false" ht="18.7" hidden="false" customHeight="true" outlineLevel="0" collapsed="false">
      <c r="A860" s="1" t="n">
        <v>859</v>
      </c>
      <c r="B860" s="6" t="str">
        <f aca="false">HYPERLINK("https://mncourtfraud.com/file/MCRO_27-CR-20-19196_E-filed Comp-Order for Detention_2020-09-03_20240430090102.pdf","MCRO_27-CR-20-19196_E-filed Comp-Order for Detention_2020-09-03_20240430090102.pdf")</f>
        <v>MCRO_27-CR-20-19196_E-filed Comp-Order for Detention_2020-09-03_20240430090102.pdf</v>
      </c>
      <c r="C860" s="1" t="n">
        <v>4</v>
      </c>
      <c r="D860" s="1" t="n">
        <v>2</v>
      </c>
      <c r="E860" s="1" t="n">
        <v>2</v>
      </c>
      <c r="F860" s="3" t="s">
        <v>20</v>
      </c>
      <c r="G860" s="3" t="s">
        <v>3589</v>
      </c>
      <c r="H860" s="1" t="s">
        <v>22</v>
      </c>
      <c r="I860" s="1" t="n">
        <v>20240430090102</v>
      </c>
      <c r="J860" s="3" t="s">
        <v>3590</v>
      </c>
      <c r="K860" s="3" t="s">
        <v>3591</v>
      </c>
      <c r="L860" s="3" t="s">
        <v>3592</v>
      </c>
      <c r="M860" s="3" t="n">
        <v>539013</v>
      </c>
      <c r="N860" s="3" t="s">
        <v>3593</v>
      </c>
      <c r="O860" s="1" t="n">
        <v>522627</v>
      </c>
      <c r="P860" s="1" t="n">
        <v>96.96</v>
      </c>
      <c r="Q860" s="1" t="s">
        <v>20</v>
      </c>
      <c r="R860" s="1" t="s">
        <v>27</v>
      </c>
      <c r="S860" s="1" t="s">
        <v>28</v>
      </c>
      <c r="T860" s="1" t="s">
        <v>29</v>
      </c>
    </row>
    <row r="861" customFormat="false" ht="18.7" hidden="false" customHeight="true" outlineLevel="0" collapsed="false">
      <c r="A861" s="1" t="n">
        <v>860</v>
      </c>
      <c r="B861" s="6" t="str">
        <f aca="false">HYPERLINK("https://mncourtfraud.com/file/MCRO_27-CR-20-19196_Finding of Incompetency and Order_2023-06-01_20240430090046.pdf","MCRO_27-CR-20-19196_Finding of Incompetency and Order_2023-06-01_20240430090046.pdf")</f>
        <v>MCRO_27-CR-20-19196_Finding of Incompetency and Order_2023-06-01_20240430090046.pdf</v>
      </c>
      <c r="C861" s="1" t="n">
        <v>9</v>
      </c>
      <c r="D861" s="1" t="n">
        <v>3</v>
      </c>
      <c r="E861" s="1" t="n">
        <v>3</v>
      </c>
      <c r="F861" s="3" t="s">
        <v>27</v>
      </c>
      <c r="G861" s="3" t="s">
        <v>3594</v>
      </c>
      <c r="H861" s="1" t="s">
        <v>22</v>
      </c>
      <c r="I861" s="1" t="n">
        <v>20240430090046</v>
      </c>
      <c r="J861" s="3" t="s">
        <v>3595</v>
      </c>
      <c r="K861" s="3" t="s">
        <v>3596</v>
      </c>
      <c r="L861" s="3" t="s">
        <v>3597</v>
      </c>
      <c r="M861" s="3" t="n">
        <v>964537</v>
      </c>
      <c r="N861" s="3" t="s">
        <v>1019</v>
      </c>
      <c r="O861" s="1" t="n">
        <v>948151</v>
      </c>
      <c r="P861" s="1" t="n">
        <v>98.3</v>
      </c>
      <c r="Q861" s="1" t="s">
        <v>20</v>
      </c>
      <c r="R861" s="1" t="s">
        <v>27</v>
      </c>
      <c r="S861" s="1" t="s">
        <v>28</v>
      </c>
      <c r="T861" s="1" t="s">
        <v>29</v>
      </c>
    </row>
    <row r="862" customFormat="false" ht="18.7" hidden="false" customHeight="true" outlineLevel="0" collapsed="false">
      <c r="A862" s="1" t="n">
        <v>861</v>
      </c>
      <c r="B862" s="6" t="str">
        <f aca="false">HYPERLINK("https://mncourtfraud.com/file/MCRO_27-CR-20-19196_Findings and Order_2021-05-18_20240430090055.pdf","MCRO_27-CR-20-19196_Findings and Order_2021-05-18_20240430090055.pdf")</f>
        <v>MCRO_27-CR-20-19196_Findings and Order_2021-05-18_20240430090055.pdf</v>
      </c>
      <c r="C862" s="1" t="n">
        <v>5</v>
      </c>
      <c r="D862" s="1" t="n">
        <v>1</v>
      </c>
      <c r="E862" s="1" t="n">
        <v>1</v>
      </c>
      <c r="F862" s="3" t="s">
        <v>20</v>
      </c>
      <c r="G862" s="3" t="s">
        <v>3598</v>
      </c>
      <c r="H862" s="1" t="s">
        <v>22</v>
      </c>
      <c r="I862" s="1" t="n">
        <v>20240430090055</v>
      </c>
      <c r="J862" s="3" t="s">
        <v>3599</v>
      </c>
      <c r="K862" s="3" t="s">
        <v>3600</v>
      </c>
      <c r="L862" s="3" t="s">
        <v>3601</v>
      </c>
      <c r="M862" s="3" t="n">
        <v>285891</v>
      </c>
      <c r="N862" s="3" t="s">
        <v>3602</v>
      </c>
      <c r="O862" s="1" t="n">
        <v>269505</v>
      </c>
      <c r="P862" s="1" t="n">
        <v>94.27</v>
      </c>
      <c r="Q862" s="1" t="s">
        <v>20</v>
      </c>
      <c r="R862" s="1" t="s">
        <v>27</v>
      </c>
      <c r="S862" s="1" t="s">
        <v>28</v>
      </c>
      <c r="T862" s="1" t="s">
        <v>29</v>
      </c>
    </row>
    <row r="863" customFormat="false" ht="18.7" hidden="false" customHeight="true" outlineLevel="0" collapsed="false">
      <c r="A863" s="1" t="n">
        <v>862</v>
      </c>
      <c r="B863" s="6" t="str">
        <f aca="false">HYPERLINK("https://mncourtfraud.com/file/MCRO_27-CR-20-19196_Law Enforcement Notice of Release and Appearance_2020-09-04_20240430090100.pdf","MCRO_27-CR-20-19196_Law Enforcement Notice of Release and Appearance_2020-09-04_20240430090100.pdf")</f>
        <v>MCRO_27-CR-20-19196_Law Enforcement Notice of Release and Appearance_2020-09-04_20240430090100.pdf</v>
      </c>
      <c r="C863" s="1" t="n">
        <v>4</v>
      </c>
      <c r="D863" s="1" t="n">
        <v>1</v>
      </c>
      <c r="E863" s="1" t="n">
        <v>1</v>
      </c>
      <c r="F863" s="3" t="s">
        <v>20</v>
      </c>
      <c r="G863" s="3" t="s">
        <v>3603</v>
      </c>
      <c r="H863" s="1" t="s">
        <v>22</v>
      </c>
      <c r="I863" s="1" t="n">
        <v>20240430090100</v>
      </c>
      <c r="J863" s="3" t="s">
        <v>3604</v>
      </c>
      <c r="K863" s="3" t="s">
        <v>3605</v>
      </c>
      <c r="L863" s="3" t="s">
        <v>3606</v>
      </c>
      <c r="M863" s="3" t="n">
        <v>109188</v>
      </c>
      <c r="N863" s="3" t="s">
        <v>137</v>
      </c>
      <c r="O863" s="1" t="n">
        <v>92802</v>
      </c>
      <c r="P863" s="1" t="n">
        <v>84.99</v>
      </c>
      <c r="Q863" s="1" t="s">
        <v>20</v>
      </c>
      <c r="R863" s="1" t="s">
        <v>27</v>
      </c>
      <c r="S863" s="1" t="s">
        <v>28</v>
      </c>
      <c r="T863" s="1" t="s">
        <v>29</v>
      </c>
    </row>
    <row r="864" customFormat="false" ht="18.7" hidden="false" customHeight="true" outlineLevel="0" collapsed="false">
      <c r="A864" s="1" t="n">
        <v>863</v>
      </c>
      <c r="B864" s="6" t="str">
        <f aca="false">HYPERLINK("https://mncourtfraud.com/file/MCRO_27-CR-20-19196_Notice of Hearing_2020-09-04_20240430090059.pdf","MCRO_27-CR-20-19196_Notice of Hearing_2020-09-04_20240430090059.pdf")</f>
        <v>MCRO_27-CR-20-19196_Notice of Hearing_2020-09-04_20240430090059.pdf</v>
      </c>
      <c r="C864" s="1" t="n">
        <v>4</v>
      </c>
      <c r="D864" s="1" t="n">
        <v>1</v>
      </c>
      <c r="E864" s="1" t="n">
        <v>1</v>
      </c>
      <c r="F864" s="3" t="s">
        <v>20</v>
      </c>
      <c r="G864" s="3" t="s">
        <v>3607</v>
      </c>
      <c r="H864" s="1" t="s">
        <v>22</v>
      </c>
      <c r="I864" s="1" t="n">
        <v>20240430090059</v>
      </c>
      <c r="J864" s="3" t="s">
        <v>3608</v>
      </c>
      <c r="K864" s="3" t="s">
        <v>3609</v>
      </c>
      <c r="L864" s="3" t="s">
        <v>3610</v>
      </c>
      <c r="M864" s="3" t="n">
        <v>102246</v>
      </c>
      <c r="N864" s="3" t="s">
        <v>137</v>
      </c>
      <c r="O864" s="1" t="n">
        <v>85860</v>
      </c>
      <c r="P864" s="1" t="n">
        <v>83.97</v>
      </c>
      <c r="Q864" s="1" t="s">
        <v>20</v>
      </c>
      <c r="R864" s="1" t="s">
        <v>27</v>
      </c>
      <c r="S864" s="1" t="s">
        <v>28</v>
      </c>
      <c r="T864" s="1" t="s">
        <v>29</v>
      </c>
    </row>
    <row r="865" customFormat="false" ht="18.7" hidden="false" customHeight="true" outlineLevel="0" collapsed="false">
      <c r="A865" s="1" t="n">
        <v>864</v>
      </c>
      <c r="B865" s="6" t="str">
        <f aca="false">HYPERLINK("https://mncourtfraud.com/file/MCRO_27-CR-20-19196_Notice of Intent to Prosecute_2021-05-18_20240430090056.pdf","MCRO_27-CR-20-19196_Notice of Intent to Prosecute_2021-05-18_20240430090056.pdf")</f>
        <v>MCRO_27-CR-20-19196_Notice of Intent to Prosecute_2021-05-18_20240430090056.pdf</v>
      </c>
      <c r="C865" s="1" t="n">
        <v>3</v>
      </c>
      <c r="D865" s="1" t="n">
        <v>1</v>
      </c>
      <c r="E865" s="1" t="n">
        <v>1</v>
      </c>
      <c r="F865" s="3" t="s">
        <v>20</v>
      </c>
      <c r="G865" s="3" t="s">
        <v>3611</v>
      </c>
      <c r="H865" s="1" t="s">
        <v>22</v>
      </c>
      <c r="I865" s="1" t="n">
        <v>20240430090056</v>
      </c>
      <c r="J865" s="3" t="s">
        <v>3612</v>
      </c>
      <c r="K865" s="3" t="s">
        <v>3613</v>
      </c>
      <c r="L865" s="3" t="s">
        <v>3614</v>
      </c>
      <c r="M865" s="3" t="n">
        <v>136421</v>
      </c>
      <c r="N865" s="3" t="s">
        <v>2777</v>
      </c>
      <c r="O865" s="1" t="n">
        <v>120035</v>
      </c>
      <c r="P865" s="1" t="n">
        <v>87.99</v>
      </c>
      <c r="Q865" s="1" t="s">
        <v>20</v>
      </c>
      <c r="R865" s="1" t="s">
        <v>27</v>
      </c>
      <c r="S865" s="1" t="s">
        <v>28</v>
      </c>
      <c r="T865" s="1" t="s">
        <v>29</v>
      </c>
    </row>
    <row r="866" customFormat="false" ht="18.7" hidden="false" customHeight="true" outlineLevel="0" collapsed="false">
      <c r="A866" s="1" t="n">
        <v>865</v>
      </c>
      <c r="B866" s="6" t="str">
        <f aca="false">HYPERLINK("https://mncourtfraud.com/file/MCRO_27-CR-20-19196_Notice of Intent to Prosecute_2022-11-28_20240430090048.pdf","MCRO_27-CR-20-19196_Notice of Intent to Prosecute_2022-11-28_20240430090048.pdf")</f>
        <v>MCRO_27-CR-20-19196_Notice of Intent to Prosecute_2022-11-28_20240430090048.pdf</v>
      </c>
      <c r="C866" s="1" t="n">
        <v>3</v>
      </c>
      <c r="D866" s="1" t="n">
        <v>1</v>
      </c>
      <c r="E866" s="1" t="n">
        <v>1</v>
      </c>
      <c r="F866" s="3" t="s">
        <v>20</v>
      </c>
      <c r="G866" s="3" t="s">
        <v>3615</v>
      </c>
      <c r="H866" s="1" t="s">
        <v>22</v>
      </c>
      <c r="I866" s="1" t="n">
        <v>20240430090048</v>
      </c>
      <c r="J866" s="3" t="s">
        <v>3616</v>
      </c>
      <c r="K866" s="3" t="s">
        <v>3617</v>
      </c>
      <c r="L866" s="3" t="s">
        <v>3618</v>
      </c>
      <c r="M866" s="3" t="n">
        <v>136541</v>
      </c>
      <c r="N866" s="3" t="s">
        <v>854</v>
      </c>
      <c r="O866" s="1" t="n">
        <v>120155</v>
      </c>
      <c r="P866" s="1" t="n">
        <v>88</v>
      </c>
      <c r="Q866" s="1" t="s">
        <v>20</v>
      </c>
      <c r="R866" s="1" t="s">
        <v>27</v>
      </c>
      <c r="S866" s="1" t="s">
        <v>28</v>
      </c>
      <c r="T866" s="1" t="s">
        <v>29</v>
      </c>
    </row>
    <row r="867" customFormat="false" ht="18.7" hidden="false" customHeight="true" outlineLevel="0" collapsed="false">
      <c r="A867" s="1" t="n">
        <v>866</v>
      </c>
      <c r="B867" s="6" t="str">
        <f aca="false">HYPERLINK("https://mncourtfraud.com/file/MCRO_27-CR-20-19196_Notice of Remote Hearing with Instructions_2021-11-17_20240430090053.pdf","MCRO_27-CR-20-19196_Notice of Remote Hearing with Instructions_2021-11-17_20240430090053.pdf")</f>
        <v>MCRO_27-CR-20-19196_Notice of Remote Hearing with Instructions_2021-11-17_20240430090053.pdf</v>
      </c>
      <c r="C867" s="1" t="n">
        <v>4</v>
      </c>
      <c r="D867" s="1" t="n">
        <v>1</v>
      </c>
      <c r="E867" s="1" t="n">
        <v>1</v>
      </c>
      <c r="F867" s="3" t="s">
        <v>20</v>
      </c>
      <c r="G867" s="3" t="s">
        <v>3619</v>
      </c>
      <c r="H867" s="1" t="s">
        <v>22</v>
      </c>
      <c r="I867" s="1" t="n">
        <v>20240430090053</v>
      </c>
      <c r="J867" s="3" t="s">
        <v>3620</v>
      </c>
      <c r="K867" s="3" t="s">
        <v>3621</v>
      </c>
      <c r="L867" s="3" t="s">
        <v>3622</v>
      </c>
      <c r="M867" s="3" t="n">
        <v>212850</v>
      </c>
      <c r="N867" s="3" t="s">
        <v>2861</v>
      </c>
      <c r="O867" s="1" t="n">
        <v>196464</v>
      </c>
      <c r="P867" s="1" t="n">
        <v>92.3</v>
      </c>
      <c r="Q867" s="1" t="s">
        <v>20</v>
      </c>
      <c r="R867" s="1" t="s">
        <v>27</v>
      </c>
      <c r="S867" s="1" t="s">
        <v>28</v>
      </c>
      <c r="T867" s="1" t="s">
        <v>29</v>
      </c>
    </row>
    <row r="868" customFormat="false" ht="18.7" hidden="false" customHeight="true" outlineLevel="0" collapsed="false">
      <c r="A868" s="1" t="n">
        <v>867</v>
      </c>
      <c r="B868" s="6" t="str">
        <f aca="false">HYPERLINK("https://mncourtfraud.com/file/MCRO_27-CR-20-19196_Notice of Remote Hearing with Instructions_2023-06-01_20240430090044.pdf","MCRO_27-CR-20-19196_Notice of Remote Hearing with Instructions_2023-06-01_20240430090044.pdf")</f>
        <v>MCRO_27-CR-20-19196_Notice of Remote Hearing with Instructions_2023-06-01_20240430090044.pdf</v>
      </c>
      <c r="C868" s="1" t="n">
        <v>5</v>
      </c>
      <c r="D868" s="1" t="n">
        <v>1</v>
      </c>
      <c r="E868" s="1" t="n">
        <v>1</v>
      </c>
      <c r="F868" s="3" t="s">
        <v>20</v>
      </c>
      <c r="G868" s="3" t="s">
        <v>3623</v>
      </c>
      <c r="H868" s="1" t="s">
        <v>22</v>
      </c>
      <c r="I868" s="1" t="n">
        <v>20240430090044</v>
      </c>
      <c r="J868" s="3" t="s">
        <v>3624</v>
      </c>
      <c r="K868" s="3" t="s">
        <v>3625</v>
      </c>
      <c r="L868" s="3" t="s">
        <v>3626</v>
      </c>
      <c r="M868" s="3" t="n">
        <v>845535</v>
      </c>
      <c r="N868" s="3" t="s">
        <v>510</v>
      </c>
      <c r="O868" s="1" t="n">
        <v>829149</v>
      </c>
      <c r="P868" s="1" t="n">
        <v>98.06</v>
      </c>
      <c r="Q868" s="1" t="s">
        <v>20</v>
      </c>
      <c r="R868" s="1" t="s">
        <v>27</v>
      </c>
      <c r="S868" s="1" t="s">
        <v>28</v>
      </c>
      <c r="T868" s="1" t="s">
        <v>29</v>
      </c>
    </row>
    <row r="869" customFormat="false" ht="18.7" hidden="false" customHeight="true" outlineLevel="0" collapsed="false">
      <c r="A869" s="1" t="n">
        <v>868</v>
      </c>
      <c r="B869" s="6" t="str">
        <f aca="false">HYPERLINK("https://mncourtfraud.com/file/MCRO_27-CR-20-19196_Notice of Remote Hearing with Instructions_2023-11-28_20240430090042.pdf","MCRO_27-CR-20-19196_Notice of Remote Hearing with Instructions_2023-11-28_20240430090042.pdf")</f>
        <v>MCRO_27-CR-20-19196_Notice of Remote Hearing with Instructions_2023-11-28_20240430090042.pdf</v>
      </c>
      <c r="C869" s="1" t="n">
        <v>4</v>
      </c>
      <c r="D869" s="1" t="n">
        <v>1</v>
      </c>
      <c r="E869" s="1" t="n">
        <v>1</v>
      </c>
      <c r="F869" s="3" t="s">
        <v>20</v>
      </c>
      <c r="G869" s="3" t="s">
        <v>3627</v>
      </c>
      <c r="H869" s="1" t="s">
        <v>22</v>
      </c>
      <c r="I869" s="1" t="n">
        <v>20240430090042</v>
      </c>
      <c r="J869" s="3" t="s">
        <v>3628</v>
      </c>
      <c r="K869" s="3" t="s">
        <v>3629</v>
      </c>
      <c r="L869" s="3" t="s">
        <v>3630</v>
      </c>
      <c r="M869" s="3" t="n">
        <v>269596</v>
      </c>
      <c r="N869" s="3" t="s">
        <v>74</v>
      </c>
      <c r="O869" s="1" t="n">
        <v>253210</v>
      </c>
      <c r="P869" s="1" t="n">
        <v>93.92</v>
      </c>
      <c r="Q869" s="1" t="s">
        <v>20</v>
      </c>
      <c r="R869" s="1" t="s">
        <v>27</v>
      </c>
      <c r="S869" s="1" t="s">
        <v>28</v>
      </c>
      <c r="T869" s="1" t="s">
        <v>29</v>
      </c>
    </row>
    <row r="870" customFormat="false" ht="18.7" hidden="false" customHeight="true" outlineLevel="0" collapsed="false">
      <c r="A870" s="1" t="n">
        <v>869</v>
      </c>
      <c r="B870" s="6" t="str">
        <f aca="false">HYPERLINK("https://mncourtfraud.com/file/MCRO_27-CR-20-19196_Notice of Remote Hearing with Instructions_2023-12-12_20240430090041.pdf","MCRO_27-CR-20-19196_Notice of Remote Hearing with Instructions_2023-12-12_20240430090041.pdf")</f>
        <v>MCRO_27-CR-20-19196_Notice of Remote Hearing with Instructions_2023-12-12_20240430090041.pdf</v>
      </c>
      <c r="C870" s="1" t="n">
        <v>4</v>
      </c>
      <c r="D870" s="1" t="n">
        <v>1</v>
      </c>
      <c r="E870" s="1" t="n">
        <v>1</v>
      </c>
      <c r="F870" s="3" t="s">
        <v>20</v>
      </c>
      <c r="G870" s="3" t="s">
        <v>3631</v>
      </c>
      <c r="H870" s="1" t="s">
        <v>22</v>
      </c>
      <c r="I870" s="1" t="n">
        <v>20240430090041</v>
      </c>
      <c r="J870" s="3" t="s">
        <v>3632</v>
      </c>
      <c r="K870" s="3" t="s">
        <v>3633</v>
      </c>
      <c r="L870" s="3" t="s">
        <v>3634</v>
      </c>
      <c r="M870" s="3" t="n">
        <v>269806</v>
      </c>
      <c r="N870" s="3" t="s">
        <v>74</v>
      </c>
      <c r="O870" s="1" t="n">
        <v>253420</v>
      </c>
      <c r="P870" s="1" t="n">
        <v>93.93</v>
      </c>
      <c r="Q870" s="1" t="s">
        <v>20</v>
      </c>
      <c r="R870" s="1" t="s">
        <v>27</v>
      </c>
      <c r="S870" s="1" t="s">
        <v>28</v>
      </c>
      <c r="T870" s="1" t="s">
        <v>29</v>
      </c>
    </row>
    <row r="871" customFormat="false" ht="18.7" hidden="false" customHeight="true" outlineLevel="0" collapsed="false">
      <c r="A871" s="1" t="n">
        <v>870</v>
      </c>
      <c r="B871" s="6" t="str">
        <f aca="false">HYPERLINK("https://mncourtfraud.com/file/MCRO_27-CR-20-19196_Order-Evaluation for Competency to Proceed (Rule 20.01)_2021-08-06_20240430090054.pdf","MCRO_27-CR-20-19196_Order-Evaluation for Competency to Proceed (Rule 20.01)_2021-08-06_20240430090054.pdf")</f>
        <v>MCRO_27-CR-20-19196_Order-Evaluation for Competency to Proceed (Rule 20.01)_2021-08-06_20240430090054.pdf</v>
      </c>
      <c r="C871" s="1" t="n">
        <v>3</v>
      </c>
      <c r="D871" s="1" t="n">
        <v>1</v>
      </c>
      <c r="E871" s="1" t="n">
        <v>1</v>
      </c>
      <c r="F871" s="3" t="s">
        <v>20</v>
      </c>
      <c r="G871" s="3" t="s">
        <v>3635</v>
      </c>
      <c r="H871" s="1" t="s">
        <v>22</v>
      </c>
      <c r="I871" s="1" t="n">
        <v>20240430090054</v>
      </c>
      <c r="J871" s="3" t="s">
        <v>3636</v>
      </c>
      <c r="K871" s="3" t="s">
        <v>3637</v>
      </c>
      <c r="L871" s="3" t="s">
        <v>3638</v>
      </c>
      <c r="M871" s="3" t="n">
        <v>489248</v>
      </c>
      <c r="N871" s="3" t="s">
        <v>786</v>
      </c>
      <c r="O871" s="1" t="n">
        <v>472862</v>
      </c>
      <c r="P871" s="1" t="n">
        <v>96.65</v>
      </c>
      <c r="Q871" s="1" t="s">
        <v>20</v>
      </c>
      <c r="R871" s="1" t="s">
        <v>27</v>
      </c>
      <c r="S871" s="1" t="s">
        <v>28</v>
      </c>
      <c r="T871" s="1" t="s">
        <v>29</v>
      </c>
    </row>
    <row r="872" customFormat="false" ht="18.7" hidden="false" customHeight="true" outlineLevel="0" collapsed="false">
      <c r="A872" s="1" t="n">
        <v>871</v>
      </c>
      <c r="B872" s="6" t="str">
        <f aca="false">HYPERLINK("https://mncourtfraud.com/file/MCRO_27-CR-20-19196_Order-Evaluation for Competency to Proceed (Rule 20.01)_2022-03-23_20240430090052.pdf","MCRO_27-CR-20-19196_Order-Evaluation for Competency to Proceed (Rule 20.01)_2022-03-23_20240430090052.pdf")</f>
        <v>MCRO_27-CR-20-19196_Order-Evaluation for Competency to Proceed (Rule 20.01)_2022-03-23_20240430090052.pdf</v>
      </c>
      <c r="C872" s="1" t="n">
        <v>3</v>
      </c>
      <c r="D872" s="1" t="n">
        <v>1</v>
      </c>
      <c r="E872" s="1" t="n">
        <v>1</v>
      </c>
      <c r="F872" s="3" t="s">
        <v>20</v>
      </c>
      <c r="G872" s="3" t="s">
        <v>3639</v>
      </c>
      <c r="H872" s="1" t="s">
        <v>22</v>
      </c>
      <c r="I872" s="1" t="n">
        <v>20240430090052</v>
      </c>
      <c r="J872" s="3" t="s">
        <v>3640</v>
      </c>
      <c r="K872" s="3" t="s">
        <v>3641</v>
      </c>
      <c r="L872" s="3" t="s">
        <v>3642</v>
      </c>
      <c r="M872" s="3" t="n">
        <v>253032</v>
      </c>
      <c r="N872" s="3" t="s">
        <v>2818</v>
      </c>
      <c r="O872" s="1" t="n">
        <v>236646</v>
      </c>
      <c r="P872" s="1" t="n">
        <v>93.52</v>
      </c>
      <c r="Q872" s="1" t="s">
        <v>20</v>
      </c>
      <c r="R872" s="1" t="s">
        <v>27</v>
      </c>
      <c r="S872" s="1" t="s">
        <v>28</v>
      </c>
      <c r="T872" s="1" t="s">
        <v>29</v>
      </c>
    </row>
    <row r="873" customFormat="false" ht="18.7" hidden="false" customHeight="true" outlineLevel="0" collapsed="false">
      <c r="A873" s="1" t="n">
        <v>872</v>
      </c>
      <c r="B873" s="6" t="str">
        <f aca="false">HYPERLINK("https://mncourtfraud.com/file/MCRO_27-CR-20-19196_Order-Evaluation for Competency to Proceed (Rule 20.01)_2022-07-13_20240430090050.pdf","MCRO_27-CR-20-19196_Order-Evaluation for Competency to Proceed (Rule 20.01)_2022-07-13_20240430090050.pdf")</f>
        <v>MCRO_27-CR-20-19196_Order-Evaluation for Competency to Proceed (Rule 20.01)_2022-07-13_20240430090050.pdf</v>
      </c>
      <c r="C873" s="1" t="n">
        <v>6</v>
      </c>
      <c r="D873" s="1" t="n">
        <v>1</v>
      </c>
      <c r="E873" s="1" t="n">
        <v>1</v>
      </c>
      <c r="F873" s="3" t="s">
        <v>20</v>
      </c>
      <c r="G873" s="3" t="s">
        <v>3643</v>
      </c>
      <c r="H873" s="1" t="s">
        <v>22</v>
      </c>
      <c r="I873" s="1" t="n">
        <v>20240430090050</v>
      </c>
      <c r="J873" s="3" t="s">
        <v>3644</v>
      </c>
      <c r="K873" s="3" t="s">
        <v>3645</v>
      </c>
      <c r="L873" s="3" t="s">
        <v>3646</v>
      </c>
      <c r="M873" s="3" t="n">
        <v>1007642</v>
      </c>
      <c r="N873" s="3" t="s">
        <v>3647</v>
      </c>
      <c r="O873" s="1" t="n">
        <v>991256</v>
      </c>
      <c r="P873" s="1" t="n">
        <v>98.37</v>
      </c>
      <c r="Q873" s="1" t="s">
        <v>20</v>
      </c>
      <c r="R873" s="1" t="s">
        <v>27</v>
      </c>
      <c r="S873" s="1" t="s">
        <v>28</v>
      </c>
      <c r="T873" s="1" t="s">
        <v>29</v>
      </c>
    </row>
    <row r="874" customFormat="false" ht="18.7" hidden="false" customHeight="true" outlineLevel="0" collapsed="false">
      <c r="A874" s="1" t="n">
        <v>873</v>
      </c>
      <c r="B874" s="6" t="str">
        <f aca="false">HYPERLINK("https://mncourtfraud.com/file/MCRO_27-CR-20-19196_Order-Evaluation for Competency to Proceed (Rule 20.01)_2022-10-06_20240430090048.pdf","MCRO_27-CR-20-19196_Order-Evaluation for Competency to Proceed (Rule 20.01)_2022-10-06_20240430090048.pdf")</f>
        <v>MCRO_27-CR-20-19196_Order-Evaluation for Competency to Proceed (Rule 20.01)_2022-10-06_20240430090048.pdf</v>
      </c>
      <c r="C874" s="1" t="n">
        <v>4</v>
      </c>
      <c r="D874" s="1" t="n">
        <v>1</v>
      </c>
      <c r="E874" s="1" t="n">
        <v>1</v>
      </c>
      <c r="F874" s="3" t="s">
        <v>20</v>
      </c>
      <c r="G874" s="3" t="s">
        <v>3648</v>
      </c>
      <c r="H874" s="1" t="s">
        <v>22</v>
      </c>
      <c r="I874" s="1" t="n">
        <v>20240430090048</v>
      </c>
      <c r="J874" s="3" t="s">
        <v>3649</v>
      </c>
      <c r="K874" s="3" t="s">
        <v>3650</v>
      </c>
      <c r="L874" s="3" t="s">
        <v>3651</v>
      </c>
      <c r="M874" s="3" t="n">
        <v>149609</v>
      </c>
      <c r="N874" s="3" t="s">
        <v>1159</v>
      </c>
      <c r="O874" s="1" t="n">
        <v>133223</v>
      </c>
      <c r="P874" s="1" t="n">
        <v>89.05</v>
      </c>
      <c r="Q874" s="1" t="s">
        <v>20</v>
      </c>
      <c r="R874" s="1" t="s">
        <v>27</v>
      </c>
      <c r="S874" s="1" t="s">
        <v>28</v>
      </c>
      <c r="T874" s="1" t="s">
        <v>29</v>
      </c>
    </row>
    <row r="875" customFormat="false" ht="18.7" hidden="false" customHeight="true" outlineLevel="0" collapsed="false">
      <c r="A875" s="1" t="n">
        <v>874</v>
      </c>
      <c r="B875" s="6" t="str">
        <f aca="false">HYPERLINK("https://mncourtfraud.com/file/MCRO_27-CR-20-19196_Order-Evaluation for Competency to Proceed (Rule 20.01)_2023-03-28_20240430090047.pdf","MCRO_27-CR-20-19196_Order-Evaluation for Competency to Proceed (Rule 20.01)_2023-03-28_20240430090047.pdf")</f>
        <v>MCRO_27-CR-20-19196_Order-Evaluation for Competency to Proceed (Rule 20.01)_2023-03-28_20240430090047.pdf</v>
      </c>
      <c r="C875" s="1" t="n">
        <v>6</v>
      </c>
      <c r="D875" s="1" t="n">
        <v>2</v>
      </c>
      <c r="E875" s="1" t="n">
        <v>2</v>
      </c>
      <c r="F875" s="3" t="s">
        <v>27</v>
      </c>
      <c r="G875" s="3" t="s">
        <v>3652</v>
      </c>
      <c r="H875" s="1" t="s">
        <v>22</v>
      </c>
      <c r="I875" s="1" t="n">
        <v>20240430090047</v>
      </c>
      <c r="J875" s="3" t="s">
        <v>3653</v>
      </c>
      <c r="K875" s="3" t="s">
        <v>3654</v>
      </c>
      <c r="L875" s="3" t="s">
        <v>3655</v>
      </c>
      <c r="M875" s="3" t="n">
        <v>889584</v>
      </c>
      <c r="N875" s="3" t="s">
        <v>559</v>
      </c>
      <c r="O875" s="1" t="n">
        <v>873198</v>
      </c>
      <c r="P875" s="1" t="n">
        <v>98.16</v>
      </c>
      <c r="Q875" s="1" t="s">
        <v>20</v>
      </c>
      <c r="R875" s="1" t="s">
        <v>27</v>
      </c>
      <c r="S875" s="1" t="s">
        <v>28</v>
      </c>
      <c r="T875" s="1" t="s">
        <v>29</v>
      </c>
    </row>
    <row r="876" customFormat="false" ht="18.7" hidden="false" customHeight="true" outlineLevel="0" collapsed="false">
      <c r="A876" s="1" t="n">
        <v>875</v>
      </c>
      <c r="B876" s="6" t="str">
        <f aca="false">HYPERLINK("https://mncourtfraud.com/file/MCRO_27-CR-20-19196_Order-Evaluation for Competency to Proceed (Rule 20.01)_2023-09-18_20240430090043.pdf","MCRO_27-CR-20-19196_Order-Evaluation for Competency to Proceed (Rule 20.01)_2023-09-18_20240430090043.pdf")</f>
        <v>MCRO_27-CR-20-19196_Order-Evaluation for Competency to Proceed (Rule 20.01)_2023-09-18_20240430090043.pdf</v>
      </c>
      <c r="C876" s="1" t="n">
        <v>6</v>
      </c>
      <c r="D876" s="1" t="n">
        <v>2</v>
      </c>
      <c r="E876" s="1" t="n">
        <v>2</v>
      </c>
      <c r="F876" s="3" t="s">
        <v>27</v>
      </c>
      <c r="G876" s="3" t="s">
        <v>3656</v>
      </c>
      <c r="H876" s="1" t="s">
        <v>22</v>
      </c>
      <c r="I876" s="1" t="n">
        <v>20240430090043</v>
      </c>
      <c r="J876" s="3" t="s">
        <v>3657</v>
      </c>
      <c r="K876" s="3" t="s">
        <v>3658</v>
      </c>
      <c r="L876" s="3" t="s">
        <v>3659</v>
      </c>
      <c r="M876" s="3" t="n">
        <v>861378</v>
      </c>
      <c r="N876" s="3" t="s">
        <v>564</v>
      </c>
      <c r="O876" s="1" t="n">
        <v>844992</v>
      </c>
      <c r="P876" s="1" t="n">
        <v>98.1</v>
      </c>
      <c r="Q876" s="1" t="s">
        <v>20</v>
      </c>
      <c r="R876" s="1" t="s">
        <v>27</v>
      </c>
      <c r="S876" s="1" t="s">
        <v>28</v>
      </c>
      <c r="T876" s="1" t="s">
        <v>29</v>
      </c>
    </row>
    <row r="877" customFormat="false" ht="18.7" hidden="false" customHeight="true" outlineLevel="0" collapsed="false">
      <c r="A877" s="1" t="n">
        <v>876</v>
      </c>
      <c r="B877" s="6" t="str">
        <f aca="false">HYPERLINK("https://mncourtfraud.com/file/MCRO_27-CR-20-19196_Order-Other_2024-03-15_20240430090040.pdf","MCRO_27-CR-20-19196_Order-Other_2024-03-15_20240430090040.pdf")</f>
        <v>MCRO_27-CR-20-19196_Order-Other_2024-03-15_20240430090040.pdf</v>
      </c>
      <c r="C877" s="1" t="n">
        <v>4</v>
      </c>
      <c r="D877" s="1" t="n">
        <v>1</v>
      </c>
      <c r="E877" s="1" t="n">
        <v>1</v>
      </c>
      <c r="F877" s="3" t="s">
        <v>20</v>
      </c>
      <c r="G877" s="3" t="s">
        <v>3660</v>
      </c>
      <c r="H877" s="1" t="s">
        <v>22</v>
      </c>
      <c r="I877" s="1" t="n">
        <v>20240430090040</v>
      </c>
      <c r="J877" s="3" t="s">
        <v>3661</v>
      </c>
      <c r="K877" s="3" t="s">
        <v>3662</v>
      </c>
      <c r="L877" s="3" t="s">
        <v>3663</v>
      </c>
      <c r="M877" s="3" t="n">
        <v>98936</v>
      </c>
      <c r="N877" s="3" t="s">
        <v>1307</v>
      </c>
      <c r="O877" s="1" t="n">
        <v>82550</v>
      </c>
      <c r="P877" s="1" t="n">
        <v>83.44</v>
      </c>
      <c r="Q877" s="1" t="s">
        <v>20</v>
      </c>
      <c r="R877" s="1" t="s">
        <v>27</v>
      </c>
      <c r="S877" s="1" t="s">
        <v>28</v>
      </c>
      <c r="T877" s="1" t="s">
        <v>29</v>
      </c>
    </row>
    <row r="878" customFormat="false" ht="18.7" hidden="false" customHeight="true" outlineLevel="0" collapsed="false">
      <c r="A878" s="1" t="n">
        <v>877</v>
      </c>
      <c r="B878" s="6" t="str">
        <f aca="false">HYPERLINK("https://mncourtfraud.com/file/MCRO_27-CR-20-19196_Other Document_2020-09-30_20240430090058.pdf","MCRO_27-CR-20-19196_Other Document_2020-09-30_20240430090058.pdf")</f>
        <v>MCRO_27-CR-20-19196_Other Document_2020-09-30_20240430090058.pdf</v>
      </c>
      <c r="C878" s="1" t="n">
        <v>3</v>
      </c>
      <c r="D878" s="1" t="n">
        <v>1</v>
      </c>
      <c r="E878" s="1" t="n">
        <v>1</v>
      </c>
      <c r="F878" s="3" t="s">
        <v>20</v>
      </c>
      <c r="G878" s="3" t="s">
        <v>3664</v>
      </c>
      <c r="H878" s="1" t="s">
        <v>22</v>
      </c>
      <c r="I878" s="1" t="n">
        <v>20240430090058</v>
      </c>
      <c r="J878" s="3" t="s">
        <v>3665</v>
      </c>
      <c r="K878" s="3" t="s">
        <v>3666</v>
      </c>
      <c r="L878" s="3" t="s">
        <v>3667</v>
      </c>
      <c r="M878" s="3" t="n">
        <v>185510</v>
      </c>
      <c r="N878" s="3" t="s">
        <v>3668</v>
      </c>
      <c r="O878" s="1" t="n">
        <v>169124</v>
      </c>
      <c r="P878" s="1" t="n">
        <v>91.17</v>
      </c>
      <c r="Q878" s="1" t="s">
        <v>20</v>
      </c>
      <c r="R878" s="1" t="s">
        <v>27</v>
      </c>
      <c r="S878" s="1" t="s">
        <v>28</v>
      </c>
      <c r="T878" s="1" t="s">
        <v>29</v>
      </c>
    </row>
    <row r="879" customFormat="false" ht="18.7" hidden="false" customHeight="true" outlineLevel="0" collapsed="false">
      <c r="A879" s="1" t="n">
        <v>878</v>
      </c>
      <c r="B879" s="6" t="str">
        <f aca="false">HYPERLINK("https://mncourtfraud.com/file/MCRO_27-CR-20-19196_Other Document_2021-03-12_20240430090057.pdf","MCRO_27-CR-20-19196_Other Document_2021-03-12_20240430090057.pdf")</f>
        <v>MCRO_27-CR-20-19196_Other Document_2021-03-12_20240430090057.pdf</v>
      </c>
      <c r="C879" s="1" t="n">
        <v>3</v>
      </c>
      <c r="D879" s="1" t="n">
        <v>1</v>
      </c>
      <c r="E879" s="1" t="n">
        <v>1</v>
      </c>
      <c r="F879" s="3" t="s">
        <v>20</v>
      </c>
      <c r="G879" s="3" t="s">
        <v>3669</v>
      </c>
      <c r="H879" s="1" t="s">
        <v>22</v>
      </c>
      <c r="I879" s="1" t="n">
        <v>20240430090057</v>
      </c>
      <c r="J879" s="3" t="s">
        <v>3670</v>
      </c>
      <c r="K879" s="3" t="s">
        <v>3671</v>
      </c>
      <c r="L879" s="3" t="s">
        <v>3672</v>
      </c>
      <c r="M879" s="3" t="n">
        <v>185186</v>
      </c>
      <c r="N879" s="3" t="s">
        <v>3673</v>
      </c>
      <c r="O879" s="1" t="n">
        <v>168800</v>
      </c>
      <c r="P879" s="1" t="n">
        <v>91.15</v>
      </c>
      <c r="Q879" s="1" t="s">
        <v>20</v>
      </c>
      <c r="R879" s="1" t="s">
        <v>27</v>
      </c>
      <c r="S879" s="1" t="s">
        <v>28</v>
      </c>
      <c r="T879" s="1" t="s">
        <v>29</v>
      </c>
    </row>
    <row r="880" customFormat="false" ht="18.7" hidden="false" customHeight="true" outlineLevel="0" collapsed="false">
      <c r="A880" s="1" t="n">
        <v>879</v>
      </c>
      <c r="B880" s="6" t="str">
        <f aca="false">HYPERLINK("https://mncourtfraud.com/file/MCRO_27-CR-20-19196_Other Document_2022-06-07_20240430090051.pdf","MCRO_27-CR-20-19196_Other Document_2022-06-07_20240430090051.pdf")</f>
        <v>MCRO_27-CR-20-19196_Other Document_2022-06-07_20240430090051.pdf</v>
      </c>
      <c r="C880" s="1" t="n">
        <v>3</v>
      </c>
      <c r="D880" s="1" t="n">
        <v>1</v>
      </c>
      <c r="E880" s="1" t="n">
        <v>1</v>
      </c>
      <c r="F880" s="3" t="s">
        <v>20</v>
      </c>
      <c r="G880" s="3" t="s">
        <v>3674</v>
      </c>
      <c r="H880" s="1" t="s">
        <v>22</v>
      </c>
      <c r="I880" s="1" t="n">
        <v>20240430090051</v>
      </c>
      <c r="J880" s="3" t="s">
        <v>3675</v>
      </c>
      <c r="K880" s="3" t="s">
        <v>3676</v>
      </c>
      <c r="L880" s="3" t="s">
        <v>3677</v>
      </c>
      <c r="M880" s="3" t="n">
        <v>187876</v>
      </c>
      <c r="N880" s="3" t="s">
        <v>849</v>
      </c>
      <c r="O880" s="1" t="n">
        <v>171490</v>
      </c>
      <c r="P880" s="1" t="n">
        <v>91.28</v>
      </c>
      <c r="Q880" s="1" t="s">
        <v>20</v>
      </c>
      <c r="R880" s="1" t="s">
        <v>27</v>
      </c>
      <c r="S880" s="1" t="s">
        <v>28</v>
      </c>
      <c r="T880" s="1" t="s">
        <v>29</v>
      </c>
    </row>
    <row r="881" customFormat="false" ht="18.7" hidden="false" customHeight="true" outlineLevel="0" collapsed="false">
      <c r="A881" s="1" t="n">
        <v>880</v>
      </c>
      <c r="B881" s="6" t="str">
        <f aca="false">HYPERLINK("https://mncourtfraud.com/file/MCRO_27-CR-20-19196_Petition to Enter Guilty Plea_2024-03-15_20240430090039.pdf","MCRO_27-CR-20-19196_Petition to Enter Guilty Plea_2024-03-15_20240430090039.pdf")</f>
        <v>MCRO_27-CR-20-19196_Petition to Enter Guilty Plea_2024-03-15_20240430090039.pdf</v>
      </c>
      <c r="C881" s="1" t="n">
        <v>4</v>
      </c>
      <c r="D881" s="1" t="n">
        <v>1</v>
      </c>
      <c r="E881" s="1" t="n">
        <v>1</v>
      </c>
      <c r="F881" s="3" t="s">
        <v>20</v>
      </c>
      <c r="G881" s="3" t="s">
        <v>3678</v>
      </c>
      <c r="H881" s="1" t="s">
        <v>22</v>
      </c>
      <c r="I881" s="1" t="n">
        <v>20240430090039</v>
      </c>
      <c r="J881" s="3" t="s">
        <v>3679</v>
      </c>
      <c r="K881" s="3" t="s">
        <v>3680</v>
      </c>
      <c r="L881" s="3" t="s">
        <v>3681</v>
      </c>
      <c r="M881" s="3" t="n">
        <v>405312</v>
      </c>
      <c r="N881" s="3" t="s">
        <v>1273</v>
      </c>
      <c r="O881" s="1" t="n">
        <v>388926</v>
      </c>
      <c r="P881" s="1" t="n">
        <v>95.96</v>
      </c>
      <c r="Q881" s="1" t="s">
        <v>20</v>
      </c>
      <c r="R881" s="1" t="s">
        <v>27</v>
      </c>
      <c r="S881" s="1" t="s">
        <v>28</v>
      </c>
      <c r="T881" s="1" t="s">
        <v>29</v>
      </c>
    </row>
    <row r="882" customFormat="false" ht="18.7" hidden="false" customHeight="true" outlineLevel="0" collapsed="false">
      <c r="A882" s="1" t="n">
        <v>881</v>
      </c>
      <c r="B882" s="6" t="str">
        <f aca="false">HYPERLINK("https://mncourtfraud.com/file/MCRO_27-CR-20-19196_Sentencing Order_2024-03-15_20240430090038.pdf","MCRO_27-CR-20-19196_Sentencing Order_2024-03-15_20240430090038.pdf")</f>
        <v>MCRO_27-CR-20-19196_Sentencing Order_2024-03-15_20240430090038.pdf</v>
      </c>
      <c r="C882" s="1" t="n">
        <v>4</v>
      </c>
      <c r="D882" s="1" t="n">
        <v>1</v>
      </c>
      <c r="E882" s="1" t="n">
        <v>1</v>
      </c>
      <c r="F882" s="3" t="s">
        <v>20</v>
      </c>
      <c r="G882" s="3" t="s">
        <v>3682</v>
      </c>
      <c r="H882" s="1" t="s">
        <v>22</v>
      </c>
      <c r="I882" s="1" t="n">
        <v>20240430090038</v>
      </c>
      <c r="J882" s="3" t="s">
        <v>3683</v>
      </c>
      <c r="K882" s="3" t="s">
        <v>3684</v>
      </c>
      <c r="L882" s="3" t="s">
        <v>3685</v>
      </c>
      <c r="M882" s="3" t="n">
        <v>253904</v>
      </c>
      <c r="N882" s="3" t="s">
        <v>3686</v>
      </c>
      <c r="O882" s="1" t="n">
        <v>237518</v>
      </c>
      <c r="P882" s="1" t="n">
        <v>93.55</v>
      </c>
      <c r="Q882" s="1" t="s">
        <v>20</v>
      </c>
      <c r="R882" s="1" t="s">
        <v>27</v>
      </c>
      <c r="S882" s="1" t="s">
        <v>28</v>
      </c>
      <c r="T882" s="1" t="s">
        <v>29</v>
      </c>
    </row>
    <row r="883" customFormat="false" ht="18.7" hidden="false" customHeight="true" outlineLevel="0" collapsed="false">
      <c r="A883" s="1" t="n">
        <v>882</v>
      </c>
      <c r="B883" s="6" t="str">
        <f aca="false">HYPERLINK("https://mncourtfraud.com/file/MCRO_27-CR-20-20037_Amended Criminal Complaint_2020-10-26_20240430090152.pdf","MCRO_27-CR-20-20037_Amended Criminal Complaint_2020-10-26_20240430090152.pdf")</f>
        <v>MCRO_27-CR-20-20037_Amended Criminal Complaint_2020-10-26_20240430090152.pdf</v>
      </c>
      <c r="C883" s="1" t="n">
        <v>4</v>
      </c>
      <c r="D883" s="1" t="n">
        <v>1</v>
      </c>
      <c r="E883" s="1" t="n">
        <v>1</v>
      </c>
      <c r="F883" s="3" t="s">
        <v>20</v>
      </c>
      <c r="G883" s="3" t="s">
        <v>3687</v>
      </c>
      <c r="H883" s="1" t="s">
        <v>22</v>
      </c>
      <c r="I883" s="1" t="n">
        <v>20240430090152</v>
      </c>
      <c r="J883" s="3" t="s">
        <v>3688</v>
      </c>
      <c r="K883" s="3" t="s">
        <v>3689</v>
      </c>
      <c r="L883" s="3" t="s">
        <v>3690</v>
      </c>
      <c r="M883" s="3" t="n">
        <v>996585</v>
      </c>
      <c r="N883" s="3" t="s">
        <v>3164</v>
      </c>
      <c r="O883" s="1" t="n">
        <v>980199</v>
      </c>
      <c r="P883" s="1" t="n">
        <v>98.36</v>
      </c>
      <c r="Q883" s="1" t="s">
        <v>20</v>
      </c>
      <c r="R883" s="1" t="s">
        <v>27</v>
      </c>
      <c r="S883" s="1" t="s">
        <v>28</v>
      </c>
      <c r="T883" s="1" t="s">
        <v>29</v>
      </c>
    </row>
    <row r="884" customFormat="false" ht="18.7" hidden="false" customHeight="true" outlineLevel="0" collapsed="false">
      <c r="A884" s="1" t="n">
        <v>883</v>
      </c>
      <c r="B884" s="6" t="str">
        <f aca="false">HYPERLINK("https://mncourtfraud.com/file/MCRO_27-CR-20-20037_Correspondence for Judicial Approval_2022-11-07_20240430090138.pdf","MCRO_27-CR-20-20037_Correspondence for Judicial Approval_2022-11-07_20240430090138.pdf")</f>
        <v>MCRO_27-CR-20-20037_Correspondence for Judicial Approval_2022-11-07_20240430090138.pdf</v>
      </c>
      <c r="C884" s="1" t="n">
        <v>3</v>
      </c>
      <c r="D884" s="1" t="n">
        <v>1</v>
      </c>
      <c r="E884" s="1" t="n">
        <v>1</v>
      </c>
      <c r="F884" s="3" t="s">
        <v>20</v>
      </c>
      <c r="G884" s="3" t="s">
        <v>3691</v>
      </c>
      <c r="H884" s="1" t="s">
        <v>22</v>
      </c>
      <c r="I884" s="1" t="n">
        <v>20240430090138</v>
      </c>
      <c r="J884" s="3" t="s">
        <v>3692</v>
      </c>
      <c r="K884" s="3" t="s">
        <v>3693</v>
      </c>
      <c r="L884" s="3" t="s">
        <v>3694</v>
      </c>
      <c r="M884" s="3" t="n">
        <v>211260</v>
      </c>
      <c r="N884" s="3" t="s">
        <v>629</v>
      </c>
      <c r="O884" s="1" t="n">
        <v>194874</v>
      </c>
      <c r="P884" s="1" t="n">
        <v>92.24</v>
      </c>
      <c r="Q884" s="1" t="s">
        <v>20</v>
      </c>
      <c r="R884" s="1" t="s">
        <v>27</v>
      </c>
      <c r="S884" s="1" t="s">
        <v>28</v>
      </c>
      <c r="T884" s="1" t="s">
        <v>29</v>
      </c>
    </row>
    <row r="885" customFormat="false" ht="18.7" hidden="false" customHeight="true" outlineLevel="0" collapsed="false">
      <c r="A885" s="1" t="n">
        <v>884</v>
      </c>
      <c r="B885" s="6" t="str">
        <f aca="false">HYPERLINK("https://mncourtfraud.com/file/MCRO_27-CR-20-20037_Demand or Request for Discovery_2021-12-27_20240430090147.pdf","MCRO_27-CR-20-20037_Demand or Request for Discovery_2021-12-27_20240430090147.pdf")</f>
        <v>MCRO_27-CR-20-20037_Demand or Request for Discovery_2021-12-27_20240430090147.pdf</v>
      </c>
      <c r="C885" s="1" t="n">
        <v>3</v>
      </c>
      <c r="D885" s="1" t="n">
        <v>1</v>
      </c>
      <c r="E885" s="1" t="n">
        <v>1</v>
      </c>
      <c r="F885" s="3" t="s">
        <v>20</v>
      </c>
      <c r="G885" s="3" t="s">
        <v>3695</v>
      </c>
      <c r="H885" s="1" t="s">
        <v>22</v>
      </c>
      <c r="I885" s="1" t="n">
        <v>20240430090147</v>
      </c>
      <c r="J885" s="3" t="s">
        <v>3696</v>
      </c>
      <c r="K885" s="3" t="s">
        <v>3697</v>
      </c>
      <c r="L885" s="3" t="s">
        <v>3698</v>
      </c>
      <c r="M885" s="3" t="n">
        <v>618235</v>
      </c>
      <c r="N885" s="3" t="s">
        <v>3699</v>
      </c>
      <c r="O885" s="1" t="n">
        <v>601849</v>
      </c>
      <c r="P885" s="1" t="n">
        <v>97.35</v>
      </c>
      <c r="Q885" s="1" t="s">
        <v>20</v>
      </c>
      <c r="R885" s="1" t="s">
        <v>27</v>
      </c>
      <c r="S885" s="1" t="s">
        <v>28</v>
      </c>
      <c r="T885" s="1" t="s">
        <v>29</v>
      </c>
    </row>
    <row r="886" customFormat="false" ht="18.7" hidden="false" customHeight="true" outlineLevel="0" collapsed="false">
      <c r="A886" s="1" t="n">
        <v>885</v>
      </c>
      <c r="B886" s="6" t="str">
        <f aca="false">HYPERLINK("https://mncourtfraud.com/file/MCRO_27-CR-20-20037_E-filed Comp-Summons_2020-09-16_20240430090156.pdf","MCRO_27-CR-20-20037_E-filed Comp-Summons_2020-09-16_20240430090156.pdf")</f>
        <v>MCRO_27-CR-20-20037_E-filed Comp-Summons_2020-09-16_20240430090156.pdf</v>
      </c>
      <c r="C886" s="1" t="n">
        <v>4</v>
      </c>
      <c r="D886" s="1" t="n">
        <v>2</v>
      </c>
      <c r="E886" s="1" t="n">
        <v>2</v>
      </c>
      <c r="F886" s="3" t="s">
        <v>20</v>
      </c>
      <c r="G886" s="3" t="s">
        <v>3700</v>
      </c>
      <c r="H886" s="1" t="s">
        <v>22</v>
      </c>
      <c r="I886" s="1" t="n">
        <v>20240430090156</v>
      </c>
      <c r="J886" s="3" t="s">
        <v>3701</v>
      </c>
      <c r="K886" s="3" t="s">
        <v>3702</v>
      </c>
      <c r="L886" s="3" t="s">
        <v>3703</v>
      </c>
      <c r="M886" s="3" t="n">
        <v>493680</v>
      </c>
      <c r="N886" s="3" t="s">
        <v>3704</v>
      </c>
      <c r="O886" s="1" t="n">
        <v>477294</v>
      </c>
      <c r="P886" s="1" t="n">
        <v>96.68</v>
      </c>
      <c r="Q886" s="1" t="s">
        <v>20</v>
      </c>
      <c r="R886" s="1" t="s">
        <v>27</v>
      </c>
      <c r="S886" s="1" t="s">
        <v>28</v>
      </c>
      <c r="T886" s="1" t="s">
        <v>29</v>
      </c>
    </row>
    <row r="887" customFormat="false" ht="18.7" hidden="false" customHeight="true" outlineLevel="0" collapsed="false">
      <c r="A887" s="1" t="n">
        <v>886</v>
      </c>
      <c r="B887" s="6" t="str">
        <f aca="false">HYPERLINK("https://mncourtfraud.com/file/MCRO_27-CR-20-20037_Finding of Incompetency and Order_2024-03-12_20240430090128.pdf","MCRO_27-CR-20-20037_Finding of Incompetency and Order_2024-03-12_20240430090128.pdf")</f>
        <v>MCRO_27-CR-20-20037_Finding of Incompetency and Order_2024-03-12_20240430090128.pdf</v>
      </c>
      <c r="C887" s="1" t="n">
        <v>5</v>
      </c>
      <c r="D887" s="1" t="n">
        <v>1</v>
      </c>
      <c r="E887" s="1" t="n">
        <v>1</v>
      </c>
      <c r="F887" s="3" t="s">
        <v>20</v>
      </c>
      <c r="G887" s="3" t="s">
        <v>3705</v>
      </c>
      <c r="H887" s="1" t="s">
        <v>22</v>
      </c>
      <c r="I887" s="1" t="n">
        <v>20240430090128</v>
      </c>
      <c r="J887" s="3" t="s">
        <v>3706</v>
      </c>
      <c r="K887" s="3" t="s">
        <v>3707</v>
      </c>
      <c r="L887" s="3" t="s">
        <v>2033</v>
      </c>
      <c r="M887" s="3" t="n">
        <v>832562</v>
      </c>
      <c r="N887" s="3" t="s">
        <v>1489</v>
      </c>
      <c r="O887" s="1" t="n">
        <v>816176</v>
      </c>
      <c r="P887" s="1" t="n">
        <v>98.03</v>
      </c>
      <c r="Q887" s="1" t="s">
        <v>20</v>
      </c>
      <c r="R887" s="1" t="s">
        <v>27</v>
      </c>
      <c r="S887" s="1" t="s">
        <v>28</v>
      </c>
      <c r="T887" s="1" t="s">
        <v>29</v>
      </c>
    </row>
    <row r="888" customFormat="false" ht="18.7" hidden="false" customHeight="true" outlineLevel="0" collapsed="false">
      <c r="A888" s="1" t="n">
        <v>887</v>
      </c>
      <c r="B888" s="6" t="str">
        <f aca="false">HYPERLINK("https://mncourtfraud.com/file/MCRO_27-CR-20-20037_Findings and Order_2022-03-08_20240430090143.pdf","MCRO_27-CR-20-20037_Findings and Order_2022-03-08_20240430090143.pdf")</f>
        <v>MCRO_27-CR-20-20037_Findings and Order_2022-03-08_20240430090143.pdf</v>
      </c>
      <c r="C888" s="1" t="n">
        <v>5</v>
      </c>
      <c r="D888" s="1" t="n">
        <v>1</v>
      </c>
      <c r="E888" s="1" t="n">
        <v>1</v>
      </c>
      <c r="F888" s="3" t="s">
        <v>20</v>
      </c>
      <c r="G888" s="3" t="s">
        <v>3708</v>
      </c>
      <c r="H888" s="1" t="s">
        <v>22</v>
      </c>
      <c r="I888" s="1" t="n">
        <v>20240430090143</v>
      </c>
      <c r="J888" s="3" t="s">
        <v>3709</v>
      </c>
      <c r="K888" s="3" t="s">
        <v>3710</v>
      </c>
      <c r="L888" s="3" t="s">
        <v>3711</v>
      </c>
      <c r="M888" s="3" t="n">
        <v>340926</v>
      </c>
      <c r="N888" s="3" t="s">
        <v>1494</v>
      </c>
      <c r="O888" s="1" t="n">
        <v>324540</v>
      </c>
      <c r="P888" s="1" t="n">
        <v>95.19</v>
      </c>
      <c r="Q888" s="1" t="s">
        <v>20</v>
      </c>
      <c r="R888" s="1" t="s">
        <v>27</v>
      </c>
      <c r="S888" s="1" t="s">
        <v>28</v>
      </c>
      <c r="T888" s="1" t="s">
        <v>29</v>
      </c>
    </row>
    <row r="889" customFormat="false" ht="18.7" hidden="false" customHeight="true" outlineLevel="0" collapsed="false">
      <c r="A889" s="1" t="n">
        <v>888</v>
      </c>
      <c r="B889" s="6" t="str">
        <f aca="false">HYPERLINK("https://mncourtfraud.com/file/MCRO_27-CR-20-20037_Notice of Appearance_2020-10-23_20240430090155.pdf","MCRO_27-CR-20-20037_Notice of Appearance_2020-10-23_20240430090155.pdf")</f>
        <v>MCRO_27-CR-20-20037_Notice of Appearance_2020-10-23_20240430090155.pdf</v>
      </c>
      <c r="C889" s="1" t="n">
        <v>4</v>
      </c>
      <c r="D889" s="1" t="n">
        <v>1</v>
      </c>
      <c r="E889" s="1" t="n">
        <v>1</v>
      </c>
      <c r="F889" s="3" t="s">
        <v>20</v>
      </c>
      <c r="G889" s="3" t="s">
        <v>3712</v>
      </c>
      <c r="H889" s="1" t="s">
        <v>22</v>
      </c>
      <c r="I889" s="1" t="n">
        <v>20240430090155</v>
      </c>
      <c r="J889" s="3" t="s">
        <v>3713</v>
      </c>
      <c r="K889" s="3" t="s">
        <v>3714</v>
      </c>
      <c r="L889" s="3" t="s">
        <v>2049</v>
      </c>
      <c r="M889" s="3" t="n">
        <v>132275</v>
      </c>
      <c r="N889" s="3" t="s">
        <v>892</v>
      </c>
      <c r="O889" s="1" t="n">
        <v>115889</v>
      </c>
      <c r="P889" s="1" t="n">
        <v>87.61</v>
      </c>
      <c r="Q889" s="1" t="s">
        <v>20</v>
      </c>
      <c r="R889" s="1" t="s">
        <v>27</v>
      </c>
      <c r="S889" s="1" t="s">
        <v>28</v>
      </c>
      <c r="T889" s="1" t="s">
        <v>29</v>
      </c>
    </row>
    <row r="890" customFormat="false" ht="18.7" hidden="false" customHeight="true" outlineLevel="0" collapsed="false">
      <c r="A890" s="1" t="n">
        <v>889</v>
      </c>
      <c r="B890" s="6" t="str">
        <f aca="false">HYPERLINK("https://mncourtfraud.com/file/MCRO_27-CR-20-20037_Notice of Appearance_2022-03-08_20240430090142.pdf","MCRO_27-CR-20-20037_Notice of Appearance_2022-03-08_20240430090142.pdf")</f>
        <v>MCRO_27-CR-20-20037_Notice of Appearance_2022-03-08_20240430090142.pdf</v>
      </c>
      <c r="C890" s="1" t="n">
        <v>4</v>
      </c>
      <c r="D890" s="1" t="n">
        <v>1</v>
      </c>
      <c r="E890" s="1" t="n">
        <v>1</v>
      </c>
      <c r="F890" s="3" t="s">
        <v>20</v>
      </c>
      <c r="G890" s="3" t="s">
        <v>3715</v>
      </c>
      <c r="H890" s="1" t="s">
        <v>22</v>
      </c>
      <c r="I890" s="1" t="n">
        <v>20240430090142</v>
      </c>
      <c r="J890" s="3" t="s">
        <v>3716</v>
      </c>
      <c r="K890" s="3" t="s">
        <v>3717</v>
      </c>
      <c r="L890" s="3" t="s">
        <v>3718</v>
      </c>
      <c r="M890" s="3" t="n">
        <v>816218</v>
      </c>
      <c r="N890" s="3" t="s">
        <v>486</v>
      </c>
      <c r="O890" s="1" t="n">
        <v>799832</v>
      </c>
      <c r="P890" s="1" t="n">
        <v>97.99</v>
      </c>
      <c r="Q890" s="1" t="s">
        <v>20</v>
      </c>
      <c r="R890" s="1" t="s">
        <v>27</v>
      </c>
      <c r="S890" s="1" t="s">
        <v>28</v>
      </c>
      <c r="T890" s="1" t="s">
        <v>29</v>
      </c>
    </row>
    <row r="891" customFormat="false" ht="18.7" hidden="false" customHeight="true" outlineLevel="0" collapsed="false">
      <c r="A891" s="1" t="n">
        <v>890</v>
      </c>
      <c r="B891" s="6" t="str">
        <f aca="false">HYPERLINK("https://mncourtfraud.com/file/MCRO_27-CR-20-20037_Notice of Case Reassignment_2021-03-30_20240430090150.pdf","MCRO_27-CR-20-20037_Notice of Case Reassignment_2021-03-30_20240430090150.pdf")</f>
        <v>MCRO_27-CR-20-20037_Notice of Case Reassignment_2021-03-30_20240430090150.pdf</v>
      </c>
      <c r="C891" s="1" t="n">
        <v>4</v>
      </c>
      <c r="D891" s="1" t="n">
        <v>1</v>
      </c>
      <c r="E891" s="1" t="n">
        <v>1</v>
      </c>
      <c r="F891" s="3" t="s">
        <v>20</v>
      </c>
      <c r="G891" s="3" t="s">
        <v>3719</v>
      </c>
      <c r="H891" s="1" t="s">
        <v>22</v>
      </c>
      <c r="I891" s="1" t="n">
        <v>20240430090150</v>
      </c>
      <c r="J891" s="3" t="s">
        <v>3720</v>
      </c>
      <c r="K891" s="3" t="s">
        <v>3721</v>
      </c>
      <c r="L891" s="3" t="s">
        <v>3722</v>
      </c>
      <c r="M891" s="3" t="n">
        <v>99954</v>
      </c>
      <c r="N891" s="3" t="s">
        <v>456</v>
      </c>
      <c r="O891" s="1" t="n">
        <v>83568</v>
      </c>
      <c r="P891" s="1" t="n">
        <v>83.61</v>
      </c>
      <c r="Q891" s="1" t="s">
        <v>20</v>
      </c>
      <c r="R891" s="1" t="s">
        <v>27</v>
      </c>
      <c r="S891" s="1" t="s">
        <v>28</v>
      </c>
      <c r="T891" s="1" t="s">
        <v>29</v>
      </c>
    </row>
    <row r="892" customFormat="false" ht="18.7" hidden="false" customHeight="true" outlineLevel="0" collapsed="false">
      <c r="A892" s="1" t="n">
        <v>891</v>
      </c>
      <c r="B892" s="6" t="str">
        <f aca="false">HYPERLINK("https://mncourtfraud.com/file/MCRO_27-CR-20-20037_Notice of Case Reassignment_2022-04-01_20240430090140.pdf","MCRO_27-CR-20-20037_Notice of Case Reassignment_2022-04-01_20240430090140.pdf")</f>
        <v>MCRO_27-CR-20-20037_Notice of Case Reassignment_2022-04-01_20240430090140.pdf</v>
      </c>
      <c r="C892" s="1" t="n">
        <v>4</v>
      </c>
      <c r="D892" s="1" t="n">
        <v>1</v>
      </c>
      <c r="E892" s="1" t="n">
        <v>1</v>
      </c>
      <c r="F892" s="3" t="s">
        <v>20</v>
      </c>
      <c r="G892" s="3" t="s">
        <v>3723</v>
      </c>
      <c r="H892" s="1" t="s">
        <v>22</v>
      </c>
      <c r="I892" s="1" t="n">
        <v>20240430090140</v>
      </c>
      <c r="J892" s="3" t="s">
        <v>3724</v>
      </c>
      <c r="K892" s="3" t="s">
        <v>3725</v>
      </c>
      <c r="L892" s="3" t="s">
        <v>3726</v>
      </c>
      <c r="M892" s="3" t="n">
        <v>97696</v>
      </c>
      <c r="N892" s="3" t="s">
        <v>456</v>
      </c>
      <c r="O892" s="1" t="n">
        <v>81310</v>
      </c>
      <c r="P892" s="1" t="n">
        <v>83.23</v>
      </c>
      <c r="Q892" s="1" t="s">
        <v>20</v>
      </c>
      <c r="R892" s="1" t="s">
        <v>27</v>
      </c>
      <c r="S892" s="1" t="s">
        <v>28</v>
      </c>
      <c r="T892" s="1" t="s">
        <v>29</v>
      </c>
    </row>
    <row r="893" customFormat="false" ht="18.7" hidden="false" customHeight="true" outlineLevel="0" collapsed="false">
      <c r="A893" s="1" t="n">
        <v>892</v>
      </c>
      <c r="B893" s="6" t="str">
        <f aca="false">HYPERLINK("https://mncourtfraud.com/file/MCRO_27-CR-20-20037_Notice of Case Reassignment_2023-01-13_20240430090134.pdf","MCRO_27-CR-20-20037_Notice of Case Reassignment_2023-01-13_20240430090134.pdf")</f>
        <v>MCRO_27-CR-20-20037_Notice of Case Reassignment_2023-01-13_20240430090134.pdf</v>
      </c>
      <c r="C893" s="1" t="n">
        <v>4</v>
      </c>
      <c r="D893" s="1" t="n">
        <v>1</v>
      </c>
      <c r="E893" s="1" t="n">
        <v>1</v>
      </c>
      <c r="F893" s="3" t="s">
        <v>20</v>
      </c>
      <c r="G893" s="3" t="s">
        <v>3727</v>
      </c>
      <c r="H893" s="1" t="s">
        <v>22</v>
      </c>
      <c r="I893" s="1" t="n">
        <v>20240430090134</v>
      </c>
      <c r="J893" s="3" t="s">
        <v>3728</v>
      </c>
      <c r="K893" s="3" t="s">
        <v>3729</v>
      </c>
      <c r="L893" s="3" t="s">
        <v>3730</v>
      </c>
      <c r="M893" s="3" t="n">
        <v>312396</v>
      </c>
      <c r="N893" s="3" t="s">
        <v>158</v>
      </c>
      <c r="O893" s="1" t="n">
        <v>296010</v>
      </c>
      <c r="P893" s="1" t="n">
        <v>94.75</v>
      </c>
      <c r="Q893" s="1" t="s">
        <v>20</v>
      </c>
      <c r="R893" s="1" t="s">
        <v>27</v>
      </c>
      <c r="S893" s="1" t="s">
        <v>28</v>
      </c>
      <c r="T893" s="1" t="s">
        <v>29</v>
      </c>
    </row>
    <row r="894" customFormat="false" ht="18.7" hidden="false" customHeight="true" outlineLevel="0" collapsed="false">
      <c r="A894" s="1" t="n">
        <v>893</v>
      </c>
      <c r="B894" s="6" t="str">
        <f aca="false">HYPERLINK("https://mncourtfraud.com/file/MCRO_27-CR-20-20037_Notice of Case Reassignment_2024-01-12_20240430090130.pdf","MCRO_27-CR-20-20037_Notice of Case Reassignment_2024-01-12_20240430090130.pdf")</f>
        <v>MCRO_27-CR-20-20037_Notice of Case Reassignment_2024-01-12_20240430090130.pdf</v>
      </c>
      <c r="C894" s="1" t="n">
        <v>4</v>
      </c>
      <c r="D894" s="1" t="n">
        <v>1</v>
      </c>
      <c r="E894" s="1" t="n">
        <v>1</v>
      </c>
      <c r="F894" s="3" t="s">
        <v>20</v>
      </c>
      <c r="G894" s="3" t="s">
        <v>3731</v>
      </c>
      <c r="H894" s="1" t="s">
        <v>22</v>
      </c>
      <c r="I894" s="1" t="n">
        <v>20240430090130</v>
      </c>
      <c r="J894" s="3" t="s">
        <v>3732</v>
      </c>
      <c r="K894" s="3" t="s">
        <v>3733</v>
      </c>
      <c r="L894" s="3" t="s">
        <v>3734</v>
      </c>
      <c r="M894" s="3" t="n">
        <v>297790</v>
      </c>
      <c r="N894" s="3" t="s">
        <v>158</v>
      </c>
      <c r="O894" s="1" t="n">
        <v>281404</v>
      </c>
      <c r="P894" s="1" t="n">
        <v>94.5</v>
      </c>
      <c r="Q894" s="1" t="s">
        <v>20</v>
      </c>
      <c r="R894" s="1" t="s">
        <v>27</v>
      </c>
      <c r="S894" s="1" t="s">
        <v>28</v>
      </c>
      <c r="T894" s="1" t="s">
        <v>29</v>
      </c>
    </row>
    <row r="895" customFormat="false" ht="18.7" hidden="false" customHeight="true" outlineLevel="0" collapsed="false">
      <c r="A895" s="1" t="n">
        <v>894</v>
      </c>
      <c r="B895" s="6" t="str">
        <f aca="false">HYPERLINK("https://mncourtfraud.com/file/MCRO_27-CR-20-20037_Notice of Hearing_2021-02-22_20240430090150.pdf","MCRO_27-CR-20-20037_Notice of Hearing_2021-02-22_20240430090150.pdf")</f>
        <v>MCRO_27-CR-20-20037_Notice of Hearing_2021-02-22_20240430090150.pdf</v>
      </c>
      <c r="C895" s="1" t="n">
        <v>4</v>
      </c>
      <c r="D895" s="1" t="n">
        <v>1</v>
      </c>
      <c r="E895" s="1" t="n">
        <v>1</v>
      </c>
      <c r="F895" s="3" t="s">
        <v>20</v>
      </c>
      <c r="G895" s="3" t="s">
        <v>3735</v>
      </c>
      <c r="H895" s="1" t="s">
        <v>22</v>
      </c>
      <c r="I895" s="1" t="n">
        <v>20240430090150</v>
      </c>
      <c r="J895" s="3" t="s">
        <v>3720</v>
      </c>
      <c r="K895" s="3" t="s">
        <v>3721</v>
      </c>
      <c r="L895" s="3" t="s">
        <v>1548</v>
      </c>
      <c r="M895" s="3" t="n">
        <v>85564</v>
      </c>
      <c r="N895" s="3" t="s">
        <v>614</v>
      </c>
      <c r="O895" s="1" t="n">
        <v>69178</v>
      </c>
      <c r="P895" s="1" t="n">
        <v>80.85</v>
      </c>
      <c r="Q895" s="1" t="s">
        <v>20</v>
      </c>
      <c r="R895" s="1" t="s">
        <v>27</v>
      </c>
      <c r="S895" s="1" t="s">
        <v>28</v>
      </c>
      <c r="T895" s="1" t="s">
        <v>29</v>
      </c>
    </row>
    <row r="896" customFormat="false" ht="18.7" hidden="false" customHeight="true" outlineLevel="0" collapsed="false">
      <c r="A896" s="1" t="n">
        <v>895</v>
      </c>
      <c r="B896" s="6" t="str">
        <f aca="false">HYPERLINK("https://mncourtfraud.com/file/MCRO_27-CR-20-20037_Notice of Hearing_2024-03-12_20240430090126.pdf","MCRO_27-CR-20-20037_Notice of Hearing_2024-03-12_20240430090126.pdf")</f>
        <v>MCRO_27-CR-20-20037_Notice of Hearing_2024-03-12_20240430090126.pdf</v>
      </c>
      <c r="C896" s="1" t="n">
        <v>4</v>
      </c>
      <c r="D896" s="1" t="n">
        <v>1</v>
      </c>
      <c r="E896" s="1" t="n">
        <v>1</v>
      </c>
      <c r="F896" s="3" t="s">
        <v>20</v>
      </c>
      <c r="G896" s="3" t="s">
        <v>3736</v>
      </c>
      <c r="H896" s="1" t="s">
        <v>22</v>
      </c>
      <c r="I896" s="1" t="n">
        <v>20240430090126</v>
      </c>
      <c r="J896" s="3" t="s">
        <v>3737</v>
      </c>
      <c r="K896" s="3" t="s">
        <v>3738</v>
      </c>
      <c r="L896" s="3" t="s">
        <v>3739</v>
      </c>
      <c r="M896" s="3" t="n">
        <v>255840</v>
      </c>
      <c r="N896" s="3" t="s">
        <v>74</v>
      </c>
      <c r="O896" s="1" t="n">
        <v>239454</v>
      </c>
      <c r="P896" s="1" t="n">
        <v>93.6</v>
      </c>
      <c r="Q896" s="1" t="s">
        <v>20</v>
      </c>
      <c r="R896" s="1" t="s">
        <v>27</v>
      </c>
      <c r="S896" s="1" t="s">
        <v>28</v>
      </c>
      <c r="T896" s="1" t="s">
        <v>29</v>
      </c>
    </row>
    <row r="897" customFormat="false" ht="18.7" hidden="false" customHeight="true" outlineLevel="0" collapsed="false">
      <c r="A897" s="1" t="n">
        <v>896</v>
      </c>
      <c r="B897" s="6" t="str">
        <f aca="false">HYPERLINK("https://mncourtfraud.com/file/MCRO_27-CR-20-20037_Notice of Remote Hearing with Instructions_2023-08-29_20240430090133.pdf","MCRO_27-CR-20-20037_Notice of Remote Hearing with Instructions_2023-08-29_20240430090133.pdf")</f>
        <v>MCRO_27-CR-20-20037_Notice of Remote Hearing with Instructions_2023-08-29_20240430090133.pdf</v>
      </c>
      <c r="C897" s="1" t="n">
        <v>5</v>
      </c>
      <c r="D897" s="1" t="n">
        <v>1</v>
      </c>
      <c r="E897" s="1" t="n">
        <v>1</v>
      </c>
      <c r="F897" s="3" t="s">
        <v>20</v>
      </c>
      <c r="G897" s="3" t="s">
        <v>3740</v>
      </c>
      <c r="H897" s="1" t="s">
        <v>22</v>
      </c>
      <c r="I897" s="1" t="n">
        <v>20240430090133</v>
      </c>
      <c r="J897" s="3" t="s">
        <v>3741</v>
      </c>
      <c r="K897" s="3" t="s">
        <v>3742</v>
      </c>
      <c r="L897" s="3" t="s">
        <v>3743</v>
      </c>
      <c r="M897" s="3" t="n">
        <v>844621</v>
      </c>
      <c r="N897" s="3" t="s">
        <v>1579</v>
      </c>
      <c r="O897" s="1" t="n">
        <v>828235</v>
      </c>
      <c r="P897" s="1" t="n">
        <v>98.06</v>
      </c>
      <c r="Q897" s="1" t="s">
        <v>20</v>
      </c>
      <c r="R897" s="1" t="s">
        <v>27</v>
      </c>
      <c r="S897" s="1" t="s">
        <v>28</v>
      </c>
      <c r="T897" s="1" t="s">
        <v>29</v>
      </c>
    </row>
    <row r="898" customFormat="false" ht="18.7" hidden="false" customHeight="true" outlineLevel="0" collapsed="false">
      <c r="A898" s="1" t="n">
        <v>897</v>
      </c>
      <c r="B898" s="6" t="str">
        <f aca="false">HYPERLINK("https://mncourtfraud.com/file/MCRO_27-CR-20-20037_Notice of Remote Hearing with Instructions_2024-03-05_20240430090129.pdf","MCRO_27-CR-20-20037_Notice of Remote Hearing with Instructions_2024-03-05_20240430090129.pdf")</f>
        <v>MCRO_27-CR-20-20037_Notice of Remote Hearing with Instructions_2024-03-05_20240430090129.pdf</v>
      </c>
      <c r="C898" s="1" t="n">
        <v>4</v>
      </c>
      <c r="D898" s="1" t="n">
        <v>1</v>
      </c>
      <c r="E898" s="1" t="n">
        <v>1</v>
      </c>
      <c r="F898" s="3" t="s">
        <v>20</v>
      </c>
      <c r="G898" s="3" t="s">
        <v>3744</v>
      </c>
      <c r="H898" s="1" t="s">
        <v>22</v>
      </c>
      <c r="I898" s="1" t="n">
        <v>20240430090129</v>
      </c>
      <c r="J898" s="3" t="s">
        <v>3745</v>
      </c>
      <c r="K898" s="3" t="s">
        <v>3746</v>
      </c>
      <c r="L898" s="3" t="s">
        <v>3747</v>
      </c>
      <c r="M898" s="3" t="n">
        <v>255666</v>
      </c>
      <c r="N898" s="3" t="s">
        <v>74</v>
      </c>
      <c r="O898" s="1" t="n">
        <v>239280</v>
      </c>
      <c r="P898" s="1" t="n">
        <v>93.59</v>
      </c>
      <c r="Q898" s="1" t="s">
        <v>20</v>
      </c>
      <c r="R898" s="1" t="s">
        <v>27</v>
      </c>
      <c r="S898" s="1" t="s">
        <v>28</v>
      </c>
      <c r="T898" s="1" t="s">
        <v>29</v>
      </c>
    </row>
    <row r="899" customFormat="false" ht="18.7" hidden="false" customHeight="true" outlineLevel="0" collapsed="false">
      <c r="A899" s="1" t="n">
        <v>898</v>
      </c>
      <c r="B899" s="6" t="str">
        <f aca="false">HYPERLINK("https://mncourtfraud.com/file/MCRO_27-CR-20-20037_Notice of Remote Hearing with Instructions_2024-03-12_20240430090127.pdf","MCRO_27-CR-20-20037_Notice of Remote Hearing with Instructions_2024-03-12_20240430090127.pdf")</f>
        <v>MCRO_27-CR-20-20037_Notice of Remote Hearing with Instructions_2024-03-12_20240430090127.pdf</v>
      </c>
      <c r="C899" s="1" t="n">
        <v>4</v>
      </c>
      <c r="D899" s="1" t="n">
        <v>1</v>
      </c>
      <c r="E899" s="1" t="n">
        <v>1</v>
      </c>
      <c r="F899" s="3" t="s">
        <v>20</v>
      </c>
      <c r="G899" s="3" t="s">
        <v>3748</v>
      </c>
      <c r="H899" s="1" t="s">
        <v>22</v>
      </c>
      <c r="I899" s="1" t="n">
        <v>20240430090127</v>
      </c>
      <c r="J899" s="3" t="s">
        <v>3749</v>
      </c>
      <c r="K899" s="3" t="s">
        <v>3750</v>
      </c>
      <c r="L899" s="3" t="s">
        <v>1592</v>
      </c>
      <c r="M899" s="3" t="n">
        <v>255643</v>
      </c>
      <c r="N899" s="3" t="s">
        <v>74</v>
      </c>
      <c r="O899" s="1" t="n">
        <v>239257</v>
      </c>
      <c r="P899" s="1" t="n">
        <v>93.59</v>
      </c>
      <c r="Q899" s="1" t="s">
        <v>20</v>
      </c>
      <c r="R899" s="1" t="s">
        <v>27</v>
      </c>
      <c r="S899" s="1" t="s">
        <v>28</v>
      </c>
      <c r="T899" s="1" t="s">
        <v>29</v>
      </c>
    </row>
    <row r="900" customFormat="false" ht="18.7" hidden="false" customHeight="true" outlineLevel="0" collapsed="false">
      <c r="A900" s="1" t="n">
        <v>899</v>
      </c>
      <c r="B900" s="6" t="str">
        <f aca="false">HYPERLINK("https://mncourtfraud.com/file/MCRO_27-CR-20-20037_Order-Evaluation for Competency to Proceed (Rule 20.01)_2022-01-19_20240430090145.pdf","MCRO_27-CR-20-20037_Order-Evaluation for Competency to Proceed (Rule 20.01)_2022-01-19_20240430090145.pdf")</f>
        <v>MCRO_27-CR-20-20037_Order-Evaluation for Competency to Proceed (Rule 20.01)_2022-01-19_20240430090145.pdf</v>
      </c>
      <c r="C900" s="1" t="n">
        <v>7</v>
      </c>
      <c r="D900" s="1" t="n">
        <v>5</v>
      </c>
      <c r="E900" s="1" t="n">
        <v>5</v>
      </c>
      <c r="F900" s="3" t="s">
        <v>20</v>
      </c>
      <c r="G900" s="3" t="s">
        <v>3751</v>
      </c>
      <c r="H900" s="1" t="s">
        <v>22</v>
      </c>
      <c r="I900" s="1" t="n">
        <v>20240430090145</v>
      </c>
      <c r="J900" s="3" t="s">
        <v>3752</v>
      </c>
      <c r="K900" s="3" t="s">
        <v>3753</v>
      </c>
      <c r="L900" s="3" t="s">
        <v>3754</v>
      </c>
      <c r="M900" s="3" t="n">
        <v>511439</v>
      </c>
      <c r="N900" s="3" t="s">
        <v>564</v>
      </c>
      <c r="O900" s="1" t="n">
        <v>495053</v>
      </c>
      <c r="P900" s="1" t="n">
        <v>96.8</v>
      </c>
      <c r="Q900" s="1" t="s">
        <v>20</v>
      </c>
      <c r="R900" s="1" t="s">
        <v>27</v>
      </c>
      <c r="S900" s="1" t="s">
        <v>28</v>
      </c>
      <c r="T900" s="1" t="s">
        <v>29</v>
      </c>
    </row>
    <row r="901" customFormat="false" ht="18.7" hidden="false" customHeight="true" outlineLevel="0" collapsed="false">
      <c r="A901" s="1" t="n">
        <v>900</v>
      </c>
      <c r="B901" s="6" t="str">
        <f aca="false">HYPERLINK("https://mncourtfraud.com/file/MCRO_27-CR-20-20037_Order-Evaluation for Competency to Proceed (Rule 20.01)_2022-06-14_20240430090139.pdf","MCRO_27-CR-20-20037_Order-Evaluation for Competency to Proceed (Rule 20.01)_2022-06-14_20240430090139.pdf")</f>
        <v>MCRO_27-CR-20-20037_Order-Evaluation for Competency to Proceed (Rule 20.01)_2022-06-14_20240430090139.pdf</v>
      </c>
      <c r="C901" s="1" t="n">
        <v>6</v>
      </c>
      <c r="D901" s="1" t="n">
        <v>1</v>
      </c>
      <c r="E901" s="1" t="n">
        <v>1</v>
      </c>
      <c r="F901" s="3" t="s">
        <v>20</v>
      </c>
      <c r="G901" s="3" t="s">
        <v>3755</v>
      </c>
      <c r="H901" s="1" t="s">
        <v>22</v>
      </c>
      <c r="I901" s="1" t="n">
        <v>20240430090139</v>
      </c>
      <c r="J901" s="3" t="s">
        <v>3756</v>
      </c>
      <c r="K901" s="3" t="s">
        <v>3757</v>
      </c>
      <c r="L901" s="3" t="s">
        <v>3758</v>
      </c>
      <c r="M901" s="3" t="n">
        <v>829221</v>
      </c>
      <c r="N901" s="3" t="s">
        <v>1614</v>
      </c>
      <c r="O901" s="1" t="n">
        <v>812835</v>
      </c>
      <c r="P901" s="1" t="n">
        <v>98.02</v>
      </c>
      <c r="Q901" s="1" t="s">
        <v>20</v>
      </c>
      <c r="R901" s="1" t="s">
        <v>27</v>
      </c>
      <c r="S901" s="1" t="s">
        <v>28</v>
      </c>
      <c r="T901" s="1" t="s">
        <v>29</v>
      </c>
    </row>
    <row r="902" customFormat="false" ht="18.7" hidden="false" customHeight="true" outlineLevel="0" collapsed="false">
      <c r="A902" s="1" t="n">
        <v>901</v>
      </c>
      <c r="B902" s="6" t="str">
        <f aca="false">HYPERLINK("https://mncourtfraud.com/file/MCRO_27-CR-20-20037_Order-Evaluation for Competency to Proceed (Rule 20.01)_2022-12-27_20240430090136.pdf","MCRO_27-CR-20-20037_Order-Evaluation for Competency to Proceed (Rule 20.01)_2022-12-27_20240430090136.pdf")</f>
        <v>MCRO_27-CR-20-20037_Order-Evaluation for Competency to Proceed (Rule 20.01)_2022-12-27_20240430090136.pdf</v>
      </c>
      <c r="C902" s="1" t="n">
        <v>6</v>
      </c>
      <c r="D902" s="1" t="n">
        <v>1</v>
      </c>
      <c r="E902" s="1" t="n">
        <v>1</v>
      </c>
      <c r="F902" s="3" t="s">
        <v>20</v>
      </c>
      <c r="G902" s="3" t="s">
        <v>3759</v>
      </c>
      <c r="H902" s="1" t="s">
        <v>22</v>
      </c>
      <c r="I902" s="1" t="n">
        <v>20240430090136</v>
      </c>
      <c r="J902" s="3" t="s">
        <v>3760</v>
      </c>
      <c r="K902" s="3" t="s">
        <v>3761</v>
      </c>
      <c r="L902" s="3" t="s">
        <v>3762</v>
      </c>
      <c r="M902" s="3" t="n">
        <v>823503</v>
      </c>
      <c r="N902" s="3" t="s">
        <v>1619</v>
      </c>
      <c r="O902" s="1" t="n">
        <v>807117</v>
      </c>
      <c r="P902" s="1" t="n">
        <v>98.01</v>
      </c>
      <c r="Q902" s="1" t="s">
        <v>20</v>
      </c>
      <c r="R902" s="1" t="s">
        <v>27</v>
      </c>
      <c r="S902" s="1" t="s">
        <v>28</v>
      </c>
      <c r="T902" s="1" t="s">
        <v>29</v>
      </c>
    </row>
    <row r="903" customFormat="false" ht="18.7" hidden="false" customHeight="true" outlineLevel="0" collapsed="false">
      <c r="A903" s="1" t="n">
        <v>902</v>
      </c>
      <c r="B903" s="6" t="str">
        <f aca="false">HYPERLINK("https://mncourtfraud.com/file/MCRO_27-CR-20-20037_Order-Evaluation for Competency to Proceed (Rule 20.01)_2023-01-11_20240430090135.pdf","MCRO_27-CR-20-20037_Order-Evaluation for Competency to Proceed (Rule 20.01)_2023-01-11_20240430090135.pdf")</f>
        <v>MCRO_27-CR-20-20037_Order-Evaluation for Competency to Proceed (Rule 20.01)_2023-01-11_20240430090135.pdf</v>
      </c>
      <c r="C903" s="1" t="n">
        <v>6</v>
      </c>
      <c r="D903" s="1" t="n">
        <v>2</v>
      </c>
      <c r="E903" s="1" t="n">
        <v>2</v>
      </c>
      <c r="F903" s="3" t="s">
        <v>27</v>
      </c>
      <c r="G903" s="3" t="s">
        <v>3763</v>
      </c>
      <c r="H903" s="1" t="s">
        <v>22</v>
      </c>
      <c r="I903" s="1" t="n">
        <v>20240430090135</v>
      </c>
      <c r="J903" s="3" t="s">
        <v>3764</v>
      </c>
      <c r="K903" s="3" t="s">
        <v>3765</v>
      </c>
      <c r="L903" s="3" t="s">
        <v>3766</v>
      </c>
      <c r="M903" s="3" t="n">
        <v>913099</v>
      </c>
      <c r="N903" s="3" t="s">
        <v>1624</v>
      </c>
      <c r="O903" s="1" t="n">
        <v>896713</v>
      </c>
      <c r="P903" s="1" t="n">
        <v>98.21</v>
      </c>
      <c r="Q903" s="1" t="s">
        <v>20</v>
      </c>
      <c r="R903" s="1" t="s">
        <v>27</v>
      </c>
      <c r="S903" s="1" t="s">
        <v>28</v>
      </c>
      <c r="T903" s="1" t="s">
        <v>29</v>
      </c>
    </row>
    <row r="904" customFormat="false" ht="18.7" hidden="false" customHeight="true" outlineLevel="0" collapsed="false">
      <c r="A904" s="1" t="n">
        <v>903</v>
      </c>
      <c r="B904" s="6" t="str">
        <f aca="false">HYPERLINK("https://mncourtfraud.com/file/MCRO_27-CR-20-20037_Order-Evaluation for Competency to Proceed (Rule 20.01)_2023-12-22_20240430090132.pdf","MCRO_27-CR-20-20037_Order-Evaluation for Competency to Proceed (Rule 20.01)_2023-12-22_20240430090132.pdf")</f>
        <v>MCRO_27-CR-20-20037_Order-Evaluation for Competency to Proceed (Rule 20.01)_2023-12-22_20240430090132.pdf</v>
      </c>
      <c r="C904" s="1" t="n">
        <v>5</v>
      </c>
      <c r="D904" s="1" t="n">
        <v>1</v>
      </c>
      <c r="E904" s="1" t="n">
        <v>1</v>
      </c>
      <c r="F904" s="3" t="s">
        <v>20</v>
      </c>
      <c r="G904" s="3" t="s">
        <v>3767</v>
      </c>
      <c r="H904" s="1" t="s">
        <v>22</v>
      </c>
      <c r="I904" s="1" t="n">
        <v>20240430090132</v>
      </c>
      <c r="J904" s="3" t="s">
        <v>3768</v>
      </c>
      <c r="K904" s="3" t="s">
        <v>3769</v>
      </c>
      <c r="L904" s="3" t="s">
        <v>3770</v>
      </c>
      <c r="M904" s="3" t="n">
        <v>761663</v>
      </c>
      <c r="N904" s="3" t="s">
        <v>1091</v>
      </c>
      <c r="O904" s="1" t="n">
        <v>745277</v>
      </c>
      <c r="P904" s="1" t="n">
        <v>97.85</v>
      </c>
      <c r="Q904" s="1" t="s">
        <v>20</v>
      </c>
      <c r="R904" s="1" t="s">
        <v>27</v>
      </c>
      <c r="S904" s="1" t="s">
        <v>28</v>
      </c>
      <c r="T904" s="1" t="s">
        <v>29</v>
      </c>
    </row>
    <row r="905" customFormat="false" ht="18.7" hidden="false" customHeight="true" outlineLevel="0" collapsed="false">
      <c r="A905" s="1" t="n">
        <v>904</v>
      </c>
      <c r="B905" s="6" t="str">
        <f aca="false">HYPERLINK("https://mncourtfraud.com/file/MCRO_27-CR-20-20037_Order for Conditional Release_2021-12-20_20240430090148.pdf","MCRO_27-CR-20-20037_Order for Conditional Release_2021-12-20_20240430090148.pdf")</f>
        <v>MCRO_27-CR-20-20037_Order for Conditional Release_2021-12-20_20240430090148.pdf</v>
      </c>
      <c r="C905" s="1" t="n">
        <v>4</v>
      </c>
      <c r="D905" s="1" t="n">
        <v>1</v>
      </c>
      <c r="E905" s="1" t="n">
        <v>1</v>
      </c>
      <c r="F905" s="3" t="s">
        <v>20</v>
      </c>
      <c r="G905" s="3" t="s">
        <v>3771</v>
      </c>
      <c r="H905" s="1" t="s">
        <v>22</v>
      </c>
      <c r="I905" s="1" t="n">
        <v>20240430090148</v>
      </c>
      <c r="J905" s="3" t="s">
        <v>3772</v>
      </c>
      <c r="K905" s="3" t="s">
        <v>3773</v>
      </c>
      <c r="L905" s="3" t="s">
        <v>3774</v>
      </c>
      <c r="M905" s="3" t="n">
        <v>158631</v>
      </c>
      <c r="N905" s="3" t="s">
        <v>1065</v>
      </c>
      <c r="O905" s="1" t="n">
        <v>142245</v>
      </c>
      <c r="P905" s="1" t="n">
        <v>89.67</v>
      </c>
      <c r="Q905" s="1" t="s">
        <v>20</v>
      </c>
      <c r="R905" s="1" t="s">
        <v>27</v>
      </c>
      <c r="S905" s="1" t="s">
        <v>28</v>
      </c>
      <c r="T905" s="1" t="s">
        <v>29</v>
      </c>
    </row>
    <row r="906" customFormat="false" ht="18.7" hidden="false" customHeight="true" outlineLevel="0" collapsed="false">
      <c r="A906" s="1" t="n">
        <v>905</v>
      </c>
      <c r="B906" s="6" t="str">
        <f aca="false">HYPERLINK("https://mncourtfraud.com/file/MCRO_27-CR-20-20037_Order for Conditional Release_2022-02-16_20240430090145.pdf","MCRO_27-CR-20-20037_Order for Conditional Release_2022-02-16_20240430090145.pdf")</f>
        <v>MCRO_27-CR-20-20037_Order for Conditional Release_2022-02-16_20240430090145.pdf</v>
      </c>
      <c r="C906" s="1" t="n">
        <v>10</v>
      </c>
      <c r="D906" s="1" t="n">
        <v>2</v>
      </c>
      <c r="E906" s="1" t="n">
        <v>2</v>
      </c>
      <c r="F906" s="3" t="s">
        <v>20</v>
      </c>
      <c r="G906" s="3" t="s">
        <v>3775</v>
      </c>
      <c r="H906" s="1" t="s">
        <v>22</v>
      </c>
      <c r="I906" s="1" t="n">
        <v>20240430090145</v>
      </c>
      <c r="J906" s="3" t="s">
        <v>3776</v>
      </c>
      <c r="K906" s="3" t="s">
        <v>3777</v>
      </c>
      <c r="L906" s="3" t="s">
        <v>3778</v>
      </c>
      <c r="M906" s="3" t="n">
        <v>1167053</v>
      </c>
      <c r="N906" s="3" t="s">
        <v>1645</v>
      </c>
      <c r="O906" s="1" t="n">
        <v>1150667</v>
      </c>
      <c r="P906" s="1" t="n">
        <v>98.6</v>
      </c>
      <c r="Q906" s="1" t="s">
        <v>20</v>
      </c>
      <c r="R906" s="1" t="s">
        <v>27</v>
      </c>
      <c r="S906" s="1" t="s">
        <v>28</v>
      </c>
      <c r="T906" s="1" t="s">
        <v>29</v>
      </c>
    </row>
    <row r="907" customFormat="false" ht="18.7" hidden="false" customHeight="true" outlineLevel="0" collapsed="false">
      <c r="A907" s="1" t="n">
        <v>906</v>
      </c>
      <c r="B907" s="6" t="str">
        <f aca="false">HYPERLINK("https://mncourtfraud.com/file/MCRO_27-CR-20-20037_Order for Conditional Release_2022-03-11_20240430090141.pdf","MCRO_27-CR-20-20037_Order for Conditional Release_2022-03-11_20240430090141.pdf")</f>
        <v>MCRO_27-CR-20-20037_Order for Conditional Release_2022-03-11_20240430090141.pdf</v>
      </c>
      <c r="C907" s="1" t="n">
        <v>3</v>
      </c>
      <c r="D907" s="1" t="n">
        <v>1</v>
      </c>
      <c r="E907" s="1" t="n">
        <v>1</v>
      </c>
      <c r="F907" s="3" t="s">
        <v>20</v>
      </c>
      <c r="G907" s="3" t="s">
        <v>3779</v>
      </c>
      <c r="H907" s="1" t="s">
        <v>22</v>
      </c>
      <c r="I907" s="1" t="n">
        <v>20240430090141</v>
      </c>
      <c r="J907" s="3" t="s">
        <v>3780</v>
      </c>
      <c r="K907" s="3" t="s">
        <v>3781</v>
      </c>
      <c r="L907" s="3" t="s">
        <v>3782</v>
      </c>
      <c r="M907" s="3" t="n">
        <v>194380</v>
      </c>
      <c r="N907" s="3" t="s">
        <v>1316</v>
      </c>
      <c r="O907" s="1" t="n">
        <v>177994</v>
      </c>
      <c r="P907" s="1" t="n">
        <v>91.57</v>
      </c>
      <c r="Q907" s="1" t="s">
        <v>20</v>
      </c>
      <c r="R907" s="1" t="s">
        <v>27</v>
      </c>
      <c r="S907" s="1" t="s">
        <v>28</v>
      </c>
      <c r="T907" s="1" t="s">
        <v>29</v>
      </c>
    </row>
    <row r="908" customFormat="false" ht="18.7" hidden="false" customHeight="true" outlineLevel="0" collapsed="false">
      <c r="A908" s="1" t="n">
        <v>907</v>
      </c>
      <c r="B908" s="6" t="str">
        <f aca="false">HYPERLINK("https://mncourtfraud.com/file/MCRO_27-CR-20-20037_Probation Referral Notification_2020-10-23_20240430090153.pdf","MCRO_27-CR-20-20037_Probation Referral Notification_2020-10-23_20240430090153.pdf")</f>
        <v>MCRO_27-CR-20-20037_Probation Referral Notification_2020-10-23_20240430090153.pdf</v>
      </c>
      <c r="C908" s="1" t="n">
        <v>4</v>
      </c>
      <c r="D908" s="1" t="n">
        <v>1</v>
      </c>
      <c r="E908" s="1" t="n">
        <v>1</v>
      </c>
      <c r="F908" s="3" t="s">
        <v>20</v>
      </c>
      <c r="G908" s="3" t="s">
        <v>3783</v>
      </c>
      <c r="H908" s="1" t="s">
        <v>22</v>
      </c>
      <c r="I908" s="1" t="n">
        <v>20240430090153</v>
      </c>
      <c r="J908" s="3" t="s">
        <v>3784</v>
      </c>
      <c r="K908" s="3" t="s">
        <v>3785</v>
      </c>
      <c r="L908" s="3" t="s">
        <v>3786</v>
      </c>
      <c r="M908" s="3" t="n">
        <v>111554</v>
      </c>
      <c r="N908" s="3" t="s">
        <v>892</v>
      </c>
      <c r="O908" s="1" t="n">
        <v>95168</v>
      </c>
      <c r="P908" s="1" t="n">
        <v>85.31</v>
      </c>
      <c r="Q908" s="1" t="s">
        <v>20</v>
      </c>
      <c r="R908" s="1" t="s">
        <v>27</v>
      </c>
      <c r="S908" s="1" t="s">
        <v>28</v>
      </c>
      <c r="T908" s="1" t="s">
        <v>29</v>
      </c>
    </row>
    <row r="909" customFormat="false" ht="18.7" hidden="false" customHeight="true" outlineLevel="0" collapsed="false">
      <c r="A909" s="1" t="n">
        <v>908</v>
      </c>
      <c r="B909" s="6" t="str">
        <f aca="false">HYPERLINK("https://mncourtfraud.com/file/MCRO_27-CR-20-20037_Proposed Order or Document_2022-11-07_20240430090137.pdf","MCRO_27-CR-20-20037_Proposed Order or Document_2022-11-07_20240430090137.pdf")</f>
        <v>MCRO_27-CR-20-20037_Proposed Order or Document_2022-11-07_20240430090137.pdf</v>
      </c>
      <c r="C909" s="1" t="n">
        <v>3</v>
      </c>
      <c r="D909" s="1" t="n">
        <v>1</v>
      </c>
      <c r="E909" s="1" t="n">
        <v>1</v>
      </c>
      <c r="F909" s="3" t="s">
        <v>20</v>
      </c>
      <c r="G909" s="3" t="s">
        <v>3787</v>
      </c>
      <c r="H909" s="1" t="s">
        <v>22</v>
      </c>
      <c r="I909" s="1" t="n">
        <v>20240430090137</v>
      </c>
      <c r="J909" s="3" t="s">
        <v>3788</v>
      </c>
      <c r="K909" s="3" t="s">
        <v>3789</v>
      </c>
      <c r="L909" s="3" t="s">
        <v>3790</v>
      </c>
      <c r="M909" s="3" t="n">
        <v>178717</v>
      </c>
      <c r="N909" s="3" t="s">
        <v>1673</v>
      </c>
      <c r="O909" s="1" t="n">
        <v>162331</v>
      </c>
      <c r="P909" s="1" t="n">
        <v>90.83</v>
      </c>
      <c r="Q909" s="1" t="s">
        <v>20</v>
      </c>
      <c r="R909" s="1" t="s">
        <v>27</v>
      </c>
      <c r="S909" s="1" t="s">
        <v>28</v>
      </c>
      <c r="T909" s="1" t="s">
        <v>29</v>
      </c>
    </row>
    <row r="910" customFormat="false" ht="18.7" hidden="false" customHeight="true" outlineLevel="0" collapsed="false">
      <c r="A910" s="1" t="n">
        <v>909</v>
      </c>
      <c r="B910" s="6" t="str">
        <f aca="false">HYPERLINK("https://mncourtfraud.com/file/MCRO_27-CR-20-20037_Returned Mail_2024-03-19_20240430090125.pdf","MCRO_27-CR-20-20037_Returned Mail_2024-03-19_20240430090125.pdf")</f>
        <v>MCRO_27-CR-20-20037_Returned Mail_2024-03-19_20240430090125.pdf</v>
      </c>
      <c r="C910" s="1" t="n">
        <v>4</v>
      </c>
      <c r="D910" s="1" t="n">
        <v>1</v>
      </c>
      <c r="E910" s="1" t="n">
        <v>1</v>
      </c>
      <c r="F910" s="3" t="s">
        <v>20</v>
      </c>
      <c r="G910" s="3" t="s">
        <v>3791</v>
      </c>
      <c r="H910" s="1" t="s">
        <v>22</v>
      </c>
      <c r="I910" s="1" t="n">
        <v>20240430090125</v>
      </c>
      <c r="J910" s="3" t="s">
        <v>3792</v>
      </c>
      <c r="K910" s="3" t="s">
        <v>3793</v>
      </c>
      <c r="L910" s="3" t="s">
        <v>3794</v>
      </c>
      <c r="M910" s="3" t="n">
        <v>111151</v>
      </c>
      <c r="N910" s="3" t="s">
        <v>777</v>
      </c>
      <c r="O910" s="1" t="n">
        <v>94765</v>
      </c>
      <c r="P910" s="1" t="n">
        <v>85.26</v>
      </c>
      <c r="Q910" s="1" t="s">
        <v>20</v>
      </c>
      <c r="R910" s="1" t="s">
        <v>27</v>
      </c>
      <c r="S910" s="1" t="s">
        <v>28</v>
      </c>
      <c r="T910" s="1" t="s">
        <v>29</v>
      </c>
    </row>
    <row r="911" customFormat="false" ht="18.7" hidden="false" customHeight="true" outlineLevel="0" collapsed="false">
      <c r="A911" s="1" t="n">
        <v>910</v>
      </c>
      <c r="B911" s="6" t="str">
        <f aca="false">HYPERLINK("https://mncourtfraud.com/file/MCRO_27-CR-20-20037_Summons_2020-09-16_20240430090155.pdf","MCRO_27-CR-20-20037_Summons_2020-09-16_20240430090155.pdf")</f>
        <v>MCRO_27-CR-20-20037_Summons_2020-09-16_20240430090155.pdf</v>
      </c>
      <c r="C911" s="1" t="n">
        <v>4</v>
      </c>
      <c r="D911" s="1" t="n">
        <v>1</v>
      </c>
      <c r="E911" s="1" t="n">
        <v>1</v>
      </c>
      <c r="F911" s="3" t="s">
        <v>20</v>
      </c>
      <c r="G911" s="3" t="s">
        <v>3795</v>
      </c>
      <c r="H911" s="1" t="s">
        <v>22</v>
      </c>
      <c r="I911" s="1" t="n">
        <v>20240430090155</v>
      </c>
      <c r="J911" s="3" t="s">
        <v>3713</v>
      </c>
      <c r="K911" s="3" t="s">
        <v>3714</v>
      </c>
      <c r="L911" s="3" t="s">
        <v>3796</v>
      </c>
      <c r="M911" s="3" t="n">
        <v>823671</v>
      </c>
      <c r="N911" s="3" t="s">
        <v>3264</v>
      </c>
      <c r="O911" s="1" t="n">
        <v>807285</v>
      </c>
      <c r="P911" s="1" t="n">
        <v>98.01</v>
      </c>
      <c r="Q911" s="1" t="s">
        <v>20</v>
      </c>
      <c r="R911" s="1" t="s">
        <v>27</v>
      </c>
      <c r="S911" s="1" t="s">
        <v>28</v>
      </c>
      <c r="T911" s="1" t="s">
        <v>29</v>
      </c>
    </row>
    <row r="912" customFormat="false" ht="18.7" hidden="false" customHeight="true" outlineLevel="0" collapsed="false">
      <c r="A912" s="1" t="n">
        <v>911</v>
      </c>
      <c r="B912" s="6" t="str">
        <f aca="false">HYPERLINK("https://mncourtfraud.com/file/MCRO_27-CR-20-20037_Summons_2020-10-26_20240430090151.pdf","MCRO_27-CR-20-20037_Summons_2020-10-26_20240430090151.pdf")</f>
        <v>MCRO_27-CR-20-20037_Summons_2020-10-26_20240430090151.pdf</v>
      </c>
      <c r="C912" s="1" t="n">
        <v>5</v>
      </c>
      <c r="D912" s="1" t="n">
        <v>1</v>
      </c>
      <c r="E912" s="1" t="n">
        <v>1</v>
      </c>
      <c r="F912" s="3" t="s">
        <v>20</v>
      </c>
      <c r="G912" s="3" t="s">
        <v>3797</v>
      </c>
      <c r="H912" s="1" t="s">
        <v>22</v>
      </c>
      <c r="I912" s="1" t="n">
        <v>20240430090151</v>
      </c>
      <c r="J912" s="3" t="s">
        <v>3798</v>
      </c>
      <c r="K912" s="3" t="s">
        <v>3799</v>
      </c>
      <c r="L912" s="3" t="s">
        <v>3800</v>
      </c>
      <c r="M912" s="3" t="n">
        <v>792021</v>
      </c>
      <c r="N912" s="3" t="s">
        <v>3801</v>
      </c>
      <c r="O912" s="1" t="n">
        <v>775635</v>
      </c>
      <c r="P912" s="1" t="n">
        <v>97.93</v>
      </c>
      <c r="Q912" s="1" t="s">
        <v>20</v>
      </c>
      <c r="R912" s="1" t="s">
        <v>27</v>
      </c>
      <c r="S912" s="1" t="s">
        <v>28</v>
      </c>
      <c r="T912" s="1" t="s">
        <v>29</v>
      </c>
    </row>
    <row r="913" customFormat="false" ht="18.7" hidden="false" customHeight="true" outlineLevel="0" collapsed="false">
      <c r="A913" s="1" t="n">
        <v>912</v>
      </c>
      <c r="B913" s="6" t="str">
        <f aca="false">HYPERLINK("https://mncourtfraud.com/file/MCRO_27-CR-20-20788_Amended Order_2021-02-08_20240430090245.pdf","MCRO_27-CR-20-20788_Amended Order_2021-02-08_20240430090245.pdf")</f>
        <v>MCRO_27-CR-20-20788_Amended Order_2021-02-08_20240430090245.pdf</v>
      </c>
      <c r="C913" s="1" t="n">
        <v>4</v>
      </c>
      <c r="D913" s="1" t="n">
        <v>1</v>
      </c>
      <c r="E913" s="1" t="n">
        <v>1</v>
      </c>
      <c r="F913" s="3" t="s">
        <v>20</v>
      </c>
      <c r="G913" s="3" t="s">
        <v>3802</v>
      </c>
      <c r="H913" s="1" t="s">
        <v>22</v>
      </c>
      <c r="I913" s="1" t="n">
        <v>20240430090245</v>
      </c>
      <c r="J913" s="3" t="s">
        <v>3803</v>
      </c>
      <c r="K913" s="3" t="s">
        <v>3804</v>
      </c>
      <c r="L913" s="3" t="s">
        <v>3805</v>
      </c>
      <c r="M913" s="3" t="n">
        <v>214411</v>
      </c>
      <c r="N913" s="3" t="s">
        <v>3445</v>
      </c>
      <c r="O913" s="1" t="n">
        <v>198025</v>
      </c>
      <c r="P913" s="1" t="n">
        <v>92.36</v>
      </c>
      <c r="Q913" s="1" t="s">
        <v>20</v>
      </c>
      <c r="R913" s="1" t="s">
        <v>27</v>
      </c>
      <c r="S913" s="1" t="s">
        <v>28</v>
      </c>
      <c r="T913" s="1" t="s">
        <v>29</v>
      </c>
    </row>
    <row r="914" customFormat="false" ht="18.7" hidden="false" customHeight="true" outlineLevel="0" collapsed="false">
      <c r="A914" s="1" t="n">
        <v>913</v>
      </c>
      <c r="B914" s="6" t="str">
        <f aca="false">HYPERLINK("https://mncourtfraud.com/file/MCRO_27-CR-20-20788_Assignment of Bail_2020-11-13_20240430090253.pdf","MCRO_27-CR-20-20788_Assignment of Bail_2020-11-13_20240430090253.pdf")</f>
        <v>MCRO_27-CR-20-20788_Assignment of Bail_2020-11-13_20240430090253.pdf</v>
      </c>
      <c r="C914" s="1" t="n">
        <v>4</v>
      </c>
      <c r="D914" s="1" t="n">
        <v>1</v>
      </c>
      <c r="E914" s="1" t="n">
        <v>1</v>
      </c>
      <c r="F914" s="3" t="s">
        <v>20</v>
      </c>
      <c r="G914" s="3" t="s">
        <v>3806</v>
      </c>
      <c r="H914" s="1" t="s">
        <v>22</v>
      </c>
      <c r="I914" s="1" t="n">
        <v>20240430090253</v>
      </c>
      <c r="J914" s="3" t="s">
        <v>3807</v>
      </c>
      <c r="K914" s="3" t="s">
        <v>3808</v>
      </c>
      <c r="L914" s="3" t="s">
        <v>3809</v>
      </c>
      <c r="M914" s="3" t="n">
        <v>92639</v>
      </c>
      <c r="N914" s="3" t="s">
        <v>456</v>
      </c>
      <c r="O914" s="1" t="n">
        <v>76253</v>
      </c>
      <c r="P914" s="1" t="n">
        <v>82.31</v>
      </c>
      <c r="Q914" s="1" t="s">
        <v>20</v>
      </c>
      <c r="R914" s="1" t="s">
        <v>27</v>
      </c>
      <c r="S914" s="1" t="s">
        <v>28</v>
      </c>
      <c r="T914" s="1" t="s">
        <v>29</v>
      </c>
    </row>
    <row r="915" customFormat="false" ht="18.7" hidden="false" customHeight="true" outlineLevel="0" collapsed="false">
      <c r="A915" s="1" t="n">
        <v>914</v>
      </c>
      <c r="B915" s="6" t="str">
        <f aca="false">HYPERLINK("https://mncourtfraud.com/file/MCRO_27-CR-20-20788_Assignment of Bail_2021-05-25_20240430090235.pdf","MCRO_27-CR-20-20788_Assignment of Bail_2021-05-25_20240430090235.pdf")</f>
        <v>MCRO_27-CR-20-20788_Assignment of Bail_2021-05-25_20240430090235.pdf</v>
      </c>
      <c r="C915" s="1" t="n">
        <v>4</v>
      </c>
      <c r="D915" s="1" t="n">
        <v>1</v>
      </c>
      <c r="E915" s="1" t="n">
        <v>1</v>
      </c>
      <c r="F915" s="3" t="s">
        <v>20</v>
      </c>
      <c r="G915" s="3" t="s">
        <v>3810</v>
      </c>
      <c r="H915" s="1" t="s">
        <v>22</v>
      </c>
      <c r="I915" s="1" t="n">
        <v>20240430090235</v>
      </c>
      <c r="J915" s="3" t="s">
        <v>3811</v>
      </c>
      <c r="K915" s="3" t="s">
        <v>3812</v>
      </c>
      <c r="L915" s="3" t="s">
        <v>3813</v>
      </c>
      <c r="M915" s="3" t="n">
        <v>91985</v>
      </c>
      <c r="N915" s="3" t="s">
        <v>456</v>
      </c>
      <c r="O915" s="1" t="n">
        <v>75599</v>
      </c>
      <c r="P915" s="1" t="n">
        <v>82.19</v>
      </c>
      <c r="Q915" s="1" t="s">
        <v>20</v>
      </c>
      <c r="R915" s="1" t="s">
        <v>27</v>
      </c>
      <c r="S915" s="1" t="s">
        <v>28</v>
      </c>
      <c r="T915" s="1" t="s">
        <v>29</v>
      </c>
    </row>
    <row r="916" customFormat="false" ht="18.7" hidden="false" customHeight="true" outlineLevel="0" collapsed="false">
      <c r="A916" s="1" t="n">
        <v>915</v>
      </c>
      <c r="B916" s="6" t="str">
        <f aca="false">HYPERLINK("https://mncourtfraud.com/file/MCRO_27-CR-20-20788_Correspondence_2024-02-07_20240430090222.pdf","MCRO_27-CR-20-20788_Correspondence_2024-02-07_20240430090222.pdf")</f>
        <v>MCRO_27-CR-20-20788_Correspondence_2024-02-07_20240430090222.pdf</v>
      </c>
      <c r="C916" s="1" t="n">
        <v>4</v>
      </c>
      <c r="D916" s="1" t="n">
        <v>1</v>
      </c>
      <c r="E916" s="1" t="n">
        <v>1</v>
      </c>
      <c r="F916" s="3" t="s">
        <v>20</v>
      </c>
      <c r="G916" s="3" t="s">
        <v>3814</v>
      </c>
      <c r="H916" s="1" t="s">
        <v>22</v>
      </c>
      <c r="I916" s="1" t="n">
        <v>20240430090222</v>
      </c>
      <c r="J916" s="3" t="s">
        <v>3815</v>
      </c>
      <c r="K916" s="3" t="s">
        <v>3816</v>
      </c>
      <c r="L916" s="3" t="s">
        <v>3817</v>
      </c>
      <c r="M916" s="3" t="n">
        <v>468824</v>
      </c>
      <c r="N916" s="3" t="s">
        <v>1569</v>
      </c>
      <c r="O916" s="1" t="n">
        <v>452438</v>
      </c>
      <c r="P916" s="1" t="n">
        <v>96.5</v>
      </c>
      <c r="Q916" s="1" t="s">
        <v>20</v>
      </c>
      <c r="R916" s="1" t="s">
        <v>27</v>
      </c>
      <c r="S916" s="1" t="s">
        <v>28</v>
      </c>
      <c r="T916" s="1" t="s">
        <v>29</v>
      </c>
    </row>
    <row r="917" customFormat="false" ht="18.7" hidden="false" customHeight="true" outlineLevel="0" collapsed="false">
      <c r="A917" s="1" t="n">
        <v>916</v>
      </c>
      <c r="B917" s="6" t="str">
        <f aca="false">HYPERLINK("https://mncourtfraud.com/file/MCRO_27-CR-20-20788_Demand or Request for Discovery_2020-10-12_20240430090255.pdf","MCRO_27-CR-20-20788_Demand or Request for Discovery_2020-10-12_20240430090255.pdf")</f>
        <v>MCRO_27-CR-20-20788_Demand or Request for Discovery_2020-10-12_20240430090255.pdf</v>
      </c>
      <c r="C917" s="1" t="n">
        <v>3</v>
      </c>
      <c r="D917" s="1" t="n">
        <v>1</v>
      </c>
      <c r="E917" s="1" t="n">
        <v>1</v>
      </c>
      <c r="F917" s="3" t="s">
        <v>20</v>
      </c>
      <c r="G917" s="3" t="s">
        <v>3818</v>
      </c>
      <c r="H917" s="1" t="s">
        <v>22</v>
      </c>
      <c r="I917" s="1" t="n">
        <v>20240430090255</v>
      </c>
      <c r="J917" s="3" t="s">
        <v>3819</v>
      </c>
      <c r="K917" s="3" t="s">
        <v>3820</v>
      </c>
      <c r="L917" s="3" t="s">
        <v>3821</v>
      </c>
      <c r="M917" s="3" t="n">
        <v>374029</v>
      </c>
      <c r="N917" s="3" t="s">
        <v>3822</v>
      </c>
      <c r="O917" s="1" t="n">
        <v>357643</v>
      </c>
      <c r="P917" s="1" t="n">
        <v>95.62</v>
      </c>
      <c r="Q917" s="1" t="s">
        <v>20</v>
      </c>
      <c r="R917" s="1" t="s">
        <v>27</v>
      </c>
      <c r="S917" s="1" t="s">
        <v>28</v>
      </c>
      <c r="T917" s="1" t="s">
        <v>29</v>
      </c>
    </row>
    <row r="918" customFormat="false" ht="18.7" hidden="false" customHeight="true" outlineLevel="0" collapsed="false">
      <c r="A918" s="1" t="n">
        <v>917</v>
      </c>
      <c r="B918" s="6" t="str">
        <f aca="false">HYPERLINK("https://mncourtfraud.com/file/MCRO_27-CR-20-20788_E-filed Comp-Warrant_2020-09-28_20240430090256.pdf","MCRO_27-CR-20-20788_E-filed Comp-Warrant_2020-09-28_20240430090256.pdf")</f>
        <v>MCRO_27-CR-20-20788_E-filed Comp-Warrant_2020-09-28_20240430090256.pdf</v>
      </c>
      <c r="C918" s="1" t="n">
        <v>4</v>
      </c>
      <c r="D918" s="1" t="n">
        <v>2</v>
      </c>
      <c r="E918" s="1" t="n">
        <v>2</v>
      </c>
      <c r="F918" s="3" t="s">
        <v>20</v>
      </c>
      <c r="G918" s="3" t="s">
        <v>3823</v>
      </c>
      <c r="H918" s="1" t="s">
        <v>22</v>
      </c>
      <c r="I918" s="1" t="n">
        <v>20240430090256</v>
      </c>
      <c r="J918" s="3" t="s">
        <v>3824</v>
      </c>
      <c r="K918" s="3" t="s">
        <v>3825</v>
      </c>
      <c r="L918" s="3" t="s">
        <v>3826</v>
      </c>
      <c r="M918" s="3" t="n">
        <v>540309</v>
      </c>
      <c r="N918" s="3" t="s">
        <v>3827</v>
      </c>
      <c r="O918" s="1" t="n">
        <v>523923</v>
      </c>
      <c r="P918" s="1" t="n">
        <v>96.97</v>
      </c>
      <c r="Q918" s="1" t="s">
        <v>20</v>
      </c>
      <c r="R918" s="1" t="s">
        <v>27</v>
      </c>
      <c r="S918" s="1" t="s">
        <v>28</v>
      </c>
      <c r="T918" s="1" t="s">
        <v>29</v>
      </c>
    </row>
    <row r="919" customFormat="false" ht="18.7" hidden="false" customHeight="true" outlineLevel="0" collapsed="false">
      <c r="A919" s="1" t="n">
        <v>918</v>
      </c>
      <c r="B919" s="6" t="str">
        <f aca="false">HYPERLINK("https://mncourtfraud.com/file/MCRO_27-CR-20-20788_Finding of Incompetency and Order_2023-04-26_20240430090226.pdf","MCRO_27-CR-20-20788_Finding of Incompetency and Order_2023-04-26_20240430090226.pdf")</f>
        <v>MCRO_27-CR-20-20788_Finding of Incompetency and Order_2023-04-26_20240430090226.pdf</v>
      </c>
      <c r="C919" s="1" t="n">
        <v>9</v>
      </c>
      <c r="D919" s="1" t="n">
        <v>3</v>
      </c>
      <c r="E919" s="1" t="n">
        <v>3</v>
      </c>
      <c r="F919" s="3" t="s">
        <v>27</v>
      </c>
      <c r="G919" s="3" t="s">
        <v>3828</v>
      </c>
      <c r="H919" s="1" t="s">
        <v>22</v>
      </c>
      <c r="I919" s="1" t="n">
        <v>20240430090226</v>
      </c>
      <c r="J919" s="3" t="s">
        <v>3829</v>
      </c>
      <c r="K919" s="3" t="s">
        <v>3830</v>
      </c>
      <c r="L919" s="3" t="s">
        <v>3831</v>
      </c>
      <c r="M919" s="3" t="n">
        <v>946826</v>
      </c>
      <c r="N919" s="3" t="s">
        <v>3832</v>
      </c>
      <c r="O919" s="1" t="n">
        <v>930440</v>
      </c>
      <c r="P919" s="1" t="n">
        <v>98.27</v>
      </c>
      <c r="Q919" s="1" t="s">
        <v>20</v>
      </c>
      <c r="R919" s="1" t="s">
        <v>27</v>
      </c>
      <c r="S919" s="1" t="s">
        <v>28</v>
      </c>
      <c r="T919" s="1" t="s">
        <v>29</v>
      </c>
    </row>
    <row r="920" customFormat="false" ht="18.7" hidden="false" customHeight="true" outlineLevel="0" collapsed="false">
      <c r="A920" s="1" t="n">
        <v>919</v>
      </c>
      <c r="B920" s="6" t="str">
        <f aca="false">HYPERLINK("https://mncourtfraud.com/file/MCRO_27-CR-20-20788_Finding of Incompetency and Order_2024-02-12_20240430090219.pdf","MCRO_27-CR-20-20788_Finding of Incompetency and Order_2024-02-12_20240430090219.pdf")</f>
        <v>MCRO_27-CR-20-20788_Finding of Incompetency and Order_2024-02-12_20240430090219.pdf</v>
      </c>
      <c r="C920" s="1" t="n">
        <v>5</v>
      </c>
      <c r="D920" s="1" t="n">
        <v>2</v>
      </c>
      <c r="E920" s="1" t="n">
        <v>2</v>
      </c>
      <c r="F920" s="3" t="s">
        <v>20</v>
      </c>
      <c r="G920" s="3" t="s">
        <v>3833</v>
      </c>
      <c r="H920" s="1" t="s">
        <v>22</v>
      </c>
      <c r="I920" s="1" t="n">
        <v>20240430090219</v>
      </c>
      <c r="J920" s="3" t="s">
        <v>3834</v>
      </c>
      <c r="K920" s="3" t="s">
        <v>3835</v>
      </c>
      <c r="L920" s="3" t="s">
        <v>3836</v>
      </c>
      <c r="M920" s="3" t="n">
        <v>892780</v>
      </c>
      <c r="N920" s="3" t="s">
        <v>3837</v>
      </c>
      <c r="O920" s="1" t="n">
        <v>876394</v>
      </c>
      <c r="P920" s="1" t="n">
        <v>98.16</v>
      </c>
      <c r="Q920" s="1" t="s">
        <v>20</v>
      </c>
      <c r="R920" s="1" t="s">
        <v>27</v>
      </c>
      <c r="S920" s="1" t="s">
        <v>28</v>
      </c>
      <c r="T920" s="1" t="s">
        <v>29</v>
      </c>
    </row>
    <row r="921" customFormat="false" ht="18.7" hidden="false" customHeight="true" outlineLevel="0" collapsed="false">
      <c r="A921" s="1" t="n">
        <v>920</v>
      </c>
      <c r="B921" s="6" t="str">
        <f aca="false">HYPERLINK("https://mncourtfraud.com/file/MCRO_27-CR-20-20788_Findings and Order_2021-10-06_20240430090234.pdf","MCRO_27-CR-20-20788_Findings and Order_2021-10-06_20240430090234.pdf")</f>
        <v>MCRO_27-CR-20-20788_Findings and Order_2021-10-06_20240430090234.pdf</v>
      </c>
      <c r="C921" s="1" t="n">
        <v>5</v>
      </c>
      <c r="D921" s="1" t="n">
        <v>1</v>
      </c>
      <c r="E921" s="1" t="n">
        <v>1</v>
      </c>
      <c r="F921" s="3" t="s">
        <v>20</v>
      </c>
      <c r="G921" s="3" t="s">
        <v>3838</v>
      </c>
      <c r="H921" s="1" t="s">
        <v>22</v>
      </c>
      <c r="I921" s="1" t="n">
        <v>20240430090234</v>
      </c>
      <c r="J921" s="3" t="s">
        <v>3839</v>
      </c>
      <c r="K921" s="3" t="s">
        <v>3840</v>
      </c>
      <c r="L921" s="3" t="s">
        <v>3841</v>
      </c>
      <c r="M921" s="3" t="n">
        <v>261897</v>
      </c>
      <c r="N921" s="3" t="s">
        <v>3842</v>
      </c>
      <c r="O921" s="1" t="n">
        <v>245511</v>
      </c>
      <c r="P921" s="1" t="n">
        <v>93.74</v>
      </c>
      <c r="Q921" s="1" t="s">
        <v>20</v>
      </c>
      <c r="R921" s="1" t="s">
        <v>27</v>
      </c>
      <c r="S921" s="1" t="s">
        <v>28</v>
      </c>
      <c r="T921" s="1" t="s">
        <v>29</v>
      </c>
    </row>
    <row r="922" customFormat="false" ht="18.7" hidden="false" customHeight="true" outlineLevel="0" collapsed="false">
      <c r="A922" s="1" t="n">
        <v>921</v>
      </c>
      <c r="B922" s="6" t="str">
        <f aca="false">HYPERLINK("https://mncourtfraud.com/file/MCRO_27-CR-20-20788_Notice of Case Reassignment_2021-03-30_20240430090241.pdf","MCRO_27-CR-20-20788_Notice of Case Reassignment_2021-03-30_20240430090241.pdf")</f>
        <v>MCRO_27-CR-20-20788_Notice of Case Reassignment_2021-03-30_20240430090241.pdf</v>
      </c>
      <c r="C922" s="1" t="n">
        <v>4</v>
      </c>
      <c r="D922" s="1" t="n">
        <v>1</v>
      </c>
      <c r="E922" s="1" t="n">
        <v>1</v>
      </c>
      <c r="F922" s="3" t="s">
        <v>20</v>
      </c>
      <c r="G922" s="3" t="s">
        <v>3843</v>
      </c>
      <c r="H922" s="1" t="s">
        <v>22</v>
      </c>
      <c r="I922" s="1" t="n">
        <v>20240430090241</v>
      </c>
      <c r="J922" s="3" t="s">
        <v>3844</v>
      </c>
      <c r="K922" s="3" t="s">
        <v>3845</v>
      </c>
      <c r="L922" s="3" t="s">
        <v>3846</v>
      </c>
      <c r="M922" s="3" t="n">
        <v>101487</v>
      </c>
      <c r="N922" s="3" t="s">
        <v>456</v>
      </c>
      <c r="O922" s="1" t="n">
        <v>85101</v>
      </c>
      <c r="P922" s="1" t="n">
        <v>83.85</v>
      </c>
      <c r="Q922" s="1" t="s">
        <v>20</v>
      </c>
      <c r="R922" s="1" t="s">
        <v>27</v>
      </c>
      <c r="S922" s="1" t="s">
        <v>28</v>
      </c>
      <c r="T922" s="1" t="s">
        <v>29</v>
      </c>
    </row>
    <row r="923" customFormat="false" ht="18.7" hidden="false" customHeight="true" outlineLevel="0" collapsed="false">
      <c r="A923" s="1" t="n">
        <v>922</v>
      </c>
      <c r="B923" s="6" t="str">
        <f aca="false">HYPERLINK("https://mncourtfraud.com/file/MCRO_27-CR-20-20788_Notice of Intent to Introduce Evidence_2020-11-04_20240430090254.pdf","MCRO_27-CR-20-20788_Notice of Intent to Introduce Evidence_2020-11-04_20240430090254.pdf")</f>
        <v>MCRO_27-CR-20-20788_Notice of Intent to Introduce Evidence_2020-11-04_20240430090254.pdf</v>
      </c>
      <c r="C923" s="1" t="n">
        <v>3</v>
      </c>
      <c r="D923" s="1" t="n">
        <v>1</v>
      </c>
      <c r="E923" s="1" t="n">
        <v>1</v>
      </c>
      <c r="F923" s="3" t="s">
        <v>20</v>
      </c>
      <c r="G923" s="3" t="s">
        <v>3847</v>
      </c>
      <c r="H923" s="1" t="s">
        <v>22</v>
      </c>
      <c r="I923" s="1" t="n">
        <v>20240430090254</v>
      </c>
      <c r="J923" s="3" t="s">
        <v>3848</v>
      </c>
      <c r="K923" s="3" t="s">
        <v>3849</v>
      </c>
      <c r="L923" s="3" t="s">
        <v>3850</v>
      </c>
      <c r="M923" s="3" t="n">
        <v>192502</v>
      </c>
      <c r="N923" s="3" t="s">
        <v>3851</v>
      </c>
      <c r="O923" s="1" t="n">
        <v>176116</v>
      </c>
      <c r="P923" s="1" t="n">
        <v>91.49</v>
      </c>
      <c r="Q923" s="1" t="s">
        <v>20</v>
      </c>
      <c r="R923" s="1" t="s">
        <v>27</v>
      </c>
      <c r="S923" s="1" t="s">
        <v>28</v>
      </c>
      <c r="T923" s="1" t="s">
        <v>29</v>
      </c>
    </row>
    <row r="924" customFormat="false" ht="18.7" hidden="false" customHeight="true" outlineLevel="0" collapsed="false">
      <c r="A924" s="1" t="n">
        <v>923</v>
      </c>
      <c r="B924" s="6" t="str">
        <f aca="false">HYPERLINK("https://mncourtfraud.com/file/MCRO_27-CR-20-20788_Notice of Remote Hearing with Instructions_2020-11-24_20240430090252.pdf","MCRO_27-CR-20-20788_Notice of Remote Hearing with Instructions_2020-11-24_20240430090252.pdf")</f>
        <v>MCRO_27-CR-20-20788_Notice of Remote Hearing with Instructions_2020-11-24_20240430090252.pdf</v>
      </c>
      <c r="C924" s="1" t="n">
        <v>4</v>
      </c>
      <c r="D924" s="1" t="n">
        <v>1</v>
      </c>
      <c r="E924" s="1" t="n">
        <v>1</v>
      </c>
      <c r="F924" s="3" t="s">
        <v>20</v>
      </c>
      <c r="G924" s="3" t="s">
        <v>3852</v>
      </c>
      <c r="H924" s="1" t="s">
        <v>22</v>
      </c>
      <c r="I924" s="1" t="n">
        <v>20240430090252</v>
      </c>
      <c r="J924" s="3" t="s">
        <v>3853</v>
      </c>
      <c r="K924" s="3" t="s">
        <v>3854</v>
      </c>
      <c r="L924" s="3" t="s">
        <v>3855</v>
      </c>
      <c r="M924" s="3" t="n">
        <v>156495</v>
      </c>
      <c r="N924" s="3" t="s">
        <v>1065</v>
      </c>
      <c r="O924" s="1" t="n">
        <v>140109</v>
      </c>
      <c r="P924" s="1" t="n">
        <v>89.53</v>
      </c>
      <c r="Q924" s="1" t="s">
        <v>20</v>
      </c>
      <c r="R924" s="1" t="s">
        <v>27</v>
      </c>
      <c r="S924" s="1" t="s">
        <v>28</v>
      </c>
      <c r="T924" s="1" t="s">
        <v>29</v>
      </c>
    </row>
    <row r="925" customFormat="false" ht="18.7" hidden="false" customHeight="true" outlineLevel="0" collapsed="false">
      <c r="A925" s="1" t="n">
        <v>924</v>
      </c>
      <c r="B925" s="6" t="str">
        <f aca="false">HYPERLINK("https://mncourtfraud.com/file/MCRO_27-CR-20-20788_Notice of Remote Hearing with Instructions_2020-12-29_20240430090248.pdf","MCRO_27-CR-20-20788_Notice of Remote Hearing with Instructions_2020-12-29_20240430090248.pdf")</f>
        <v>MCRO_27-CR-20-20788_Notice of Remote Hearing with Instructions_2020-12-29_20240430090248.pdf</v>
      </c>
      <c r="C925" s="1" t="n">
        <v>4</v>
      </c>
      <c r="D925" s="1" t="n">
        <v>1</v>
      </c>
      <c r="E925" s="1" t="n">
        <v>1</v>
      </c>
      <c r="F925" s="3" t="s">
        <v>20</v>
      </c>
      <c r="G925" s="3" t="s">
        <v>3856</v>
      </c>
      <c r="H925" s="1" t="s">
        <v>22</v>
      </c>
      <c r="I925" s="1" t="n">
        <v>20240430090248</v>
      </c>
      <c r="J925" s="3" t="s">
        <v>3857</v>
      </c>
      <c r="K925" s="3" t="s">
        <v>3858</v>
      </c>
      <c r="L925" s="3" t="s">
        <v>3859</v>
      </c>
      <c r="M925" s="3" t="n">
        <v>324286</v>
      </c>
      <c r="N925" s="3" t="s">
        <v>456</v>
      </c>
      <c r="O925" s="1" t="n">
        <v>307900</v>
      </c>
      <c r="P925" s="1" t="n">
        <v>94.95</v>
      </c>
      <c r="Q925" s="1" t="s">
        <v>20</v>
      </c>
      <c r="R925" s="1" t="s">
        <v>27</v>
      </c>
      <c r="S925" s="1" t="s">
        <v>28</v>
      </c>
      <c r="T925" s="1" t="s">
        <v>29</v>
      </c>
    </row>
    <row r="926" customFormat="false" ht="18.7" hidden="false" customHeight="true" outlineLevel="0" collapsed="false">
      <c r="A926" s="1" t="n">
        <v>925</v>
      </c>
      <c r="B926" s="6" t="str">
        <f aca="false">HYPERLINK("https://mncourtfraud.com/file/MCRO_27-CR-20-20788_Notice of Remote Hearing with Instructions_2022-09-07_20240430090229.pdf","MCRO_27-CR-20-20788_Notice of Remote Hearing with Instructions_2022-09-07_20240430090229.pdf")</f>
        <v>MCRO_27-CR-20-20788_Notice of Remote Hearing with Instructions_2022-09-07_20240430090229.pdf</v>
      </c>
      <c r="C926" s="1" t="n">
        <v>5</v>
      </c>
      <c r="D926" s="1" t="n">
        <v>1</v>
      </c>
      <c r="E926" s="1" t="n">
        <v>1</v>
      </c>
      <c r="F926" s="3" t="s">
        <v>20</v>
      </c>
      <c r="G926" s="3" t="s">
        <v>3860</v>
      </c>
      <c r="H926" s="1" t="s">
        <v>22</v>
      </c>
      <c r="I926" s="1" t="n">
        <v>20240430090229</v>
      </c>
      <c r="J926" s="3" t="s">
        <v>3861</v>
      </c>
      <c r="K926" s="3" t="s">
        <v>3862</v>
      </c>
      <c r="L926" s="3" t="s">
        <v>3863</v>
      </c>
      <c r="M926" s="3" t="n">
        <v>311416</v>
      </c>
      <c r="N926" s="3" t="s">
        <v>751</v>
      </c>
      <c r="O926" s="1" t="n">
        <v>295030</v>
      </c>
      <c r="P926" s="1" t="n">
        <v>94.74</v>
      </c>
      <c r="Q926" s="1" t="s">
        <v>20</v>
      </c>
      <c r="R926" s="1" t="s">
        <v>27</v>
      </c>
      <c r="S926" s="1" t="s">
        <v>28</v>
      </c>
      <c r="T926" s="1" t="s">
        <v>29</v>
      </c>
    </row>
    <row r="927" customFormat="false" ht="18.7" hidden="false" customHeight="true" outlineLevel="0" collapsed="false">
      <c r="A927" s="1" t="n">
        <v>926</v>
      </c>
      <c r="B927" s="6" t="str">
        <f aca="false">HYPERLINK("https://mncourtfraud.com/file/MCRO_27-CR-20-20788_Notice of Remote Hearing with Instructions_2023-10-24_20240430090224.pdf","MCRO_27-CR-20-20788_Notice of Remote Hearing with Instructions_2023-10-24_20240430090224.pdf")</f>
        <v>MCRO_27-CR-20-20788_Notice of Remote Hearing with Instructions_2023-10-24_20240430090224.pdf</v>
      </c>
      <c r="C927" s="1" t="n">
        <v>5</v>
      </c>
      <c r="D927" s="1" t="n">
        <v>1</v>
      </c>
      <c r="E927" s="1" t="n">
        <v>1</v>
      </c>
      <c r="F927" s="3" t="s">
        <v>20</v>
      </c>
      <c r="G927" s="3" t="s">
        <v>3864</v>
      </c>
      <c r="H927" s="1" t="s">
        <v>22</v>
      </c>
      <c r="I927" s="1" t="n">
        <v>20240430090224</v>
      </c>
      <c r="J927" s="3" t="s">
        <v>3865</v>
      </c>
      <c r="K927" s="3" t="s">
        <v>3866</v>
      </c>
      <c r="L927" s="3" t="s">
        <v>3867</v>
      </c>
      <c r="M927" s="3" t="n">
        <v>854000</v>
      </c>
      <c r="N927" s="3" t="s">
        <v>1248</v>
      </c>
      <c r="O927" s="1" t="n">
        <v>837614</v>
      </c>
      <c r="P927" s="1" t="n">
        <v>98.08</v>
      </c>
      <c r="Q927" s="1" t="s">
        <v>20</v>
      </c>
      <c r="R927" s="1" t="s">
        <v>27</v>
      </c>
      <c r="S927" s="1" t="s">
        <v>28</v>
      </c>
      <c r="T927" s="1" t="s">
        <v>29</v>
      </c>
    </row>
    <row r="928" customFormat="false" ht="18.7" hidden="false" customHeight="true" outlineLevel="0" collapsed="false">
      <c r="A928" s="1" t="n">
        <v>927</v>
      </c>
      <c r="B928" s="6" t="str">
        <f aca="false">HYPERLINK("https://mncourtfraud.com/file/MCRO_27-CR-20-20788_Notice of Remote Hearing with Instructions_2024-02-08_20240430090220.pdf","MCRO_27-CR-20-20788_Notice of Remote Hearing with Instructions_2024-02-08_20240430090220.pdf")</f>
        <v>MCRO_27-CR-20-20788_Notice of Remote Hearing with Instructions_2024-02-08_20240430090220.pdf</v>
      </c>
      <c r="C928" s="1" t="n">
        <v>5</v>
      </c>
      <c r="D928" s="1" t="n">
        <v>1</v>
      </c>
      <c r="E928" s="1" t="n">
        <v>1</v>
      </c>
      <c r="F928" s="3" t="s">
        <v>20</v>
      </c>
      <c r="G928" s="3" t="s">
        <v>3868</v>
      </c>
      <c r="H928" s="1" t="s">
        <v>22</v>
      </c>
      <c r="I928" s="1" t="n">
        <v>20240430090220</v>
      </c>
      <c r="J928" s="3" t="s">
        <v>3869</v>
      </c>
      <c r="K928" s="3" t="s">
        <v>3870</v>
      </c>
      <c r="L928" s="3" t="s">
        <v>3871</v>
      </c>
      <c r="M928" s="3" t="n">
        <v>843157</v>
      </c>
      <c r="N928" s="3" t="s">
        <v>510</v>
      </c>
      <c r="O928" s="1" t="n">
        <v>826771</v>
      </c>
      <c r="P928" s="1" t="n">
        <v>98.06</v>
      </c>
      <c r="Q928" s="1" t="s">
        <v>20</v>
      </c>
      <c r="R928" s="1" t="s">
        <v>27</v>
      </c>
      <c r="S928" s="1" t="s">
        <v>28</v>
      </c>
      <c r="T928" s="1" t="s">
        <v>29</v>
      </c>
    </row>
    <row r="929" customFormat="false" ht="18.7" hidden="false" customHeight="true" outlineLevel="0" collapsed="false">
      <c r="A929" s="1" t="n">
        <v>928</v>
      </c>
      <c r="B929" s="6" t="str">
        <f aca="false">HYPERLINK("https://mncourtfraud.com/file/MCRO_27-CR-20-20788_Order-Evaluation for Competency to Proceed (Rule 20.01)_2022-01-12_20240430090231.pdf","MCRO_27-CR-20-20788_Order-Evaluation for Competency to Proceed (Rule 20.01)_2022-01-12_20240430090231.pdf")</f>
        <v>MCRO_27-CR-20-20788_Order-Evaluation for Competency to Proceed (Rule 20.01)_2022-01-12_20240430090231.pdf</v>
      </c>
      <c r="C929" s="1" t="n">
        <v>3</v>
      </c>
      <c r="D929" s="1" t="n">
        <v>1</v>
      </c>
      <c r="E929" s="1" t="n">
        <v>1</v>
      </c>
      <c r="F929" s="3" t="s">
        <v>20</v>
      </c>
      <c r="G929" s="3" t="s">
        <v>3872</v>
      </c>
      <c r="H929" s="1" t="s">
        <v>22</v>
      </c>
      <c r="I929" s="1" t="n">
        <v>20240430090231</v>
      </c>
      <c r="J929" s="3" t="s">
        <v>3873</v>
      </c>
      <c r="K929" s="3" t="s">
        <v>3874</v>
      </c>
      <c r="L929" s="3" t="s">
        <v>3875</v>
      </c>
      <c r="M929" s="3" t="n">
        <v>256719</v>
      </c>
      <c r="N929" s="3" t="s">
        <v>791</v>
      </c>
      <c r="O929" s="1" t="n">
        <v>240333</v>
      </c>
      <c r="P929" s="1" t="n">
        <v>93.62</v>
      </c>
      <c r="Q929" s="1" t="s">
        <v>20</v>
      </c>
      <c r="R929" s="1" t="s">
        <v>27</v>
      </c>
      <c r="S929" s="1" t="s">
        <v>28</v>
      </c>
      <c r="T929" s="1" t="s">
        <v>29</v>
      </c>
    </row>
    <row r="930" customFormat="false" ht="18.7" hidden="false" customHeight="true" outlineLevel="0" collapsed="false">
      <c r="A930" s="1" t="n">
        <v>929</v>
      </c>
      <c r="B930" s="6" t="str">
        <f aca="false">HYPERLINK("https://mncourtfraud.com/file/MCRO_27-CR-20-20788_Order-Evaluation for Competency to Proceed (Rule 20.01)_2022-08-26_20240430090230.pdf","MCRO_27-CR-20-20788_Order-Evaluation for Competency to Proceed (Rule 20.01)_2022-08-26_20240430090230.pdf")</f>
        <v>MCRO_27-CR-20-20788_Order-Evaluation for Competency to Proceed (Rule 20.01)_2022-08-26_20240430090230.pdf</v>
      </c>
      <c r="C930" s="1" t="n">
        <v>4</v>
      </c>
      <c r="D930" s="1" t="n">
        <v>1</v>
      </c>
      <c r="E930" s="1" t="n">
        <v>1</v>
      </c>
      <c r="F930" s="3" t="s">
        <v>20</v>
      </c>
      <c r="G930" s="3" t="s">
        <v>3876</v>
      </c>
      <c r="H930" s="1" t="s">
        <v>22</v>
      </c>
      <c r="I930" s="1" t="n">
        <v>20240430090230</v>
      </c>
      <c r="J930" s="3" t="s">
        <v>3877</v>
      </c>
      <c r="K930" s="3" t="s">
        <v>3878</v>
      </c>
      <c r="L930" s="3" t="s">
        <v>3879</v>
      </c>
      <c r="M930" s="3" t="n">
        <v>191197</v>
      </c>
      <c r="N930" s="3" t="s">
        <v>1065</v>
      </c>
      <c r="O930" s="1" t="n">
        <v>174811</v>
      </c>
      <c r="P930" s="1" t="n">
        <v>91.43</v>
      </c>
      <c r="Q930" s="1" t="s">
        <v>20</v>
      </c>
      <c r="R930" s="1" t="s">
        <v>27</v>
      </c>
      <c r="S930" s="1" t="s">
        <v>28</v>
      </c>
      <c r="T930" s="1" t="s">
        <v>29</v>
      </c>
    </row>
    <row r="931" customFormat="false" ht="18.7" hidden="false" customHeight="true" outlineLevel="0" collapsed="false">
      <c r="A931" s="1" t="n">
        <v>930</v>
      </c>
      <c r="B931" s="6" t="str">
        <f aca="false">HYPERLINK("https://mncourtfraud.com/file/MCRO_27-CR-20-20788_Order-Evaluation for Competency to Proceed (Rule 20.01)_2023-02-21_20240430090227.pdf","MCRO_27-CR-20-20788_Order-Evaluation for Competency to Proceed (Rule 20.01)_2023-02-21_20240430090227.pdf")</f>
        <v>MCRO_27-CR-20-20788_Order-Evaluation for Competency to Proceed (Rule 20.01)_2023-02-21_20240430090227.pdf</v>
      </c>
      <c r="C931" s="1" t="n">
        <v>6</v>
      </c>
      <c r="D931" s="1" t="n">
        <v>2</v>
      </c>
      <c r="E931" s="1" t="n">
        <v>2</v>
      </c>
      <c r="F931" s="3" t="s">
        <v>27</v>
      </c>
      <c r="G931" s="3" t="s">
        <v>3880</v>
      </c>
      <c r="H931" s="1" t="s">
        <v>22</v>
      </c>
      <c r="I931" s="1" t="n">
        <v>20240430090227</v>
      </c>
      <c r="J931" s="3" t="s">
        <v>3881</v>
      </c>
      <c r="K931" s="3" t="s">
        <v>3882</v>
      </c>
      <c r="L931" s="3" t="s">
        <v>3883</v>
      </c>
      <c r="M931" s="3" t="n">
        <v>880193</v>
      </c>
      <c r="N931" s="3" t="s">
        <v>810</v>
      </c>
      <c r="O931" s="1" t="n">
        <v>863807</v>
      </c>
      <c r="P931" s="1" t="n">
        <v>98.14</v>
      </c>
      <c r="Q931" s="1" t="s">
        <v>20</v>
      </c>
      <c r="R931" s="1" t="s">
        <v>27</v>
      </c>
      <c r="S931" s="1" t="s">
        <v>28</v>
      </c>
      <c r="T931" s="1" t="s">
        <v>29</v>
      </c>
    </row>
    <row r="932" customFormat="false" ht="18.7" hidden="false" customHeight="true" outlineLevel="0" collapsed="false">
      <c r="A932" s="1" t="n">
        <v>931</v>
      </c>
      <c r="B932" s="6" t="str">
        <f aca="false">HYPERLINK("https://mncourtfraud.com/file/MCRO_27-CR-20-20788_Order-Evaluation for Competency to Proceed (Rule 20.01)_2023-08-14_20240430090225.pdf","MCRO_27-CR-20-20788_Order-Evaluation for Competency to Proceed (Rule 20.01)_2023-08-14_20240430090225.pdf")</f>
        <v>MCRO_27-CR-20-20788_Order-Evaluation for Competency to Proceed (Rule 20.01)_2023-08-14_20240430090225.pdf</v>
      </c>
      <c r="C932" s="1" t="n">
        <v>6</v>
      </c>
      <c r="D932" s="1" t="n">
        <v>2</v>
      </c>
      <c r="E932" s="1" t="n">
        <v>2</v>
      </c>
      <c r="F932" s="3" t="s">
        <v>27</v>
      </c>
      <c r="G932" s="3" t="s">
        <v>3884</v>
      </c>
      <c r="H932" s="1" t="s">
        <v>22</v>
      </c>
      <c r="I932" s="1" t="n">
        <v>20240430090225</v>
      </c>
      <c r="J932" s="3" t="s">
        <v>3885</v>
      </c>
      <c r="K932" s="3" t="s">
        <v>3886</v>
      </c>
      <c r="L932" s="3" t="s">
        <v>3887</v>
      </c>
      <c r="M932" s="3" t="n">
        <v>872875</v>
      </c>
      <c r="N932" s="3" t="s">
        <v>554</v>
      </c>
      <c r="O932" s="1" t="n">
        <v>856489</v>
      </c>
      <c r="P932" s="1" t="n">
        <v>98.12</v>
      </c>
      <c r="Q932" s="1" t="s">
        <v>20</v>
      </c>
      <c r="R932" s="1" t="s">
        <v>27</v>
      </c>
      <c r="S932" s="1" t="s">
        <v>28</v>
      </c>
      <c r="T932" s="1" t="s">
        <v>29</v>
      </c>
    </row>
    <row r="933" customFormat="false" ht="18.7" hidden="false" customHeight="true" outlineLevel="0" collapsed="false">
      <c r="A933" s="1" t="n">
        <v>932</v>
      </c>
      <c r="B933" s="6" t="str">
        <f aca="false">HYPERLINK("https://mncourtfraud.com/file/MCRO_27-CR-20-20788_Order-Evaluation for Competency to Proceed (Rule 20.01)_2024-01-19_20240430090223.pdf","MCRO_27-CR-20-20788_Order-Evaluation for Competency to Proceed (Rule 20.01)_2024-01-19_20240430090223.pdf")</f>
        <v>MCRO_27-CR-20-20788_Order-Evaluation for Competency to Proceed (Rule 20.01)_2024-01-19_20240430090223.pdf</v>
      </c>
      <c r="C933" s="1" t="n">
        <v>4</v>
      </c>
      <c r="D933" s="1" t="n">
        <v>1</v>
      </c>
      <c r="E933" s="1" t="n">
        <v>1</v>
      </c>
      <c r="F933" s="3" t="s">
        <v>20</v>
      </c>
      <c r="G933" s="3" t="s">
        <v>3888</v>
      </c>
      <c r="H933" s="1" t="s">
        <v>22</v>
      </c>
      <c r="I933" s="1" t="n">
        <v>20240430090223</v>
      </c>
      <c r="J933" s="3" t="s">
        <v>3889</v>
      </c>
      <c r="K933" s="3" t="s">
        <v>3890</v>
      </c>
      <c r="L933" s="3" t="s">
        <v>3891</v>
      </c>
      <c r="M933" s="3" t="n">
        <v>142468</v>
      </c>
      <c r="N933" s="3" t="s">
        <v>1159</v>
      </c>
      <c r="O933" s="1" t="n">
        <v>126082</v>
      </c>
      <c r="P933" s="1" t="n">
        <v>88.5</v>
      </c>
      <c r="Q933" s="1" t="s">
        <v>20</v>
      </c>
      <c r="R933" s="1" t="s">
        <v>27</v>
      </c>
      <c r="S933" s="1" t="s">
        <v>28</v>
      </c>
      <c r="T933" s="1" t="s">
        <v>29</v>
      </c>
    </row>
    <row r="934" customFormat="false" ht="18.7" hidden="false" customHeight="true" outlineLevel="0" collapsed="false">
      <c r="A934" s="1" t="n">
        <v>933</v>
      </c>
      <c r="B934" s="6" t="str">
        <f aca="false">HYPERLINK("https://mncourtfraud.com/file/MCRO_27-CR-20-20788_Order for Conditional Release_2021-04-08_20240430090244.pdf","MCRO_27-CR-20-20788_Order for Conditional Release_2021-04-08_20240430090244.pdf")</f>
        <v>MCRO_27-CR-20-20788_Order for Conditional Release_2021-04-08_20240430090244.pdf</v>
      </c>
      <c r="C934" s="1" t="n">
        <v>8</v>
      </c>
      <c r="D934" s="1" t="n">
        <v>62</v>
      </c>
      <c r="E934" s="1" t="n">
        <v>2</v>
      </c>
      <c r="F934" s="3" t="s">
        <v>27</v>
      </c>
      <c r="G934" s="3" t="s">
        <v>3892</v>
      </c>
      <c r="H934" s="1" t="s">
        <v>22</v>
      </c>
      <c r="I934" s="1" t="n">
        <v>20240430090244</v>
      </c>
      <c r="J934" s="3" t="s">
        <v>3893</v>
      </c>
      <c r="K934" s="3" t="s">
        <v>3894</v>
      </c>
      <c r="L934" s="3" t="s">
        <v>3895</v>
      </c>
      <c r="M934" s="3" t="n">
        <v>14059202</v>
      </c>
      <c r="N934" s="3" t="s">
        <v>3896</v>
      </c>
      <c r="O934" s="1" t="n">
        <v>14042816</v>
      </c>
      <c r="P934" s="1" t="n">
        <v>99.88</v>
      </c>
      <c r="Q934" s="1" t="s">
        <v>20</v>
      </c>
      <c r="R934" s="1" t="s">
        <v>27</v>
      </c>
      <c r="S934" s="1" t="s">
        <v>28</v>
      </c>
      <c r="T934" s="1" t="s">
        <v>29</v>
      </c>
    </row>
    <row r="935" customFormat="false" ht="18.7" hidden="false" customHeight="true" outlineLevel="0" collapsed="false">
      <c r="A935" s="1" t="n">
        <v>934</v>
      </c>
      <c r="B935" s="6" t="str">
        <f aca="false">HYPERLINK("https://mncourtfraud.com/file/MCRO_27-CR-20-20788_Order for Conditional Release_2021-10-26_20240430090232.pdf","MCRO_27-CR-20-20788_Order for Conditional Release_2021-10-26_20240430090232.pdf")</f>
        <v>MCRO_27-CR-20-20788_Order for Conditional Release_2021-10-26_20240430090232.pdf</v>
      </c>
      <c r="C935" s="1" t="n">
        <v>4</v>
      </c>
      <c r="D935" s="1" t="n">
        <v>1</v>
      </c>
      <c r="E935" s="1" t="n">
        <v>1</v>
      </c>
      <c r="F935" s="3" t="s">
        <v>20</v>
      </c>
      <c r="G935" s="3" t="s">
        <v>3897</v>
      </c>
      <c r="H935" s="1" t="s">
        <v>22</v>
      </c>
      <c r="I935" s="1" t="n">
        <v>20240430090232</v>
      </c>
      <c r="J935" s="3" t="s">
        <v>3898</v>
      </c>
      <c r="K935" s="3" t="s">
        <v>3899</v>
      </c>
      <c r="L935" s="3" t="s">
        <v>3900</v>
      </c>
      <c r="M935" s="3" t="n">
        <v>119251</v>
      </c>
      <c r="N935" s="3" t="s">
        <v>614</v>
      </c>
      <c r="O935" s="1" t="n">
        <v>102865</v>
      </c>
      <c r="P935" s="1" t="n">
        <v>86.26</v>
      </c>
      <c r="Q935" s="1" t="s">
        <v>20</v>
      </c>
      <c r="R935" s="1" t="s">
        <v>27</v>
      </c>
      <c r="S935" s="1" t="s">
        <v>28</v>
      </c>
      <c r="T935" s="1" t="s">
        <v>29</v>
      </c>
    </row>
    <row r="936" customFormat="false" ht="18.7" hidden="false" customHeight="true" outlineLevel="0" collapsed="false">
      <c r="A936" s="1" t="n">
        <v>935</v>
      </c>
      <c r="B936" s="6" t="str">
        <f aca="false">HYPERLINK("https://mncourtfraud.com/file/MCRO_27-CR-20-20788_Order for Conditional Release_2024-02-07_20240430090221.pdf","MCRO_27-CR-20-20788_Order for Conditional Release_2024-02-07_20240430090221.pdf")</f>
        <v>MCRO_27-CR-20-20788_Order for Conditional Release_2024-02-07_20240430090221.pdf</v>
      </c>
      <c r="C936" s="1" t="n">
        <v>4</v>
      </c>
      <c r="D936" s="1" t="n">
        <v>1</v>
      </c>
      <c r="E936" s="1" t="n">
        <v>1</v>
      </c>
      <c r="F936" s="3" t="s">
        <v>20</v>
      </c>
      <c r="G936" s="3" t="s">
        <v>3901</v>
      </c>
      <c r="H936" s="1" t="s">
        <v>22</v>
      </c>
      <c r="I936" s="1" t="n">
        <v>20240430090221</v>
      </c>
      <c r="J936" s="3" t="s">
        <v>3902</v>
      </c>
      <c r="K936" s="3" t="s">
        <v>3903</v>
      </c>
      <c r="L936" s="3" t="s">
        <v>3904</v>
      </c>
      <c r="M936" s="3" t="n">
        <v>119094</v>
      </c>
      <c r="N936" s="3" t="s">
        <v>158</v>
      </c>
      <c r="O936" s="1" t="n">
        <v>102708</v>
      </c>
      <c r="P936" s="1" t="n">
        <v>86.24</v>
      </c>
      <c r="Q936" s="1" t="s">
        <v>20</v>
      </c>
      <c r="R936" s="1" t="s">
        <v>27</v>
      </c>
      <c r="S936" s="1" t="s">
        <v>28</v>
      </c>
      <c r="T936" s="1" t="s">
        <v>29</v>
      </c>
    </row>
    <row r="937" customFormat="false" ht="18.7" hidden="false" customHeight="true" outlineLevel="0" collapsed="false">
      <c r="A937" s="1" t="n">
        <v>936</v>
      </c>
      <c r="B937" s="6" t="str">
        <f aca="false">HYPERLINK("https://mncourtfraud.com/file/MCRO_27-CR-20-20788_Order-Other_2021-10-06_20240430090233.pdf","MCRO_27-CR-20-20788_Order-Other_2021-10-06_20240430090233.pdf")</f>
        <v>MCRO_27-CR-20-20788_Order-Other_2021-10-06_20240430090233.pdf</v>
      </c>
      <c r="C937" s="1" t="n">
        <v>3</v>
      </c>
      <c r="D937" s="1" t="n">
        <v>1</v>
      </c>
      <c r="E937" s="1" t="n">
        <v>1</v>
      </c>
      <c r="F937" s="3" t="s">
        <v>20</v>
      </c>
      <c r="G937" s="3" t="s">
        <v>3905</v>
      </c>
      <c r="H937" s="1" t="s">
        <v>22</v>
      </c>
      <c r="I937" s="1" t="n">
        <v>20240430090233</v>
      </c>
      <c r="J937" s="3" t="s">
        <v>3906</v>
      </c>
      <c r="K937" s="3" t="s">
        <v>3907</v>
      </c>
      <c r="L937" s="3" t="s">
        <v>3908</v>
      </c>
      <c r="M937" s="3" t="n">
        <v>167059</v>
      </c>
      <c r="N937" s="3" t="s">
        <v>1009</v>
      </c>
      <c r="O937" s="1" t="n">
        <v>150673</v>
      </c>
      <c r="P937" s="1" t="n">
        <v>90.19</v>
      </c>
      <c r="Q937" s="1" t="s">
        <v>20</v>
      </c>
      <c r="R937" s="1" t="s">
        <v>27</v>
      </c>
      <c r="S937" s="1" t="s">
        <v>28</v>
      </c>
      <c r="T937" s="1" t="s">
        <v>29</v>
      </c>
    </row>
    <row r="938" customFormat="false" ht="18.7" hidden="false" customHeight="true" outlineLevel="0" collapsed="false">
      <c r="A938" s="1" t="n">
        <v>937</v>
      </c>
      <c r="B938" s="6" t="str">
        <f aca="false">HYPERLINK("https://mncourtfraud.com/file/MCRO_27-CR-20-20788_Order Revoking Interim Conditions of Release_2021-02-02_20240430090246.pdf","MCRO_27-CR-20-20788_Order Revoking Interim Conditions of Release_2021-02-02_20240430090246.pdf")</f>
        <v>MCRO_27-CR-20-20788_Order Revoking Interim Conditions of Release_2021-02-02_20240430090246.pdf</v>
      </c>
      <c r="C938" s="1" t="n">
        <v>5</v>
      </c>
      <c r="D938" s="1" t="n">
        <v>3</v>
      </c>
      <c r="E938" s="1" t="n">
        <v>3</v>
      </c>
      <c r="F938" s="3" t="s">
        <v>20</v>
      </c>
      <c r="G938" s="3" t="s">
        <v>3909</v>
      </c>
      <c r="H938" s="1" t="s">
        <v>22</v>
      </c>
      <c r="I938" s="1" t="n">
        <v>20240430090246</v>
      </c>
      <c r="J938" s="3" t="s">
        <v>3910</v>
      </c>
      <c r="K938" s="3" t="s">
        <v>3911</v>
      </c>
      <c r="L938" s="3" t="s">
        <v>3912</v>
      </c>
      <c r="M938" s="3" t="n">
        <v>333459</v>
      </c>
      <c r="N938" s="3" t="s">
        <v>1145</v>
      </c>
      <c r="O938" s="1" t="n">
        <v>317073</v>
      </c>
      <c r="P938" s="1" t="n">
        <v>95.09</v>
      </c>
      <c r="Q938" s="1" t="s">
        <v>20</v>
      </c>
      <c r="R938" s="1" t="s">
        <v>27</v>
      </c>
      <c r="S938" s="1" t="s">
        <v>28</v>
      </c>
      <c r="T938" s="1" t="s">
        <v>29</v>
      </c>
    </row>
    <row r="939" customFormat="false" ht="18.7" hidden="false" customHeight="true" outlineLevel="0" collapsed="false">
      <c r="A939" s="1" t="n">
        <v>938</v>
      </c>
      <c r="B939" s="6" t="str">
        <f aca="false">HYPERLINK("https://mncourtfraud.com/file/MCRO_27-CR-20-20788_Order Revoking Interim Conditions of Release_2021-05-06_20240430090237.pdf","MCRO_27-CR-20-20788_Order Revoking Interim Conditions of Release_2021-05-06_20240430090237.pdf")</f>
        <v>MCRO_27-CR-20-20788_Order Revoking Interim Conditions of Release_2021-05-06_20240430090237.pdf</v>
      </c>
      <c r="C939" s="1" t="n">
        <v>5</v>
      </c>
      <c r="D939" s="1" t="n">
        <v>4</v>
      </c>
      <c r="E939" s="1" t="n">
        <v>4</v>
      </c>
      <c r="F939" s="3" t="s">
        <v>20</v>
      </c>
      <c r="G939" s="3" t="s">
        <v>3913</v>
      </c>
      <c r="H939" s="1" t="s">
        <v>22</v>
      </c>
      <c r="I939" s="1" t="n">
        <v>20240430090237</v>
      </c>
      <c r="J939" s="3" t="s">
        <v>3914</v>
      </c>
      <c r="K939" s="3" t="s">
        <v>3915</v>
      </c>
      <c r="L939" s="3" t="s">
        <v>3916</v>
      </c>
      <c r="M939" s="3" t="n">
        <v>362273</v>
      </c>
      <c r="N939" s="3" t="s">
        <v>3917</v>
      </c>
      <c r="O939" s="1" t="n">
        <v>345887</v>
      </c>
      <c r="P939" s="1" t="n">
        <v>95.48</v>
      </c>
      <c r="Q939" s="1" t="s">
        <v>20</v>
      </c>
      <c r="R939" s="1" t="s">
        <v>27</v>
      </c>
      <c r="S939" s="1" t="s">
        <v>28</v>
      </c>
      <c r="T939" s="1" t="s">
        <v>29</v>
      </c>
    </row>
    <row r="940" customFormat="false" ht="18.7" hidden="false" customHeight="true" outlineLevel="0" collapsed="false">
      <c r="A940" s="1" t="n">
        <v>939</v>
      </c>
      <c r="B940" s="6" t="str">
        <f aca="false">HYPERLINK("https://mncourtfraud.com/file/MCRO_27-CR-20-20788_Probation Violation Order for Detention_2021-03-08_20240430090242.pdf","MCRO_27-CR-20-20788_Probation Violation Order for Detention_2021-03-08_20240430090242.pdf")</f>
        <v>MCRO_27-CR-20-20788_Probation Violation Order for Detention_2021-03-08_20240430090242.pdf</v>
      </c>
      <c r="C940" s="1" t="n">
        <v>5</v>
      </c>
      <c r="D940" s="1" t="n">
        <v>4</v>
      </c>
      <c r="E940" s="1" t="n">
        <v>4</v>
      </c>
      <c r="F940" s="3" t="s">
        <v>20</v>
      </c>
      <c r="G940" s="3" t="s">
        <v>3918</v>
      </c>
      <c r="H940" s="1" t="s">
        <v>22</v>
      </c>
      <c r="I940" s="1" t="n">
        <v>20240430090242</v>
      </c>
      <c r="J940" s="3" t="s">
        <v>3893</v>
      </c>
      <c r="K940" s="3" t="s">
        <v>3894</v>
      </c>
      <c r="L940" s="3" t="s">
        <v>3919</v>
      </c>
      <c r="M940" s="3" t="n">
        <v>395109</v>
      </c>
      <c r="N940" s="3" t="s">
        <v>3920</v>
      </c>
      <c r="O940" s="1" t="n">
        <v>378723</v>
      </c>
      <c r="P940" s="1" t="n">
        <v>95.85</v>
      </c>
      <c r="Q940" s="1" t="s">
        <v>20</v>
      </c>
      <c r="R940" s="1" t="s">
        <v>27</v>
      </c>
      <c r="S940" s="1" t="s">
        <v>28</v>
      </c>
      <c r="T940" s="1" t="s">
        <v>29</v>
      </c>
    </row>
    <row r="941" customFormat="false" ht="18.7" hidden="false" customHeight="true" outlineLevel="0" collapsed="false">
      <c r="A941" s="1" t="n">
        <v>940</v>
      </c>
      <c r="B941" s="6" t="str">
        <f aca="false">HYPERLINK("https://mncourtfraud.com/file/MCRO_27-CR-20-20788_Proposed Order or Document_2021-02-02_20240430090247.pdf","MCRO_27-CR-20-20788_Proposed Order or Document_2021-02-02_20240430090247.pdf")</f>
        <v>MCRO_27-CR-20-20788_Proposed Order or Document_2021-02-02_20240430090247.pdf</v>
      </c>
      <c r="C941" s="1" t="n">
        <v>3</v>
      </c>
      <c r="D941" s="1" t="n">
        <v>1</v>
      </c>
      <c r="E941" s="1" t="n">
        <v>1</v>
      </c>
      <c r="F941" s="3" t="s">
        <v>20</v>
      </c>
      <c r="G941" s="3" t="s">
        <v>3921</v>
      </c>
      <c r="H941" s="1" t="s">
        <v>22</v>
      </c>
      <c r="I941" s="1" t="n">
        <v>20240430090247</v>
      </c>
      <c r="J941" s="3" t="s">
        <v>3922</v>
      </c>
      <c r="K941" s="3" t="s">
        <v>3923</v>
      </c>
      <c r="L941" s="3" t="s">
        <v>3924</v>
      </c>
      <c r="M941" s="3" t="n">
        <v>168380</v>
      </c>
      <c r="N941" s="3" t="s">
        <v>1512</v>
      </c>
      <c r="O941" s="1" t="n">
        <v>151994</v>
      </c>
      <c r="P941" s="1" t="n">
        <v>90.27</v>
      </c>
      <c r="Q941" s="1" t="s">
        <v>20</v>
      </c>
      <c r="R941" s="1" t="s">
        <v>27</v>
      </c>
      <c r="S941" s="1" t="s">
        <v>28</v>
      </c>
      <c r="T941" s="1" t="s">
        <v>29</v>
      </c>
    </row>
    <row r="942" customFormat="false" ht="18.7" hidden="false" customHeight="true" outlineLevel="0" collapsed="false">
      <c r="A942" s="1" t="n">
        <v>941</v>
      </c>
      <c r="B942" s="6" t="str">
        <f aca="false">HYPERLINK("https://mncourtfraud.com/file/MCRO_27-CR-20-20788_Proposed Order or Document_2021-03-08_20240430090243.pdf","MCRO_27-CR-20-20788_Proposed Order or Document_2021-03-08_20240430090243.pdf")</f>
        <v>MCRO_27-CR-20-20788_Proposed Order or Document_2021-03-08_20240430090243.pdf</v>
      </c>
      <c r="C942" s="1" t="n">
        <v>4</v>
      </c>
      <c r="D942" s="1" t="n">
        <v>1</v>
      </c>
      <c r="E942" s="1" t="n">
        <v>1</v>
      </c>
      <c r="F942" s="3" t="s">
        <v>20</v>
      </c>
      <c r="G942" s="3" t="s">
        <v>3925</v>
      </c>
      <c r="H942" s="1" t="s">
        <v>22</v>
      </c>
      <c r="I942" s="1" t="n">
        <v>20240430090243</v>
      </c>
      <c r="J942" s="3" t="s">
        <v>3926</v>
      </c>
      <c r="K942" s="3" t="s">
        <v>3927</v>
      </c>
      <c r="L942" s="3" t="s">
        <v>3928</v>
      </c>
      <c r="M942" s="3" t="n">
        <v>209624</v>
      </c>
      <c r="N942" s="3" t="s">
        <v>3929</v>
      </c>
      <c r="O942" s="1" t="n">
        <v>193238</v>
      </c>
      <c r="P942" s="1" t="n">
        <v>92.18</v>
      </c>
      <c r="Q942" s="1" t="s">
        <v>20</v>
      </c>
      <c r="R942" s="1" t="s">
        <v>27</v>
      </c>
      <c r="S942" s="1" t="s">
        <v>28</v>
      </c>
      <c r="T942" s="1" t="s">
        <v>29</v>
      </c>
    </row>
    <row r="943" customFormat="false" ht="18.7" hidden="false" customHeight="true" outlineLevel="0" collapsed="false">
      <c r="A943" s="1" t="n">
        <v>942</v>
      </c>
      <c r="B943" s="6" t="str">
        <f aca="false">HYPERLINK("https://mncourtfraud.com/file/MCRO_27-CR-20-20788_Proposed Order or Document_2021-05-06_20240430090238.pdf","MCRO_27-CR-20-20788_Proposed Order or Document_2021-05-06_20240430090238.pdf")</f>
        <v>MCRO_27-CR-20-20788_Proposed Order or Document_2021-05-06_20240430090238.pdf</v>
      </c>
      <c r="C943" s="1" t="n">
        <v>4</v>
      </c>
      <c r="D943" s="1" t="n">
        <v>1</v>
      </c>
      <c r="E943" s="1" t="n">
        <v>1</v>
      </c>
      <c r="F943" s="3" t="s">
        <v>20</v>
      </c>
      <c r="G943" s="3" t="s">
        <v>3930</v>
      </c>
      <c r="H943" s="1" t="s">
        <v>22</v>
      </c>
      <c r="I943" s="1" t="n">
        <v>20240430090238</v>
      </c>
      <c r="J943" s="3" t="s">
        <v>3931</v>
      </c>
      <c r="K943" s="3" t="s">
        <v>3932</v>
      </c>
      <c r="L943" s="3" t="s">
        <v>3933</v>
      </c>
      <c r="M943" s="3" t="n">
        <v>211196</v>
      </c>
      <c r="N943" s="3" t="s">
        <v>3929</v>
      </c>
      <c r="O943" s="1" t="n">
        <v>194810</v>
      </c>
      <c r="P943" s="1" t="n">
        <v>92.24</v>
      </c>
      <c r="Q943" s="1" t="s">
        <v>20</v>
      </c>
      <c r="R943" s="1" t="s">
        <v>27</v>
      </c>
      <c r="S943" s="1" t="s">
        <v>28</v>
      </c>
      <c r="T943" s="1" t="s">
        <v>29</v>
      </c>
    </row>
    <row r="944" customFormat="false" ht="18.7" hidden="false" customHeight="true" outlineLevel="0" collapsed="false">
      <c r="A944" s="1" t="n">
        <v>943</v>
      </c>
      <c r="B944" s="6" t="str">
        <f aca="false">HYPERLINK("https://mncourtfraud.com/file/MCRO_27-CR-20-20788_Returned Mail_2020-12-03_20240430090250.pdf","MCRO_27-CR-20-20788_Returned Mail_2020-12-03_20240430090250.pdf")</f>
        <v>MCRO_27-CR-20-20788_Returned Mail_2020-12-03_20240430090250.pdf</v>
      </c>
      <c r="C944" s="1" t="n">
        <v>4</v>
      </c>
      <c r="D944" s="1" t="n">
        <v>1</v>
      </c>
      <c r="E944" s="1" t="n">
        <v>1</v>
      </c>
      <c r="F944" s="3" t="s">
        <v>20</v>
      </c>
      <c r="G944" s="3" t="s">
        <v>3934</v>
      </c>
      <c r="H944" s="1" t="s">
        <v>22</v>
      </c>
      <c r="I944" s="1" t="n">
        <v>20240430090250</v>
      </c>
      <c r="J944" s="3" t="s">
        <v>3935</v>
      </c>
      <c r="K944" s="3" t="s">
        <v>3936</v>
      </c>
      <c r="L944" s="3" t="s">
        <v>3937</v>
      </c>
      <c r="M944" s="3" t="n">
        <v>259312</v>
      </c>
      <c r="N944" s="3" t="s">
        <v>456</v>
      </c>
      <c r="O944" s="1" t="n">
        <v>242926</v>
      </c>
      <c r="P944" s="1" t="n">
        <v>93.68</v>
      </c>
      <c r="Q944" s="1" t="s">
        <v>20</v>
      </c>
      <c r="R944" s="1" t="s">
        <v>27</v>
      </c>
      <c r="S944" s="1" t="s">
        <v>28</v>
      </c>
      <c r="T944" s="1" t="s">
        <v>29</v>
      </c>
    </row>
    <row r="945" customFormat="false" ht="18.7" hidden="false" customHeight="true" outlineLevel="0" collapsed="false">
      <c r="A945" s="1" t="n">
        <v>944</v>
      </c>
      <c r="B945" s="6" t="str">
        <f aca="false">HYPERLINK("https://mncourtfraud.com/file/MCRO_27-CR-20-20788_Returned Mail_2021-02-12_20240430090244.pdf","MCRO_27-CR-20-20788_Returned Mail_2021-02-12_20240430090244.pdf")</f>
        <v>MCRO_27-CR-20-20788_Returned Mail_2021-02-12_20240430090244.pdf</v>
      </c>
      <c r="C945" s="1" t="n">
        <v>4</v>
      </c>
      <c r="D945" s="1" t="n">
        <v>1</v>
      </c>
      <c r="E945" s="1" t="n">
        <v>1</v>
      </c>
      <c r="F945" s="3" t="s">
        <v>20</v>
      </c>
      <c r="G945" s="3" t="s">
        <v>3938</v>
      </c>
      <c r="H945" s="1" t="s">
        <v>22</v>
      </c>
      <c r="I945" s="1" t="n">
        <v>20240430090244</v>
      </c>
      <c r="J945" s="3" t="s">
        <v>3939</v>
      </c>
      <c r="K945" s="3" t="s">
        <v>3940</v>
      </c>
      <c r="L945" s="3" t="s">
        <v>3941</v>
      </c>
      <c r="M945" s="3" t="n">
        <v>352372</v>
      </c>
      <c r="N945" s="3" t="s">
        <v>456</v>
      </c>
      <c r="O945" s="1" t="n">
        <v>335986</v>
      </c>
      <c r="P945" s="1" t="n">
        <v>95.35</v>
      </c>
      <c r="Q945" s="1" t="s">
        <v>20</v>
      </c>
      <c r="R945" s="1" t="s">
        <v>27</v>
      </c>
      <c r="S945" s="1" t="s">
        <v>28</v>
      </c>
      <c r="T945" s="1" t="s">
        <v>29</v>
      </c>
    </row>
    <row r="946" customFormat="false" ht="18.7" hidden="false" customHeight="true" outlineLevel="0" collapsed="false">
      <c r="A946" s="1" t="n">
        <v>945</v>
      </c>
      <c r="B946" s="6" t="str">
        <f aca="false">HYPERLINK("https://mncourtfraud.com/file/MCRO_27-CR-20-20788_Returned Mail_2021-04-27_20240430090239.pdf","MCRO_27-CR-20-20788_Returned Mail_2021-04-27_20240430090239.pdf")</f>
        <v>MCRO_27-CR-20-20788_Returned Mail_2021-04-27_20240430090239.pdf</v>
      </c>
      <c r="C946" s="1" t="n">
        <v>4</v>
      </c>
      <c r="D946" s="1" t="n">
        <v>1</v>
      </c>
      <c r="E946" s="1" t="n">
        <v>1</v>
      </c>
      <c r="F946" s="3" t="s">
        <v>20</v>
      </c>
      <c r="G946" s="3" t="s">
        <v>3942</v>
      </c>
      <c r="H946" s="1" t="s">
        <v>22</v>
      </c>
      <c r="I946" s="1" t="n">
        <v>20240430090239</v>
      </c>
      <c r="J946" s="3" t="s">
        <v>3943</v>
      </c>
      <c r="K946" s="3" t="s">
        <v>3944</v>
      </c>
      <c r="L946" s="3" t="s">
        <v>3945</v>
      </c>
      <c r="M946" s="3" t="n">
        <v>91159</v>
      </c>
      <c r="N946" s="3" t="s">
        <v>456</v>
      </c>
      <c r="O946" s="1" t="n">
        <v>74773</v>
      </c>
      <c r="P946" s="1" t="n">
        <v>82.02</v>
      </c>
      <c r="Q946" s="1" t="s">
        <v>20</v>
      </c>
      <c r="R946" s="1" t="s">
        <v>27</v>
      </c>
      <c r="S946" s="1" t="s">
        <v>28</v>
      </c>
      <c r="T946" s="1" t="s">
        <v>29</v>
      </c>
    </row>
    <row r="947" customFormat="false" ht="18.7" hidden="false" customHeight="true" outlineLevel="0" collapsed="false">
      <c r="A947" s="1" t="n">
        <v>946</v>
      </c>
      <c r="B947" s="6" t="str">
        <f aca="false">HYPERLINK("https://mncourtfraud.com/file/MCRO_27-CR-20-20788_Returned Mail_2022-09-14_20240430090228.pdf","MCRO_27-CR-20-20788_Returned Mail_2022-09-14_20240430090228.pdf")</f>
        <v>MCRO_27-CR-20-20788_Returned Mail_2022-09-14_20240430090228.pdf</v>
      </c>
      <c r="C947" s="1" t="n">
        <v>4</v>
      </c>
      <c r="D947" s="1" t="n">
        <v>1</v>
      </c>
      <c r="E947" s="1" t="n">
        <v>1</v>
      </c>
      <c r="F947" s="3" t="s">
        <v>20</v>
      </c>
      <c r="G947" s="3" t="s">
        <v>3946</v>
      </c>
      <c r="H947" s="1" t="s">
        <v>22</v>
      </c>
      <c r="I947" s="1" t="n">
        <v>20240430090228</v>
      </c>
      <c r="J947" s="3" t="s">
        <v>3947</v>
      </c>
      <c r="K947" s="3" t="s">
        <v>3948</v>
      </c>
      <c r="L947" s="3" t="s">
        <v>3949</v>
      </c>
      <c r="M947" s="3" t="n">
        <v>390472</v>
      </c>
      <c r="N947" s="3" t="s">
        <v>456</v>
      </c>
      <c r="O947" s="1" t="n">
        <v>374086</v>
      </c>
      <c r="P947" s="1" t="n">
        <v>95.8</v>
      </c>
      <c r="Q947" s="1" t="s">
        <v>20</v>
      </c>
      <c r="R947" s="1" t="s">
        <v>27</v>
      </c>
      <c r="S947" s="1" t="s">
        <v>28</v>
      </c>
      <c r="T947" s="1" t="s">
        <v>29</v>
      </c>
    </row>
    <row r="948" customFormat="false" ht="18.7" hidden="false" customHeight="true" outlineLevel="0" collapsed="false">
      <c r="A948" s="1" t="n">
        <v>947</v>
      </c>
      <c r="B948" s="6" t="str">
        <f aca="false">HYPERLINK("https://mncourtfraud.com/file/MCRO_27-CR-20-20788_Witness List_2020-12-16_20240430090249.pdf","MCRO_27-CR-20-20788_Witness List_2020-12-16_20240430090249.pdf")</f>
        <v>MCRO_27-CR-20-20788_Witness List_2020-12-16_20240430090249.pdf</v>
      </c>
      <c r="C948" s="1" t="n">
        <v>3</v>
      </c>
      <c r="D948" s="1" t="n">
        <v>1</v>
      </c>
      <c r="E948" s="1" t="n">
        <v>1</v>
      </c>
      <c r="F948" s="3" t="s">
        <v>20</v>
      </c>
      <c r="G948" s="3" t="s">
        <v>3950</v>
      </c>
      <c r="H948" s="1" t="s">
        <v>22</v>
      </c>
      <c r="I948" s="1" t="n">
        <v>20240430090249</v>
      </c>
      <c r="J948" s="3" t="s">
        <v>3951</v>
      </c>
      <c r="K948" s="3" t="s">
        <v>3952</v>
      </c>
      <c r="L948" s="3" t="s">
        <v>3953</v>
      </c>
      <c r="M948" s="3" t="n">
        <v>254189</v>
      </c>
      <c r="N948" s="3" t="s">
        <v>650</v>
      </c>
      <c r="O948" s="1" t="n">
        <v>237803</v>
      </c>
      <c r="P948" s="1" t="n">
        <v>93.55</v>
      </c>
      <c r="Q948" s="1" t="s">
        <v>20</v>
      </c>
      <c r="R948" s="1" t="s">
        <v>27</v>
      </c>
      <c r="S948" s="1" t="s">
        <v>28</v>
      </c>
      <c r="T948" s="1" t="s">
        <v>29</v>
      </c>
    </row>
    <row r="949" customFormat="false" ht="18.7" hidden="false" customHeight="true" outlineLevel="0" collapsed="false">
      <c r="A949" s="1" t="n">
        <v>948</v>
      </c>
      <c r="B949" s="6" t="str">
        <f aca="false">HYPERLINK("https://mncourtfraud.com/file/MCRO_27-CR-20-20851_E-filed Comp-Summons_2020-09-29_20240430090357.pdf","MCRO_27-CR-20-20851_E-filed Comp-Summons_2020-09-29_20240430090357.pdf")</f>
        <v>MCRO_27-CR-20-20851_E-filed Comp-Summons_2020-09-29_20240430090357.pdf</v>
      </c>
      <c r="C949" s="1" t="n">
        <v>4</v>
      </c>
      <c r="D949" s="1" t="n">
        <v>2</v>
      </c>
      <c r="E949" s="1" t="n">
        <v>2</v>
      </c>
      <c r="F949" s="3" t="s">
        <v>20</v>
      </c>
      <c r="G949" s="3" t="s">
        <v>3954</v>
      </c>
      <c r="H949" s="1" t="s">
        <v>22</v>
      </c>
      <c r="I949" s="1" t="n">
        <v>20240430090357</v>
      </c>
      <c r="J949" s="3" t="s">
        <v>3955</v>
      </c>
      <c r="K949" s="3" t="s">
        <v>3956</v>
      </c>
      <c r="L949" s="3" t="s">
        <v>3957</v>
      </c>
      <c r="M949" s="3" t="n">
        <v>523504</v>
      </c>
      <c r="N949" s="3" t="s">
        <v>1605</v>
      </c>
      <c r="O949" s="1" t="n">
        <v>507118</v>
      </c>
      <c r="P949" s="1" t="n">
        <v>96.87</v>
      </c>
      <c r="Q949" s="1" t="s">
        <v>20</v>
      </c>
      <c r="R949" s="1" t="s">
        <v>27</v>
      </c>
      <c r="S949" s="1" t="s">
        <v>28</v>
      </c>
      <c r="T949" s="1" t="s">
        <v>29</v>
      </c>
    </row>
    <row r="950" customFormat="false" ht="18.7" hidden="false" customHeight="true" outlineLevel="0" collapsed="false">
      <c r="A950" s="1" t="n">
        <v>949</v>
      </c>
      <c r="B950" s="6" t="str">
        <f aca="false">HYPERLINK("https://mncourtfraud.com/file/MCRO_27-CR-20-20851_Law Enforcement Bail Bond Receipt_2024-04-03_20240430090320.pdf","MCRO_27-CR-20-20851_Law Enforcement Bail Bond Receipt_2024-04-03_20240430090320.pdf")</f>
        <v>MCRO_27-CR-20-20851_Law Enforcement Bail Bond Receipt_2024-04-03_20240430090320.pdf</v>
      </c>
      <c r="C950" s="1" t="n">
        <v>4</v>
      </c>
      <c r="D950" s="1" t="n">
        <v>1</v>
      </c>
      <c r="E950" s="1" t="n">
        <v>1</v>
      </c>
      <c r="F950" s="3" t="s">
        <v>20</v>
      </c>
      <c r="G950" s="3" t="s">
        <v>3958</v>
      </c>
      <c r="H950" s="1" t="s">
        <v>22</v>
      </c>
      <c r="I950" s="1" t="n">
        <v>20240430090320</v>
      </c>
      <c r="J950" s="3" t="s">
        <v>3959</v>
      </c>
      <c r="K950" s="3" t="s">
        <v>3960</v>
      </c>
      <c r="L950" s="3" t="s">
        <v>3961</v>
      </c>
      <c r="M950" s="3" t="n">
        <v>233348</v>
      </c>
      <c r="N950" s="3" t="s">
        <v>1159</v>
      </c>
      <c r="O950" s="1" t="n">
        <v>216962</v>
      </c>
      <c r="P950" s="1" t="n">
        <v>92.98</v>
      </c>
      <c r="Q950" s="1" t="s">
        <v>20</v>
      </c>
      <c r="R950" s="1" t="s">
        <v>27</v>
      </c>
      <c r="S950" s="1" t="s">
        <v>28</v>
      </c>
      <c r="T950" s="1" t="s">
        <v>29</v>
      </c>
    </row>
    <row r="951" customFormat="false" ht="18.7" hidden="false" customHeight="true" outlineLevel="0" collapsed="false">
      <c r="A951" s="1" t="n">
        <v>950</v>
      </c>
      <c r="B951" s="6" t="str">
        <f aca="false">HYPERLINK("https://mncourtfraud.com/file/MCRO_27-CR-20-20851_Law Enforcement Notice of Release and Appearance_2021-03-05_20240430090351.pdf","MCRO_27-CR-20-20851_Law Enforcement Notice of Release and Appearance_2021-03-05_20240430090351.pdf")</f>
        <v>MCRO_27-CR-20-20851_Law Enforcement Notice of Release and Appearance_2021-03-05_20240430090351.pdf</v>
      </c>
      <c r="C951" s="1" t="n">
        <v>4</v>
      </c>
      <c r="D951" s="1" t="n">
        <v>1</v>
      </c>
      <c r="E951" s="1" t="n">
        <v>1</v>
      </c>
      <c r="F951" s="3" t="s">
        <v>20</v>
      </c>
      <c r="G951" s="3" t="s">
        <v>3962</v>
      </c>
      <c r="H951" s="1" t="s">
        <v>22</v>
      </c>
      <c r="I951" s="1" t="n">
        <v>20240430090351</v>
      </c>
      <c r="J951" s="3" t="s">
        <v>3963</v>
      </c>
      <c r="K951" s="3" t="s">
        <v>3964</v>
      </c>
      <c r="L951" s="3" t="s">
        <v>3965</v>
      </c>
      <c r="M951" s="3" t="n">
        <v>137029</v>
      </c>
      <c r="N951" s="3" t="s">
        <v>456</v>
      </c>
      <c r="O951" s="1" t="n">
        <v>120643</v>
      </c>
      <c r="P951" s="1" t="n">
        <v>88.04</v>
      </c>
      <c r="Q951" s="1" t="s">
        <v>20</v>
      </c>
      <c r="R951" s="1" t="s">
        <v>27</v>
      </c>
      <c r="S951" s="1" t="s">
        <v>28</v>
      </c>
      <c r="T951" s="1" t="s">
        <v>29</v>
      </c>
    </row>
    <row r="952" customFormat="false" ht="18.7" hidden="false" customHeight="true" outlineLevel="0" collapsed="false">
      <c r="A952" s="1" t="n">
        <v>951</v>
      </c>
      <c r="B952" s="6" t="str">
        <f aca="false">HYPERLINK("https://mncourtfraud.com/file/MCRO_27-CR-20-20851_Notice of Case Reassignment_2021-08-25_20240430090349.pdf","MCRO_27-CR-20-20851_Notice of Case Reassignment_2021-08-25_20240430090349.pdf")</f>
        <v>MCRO_27-CR-20-20851_Notice of Case Reassignment_2021-08-25_20240430090349.pdf</v>
      </c>
      <c r="C952" s="1" t="n">
        <v>4</v>
      </c>
      <c r="D952" s="1" t="n">
        <v>1</v>
      </c>
      <c r="E952" s="1" t="n">
        <v>1</v>
      </c>
      <c r="F952" s="3" t="s">
        <v>20</v>
      </c>
      <c r="G952" s="3" t="s">
        <v>3966</v>
      </c>
      <c r="H952" s="1" t="s">
        <v>22</v>
      </c>
      <c r="I952" s="1" t="n">
        <v>20240430090349</v>
      </c>
      <c r="J952" s="3" t="s">
        <v>3967</v>
      </c>
      <c r="K952" s="3" t="s">
        <v>3968</v>
      </c>
      <c r="L952" s="3" t="s">
        <v>3969</v>
      </c>
      <c r="M952" s="3" t="n">
        <v>336237</v>
      </c>
      <c r="N952" s="3" t="s">
        <v>456</v>
      </c>
      <c r="O952" s="1" t="n">
        <v>319851</v>
      </c>
      <c r="P952" s="1" t="n">
        <v>95.13</v>
      </c>
      <c r="Q952" s="1" t="s">
        <v>20</v>
      </c>
      <c r="R952" s="1" t="s">
        <v>27</v>
      </c>
      <c r="S952" s="1" t="s">
        <v>28</v>
      </c>
      <c r="T952" s="1" t="s">
        <v>29</v>
      </c>
    </row>
    <row r="953" customFormat="false" ht="18.7" hidden="false" customHeight="true" outlineLevel="0" collapsed="false">
      <c r="A953" s="1" t="n">
        <v>952</v>
      </c>
      <c r="B953" s="6" t="str">
        <f aca="false">HYPERLINK("https://mncourtfraud.com/file/MCRO_27-CR-20-20851_Notice of Hearing_2023-04-06_20240430090337.pdf","MCRO_27-CR-20-20851_Notice of Hearing_2023-04-06_20240430090337.pdf")</f>
        <v>MCRO_27-CR-20-20851_Notice of Hearing_2023-04-06_20240430090337.pdf</v>
      </c>
      <c r="C953" s="1" t="n">
        <v>4</v>
      </c>
      <c r="D953" s="1" t="n">
        <v>1</v>
      </c>
      <c r="E953" s="1" t="n">
        <v>1</v>
      </c>
      <c r="F953" s="3" t="s">
        <v>20</v>
      </c>
      <c r="G953" s="3" t="s">
        <v>3970</v>
      </c>
      <c r="H953" s="1" t="s">
        <v>22</v>
      </c>
      <c r="I953" s="1" t="n">
        <v>20240430090337</v>
      </c>
      <c r="J953" s="3" t="s">
        <v>3971</v>
      </c>
      <c r="K953" s="3" t="s">
        <v>3972</v>
      </c>
      <c r="L953" s="3" t="s">
        <v>3973</v>
      </c>
      <c r="M953" s="3" t="n">
        <v>566371</v>
      </c>
      <c r="N953" s="3" t="s">
        <v>1128</v>
      </c>
      <c r="O953" s="1" t="n">
        <v>549985</v>
      </c>
      <c r="P953" s="1" t="n">
        <v>97.11</v>
      </c>
      <c r="Q953" s="1" t="s">
        <v>20</v>
      </c>
      <c r="R953" s="1" t="s">
        <v>27</v>
      </c>
      <c r="S953" s="1" t="s">
        <v>28</v>
      </c>
      <c r="T953" s="1" t="s">
        <v>29</v>
      </c>
    </row>
    <row r="954" customFormat="false" ht="18.7" hidden="false" customHeight="true" outlineLevel="0" collapsed="false">
      <c r="A954" s="1" t="n">
        <v>953</v>
      </c>
      <c r="B954" s="6" t="str">
        <f aca="false">HYPERLINK("https://mncourtfraud.com/file/MCRO_27-CR-20-20851_Notice of Hearing_2023-04-20_20240430090335.pdf","MCRO_27-CR-20-20851_Notice of Hearing_2023-04-20_20240430090335.pdf")</f>
        <v>MCRO_27-CR-20-20851_Notice of Hearing_2023-04-20_20240430090335.pdf</v>
      </c>
      <c r="C954" s="1" t="n">
        <v>4</v>
      </c>
      <c r="D954" s="1" t="n">
        <v>1</v>
      </c>
      <c r="E954" s="1" t="n">
        <v>1</v>
      </c>
      <c r="F954" s="3" t="s">
        <v>20</v>
      </c>
      <c r="G954" s="3" t="s">
        <v>3974</v>
      </c>
      <c r="H954" s="1" t="s">
        <v>22</v>
      </c>
      <c r="I954" s="1" t="n">
        <v>20240430090335</v>
      </c>
      <c r="J954" s="3" t="s">
        <v>3975</v>
      </c>
      <c r="K954" s="3" t="s">
        <v>3976</v>
      </c>
      <c r="L954" s="3" t="s">
        <v>3977</v>
      </c>
      <c r="M954" s="3" t="n">
        <v>104105</v>
      </c>
      <c r="N954" s="3" t="s">
        <v>435</v>
      </c>
      <c r="O954" s="1" t="n">
        <v>87719</v>
      </c>
      <c r="P954" s="1" t="n">
        <v>84.26</v>
      </c>
      <c r="Q954" s="1" t="s">
        <v>20</v>
      </c>
      <c r="R954" s="1" t="s">
        <v>27</v>
      </c>
      <c r="S954" s="1" t="s">
        <v>28</v>
      </c>
      <c r="T954" s="1" t="s">
        <v>29</v>
      </c>
    </row>
    <row r="955" customFormat="false" ht="18.7" hidden="false" customHeight="true" outlineLevel="0" collapsed="false">
      <c r="A955" s="1" t="n">
        <v>954</v>
      </c>
      <c r="B955" s="6" t="str">
        <f aca="false">HYPERLINK("https://mncourtfraud.com/file/MCRO_27-CR-20-20851_Notice of Hearing_2023-05-08_20240430090334.pdf","MCRO_27-CR-20-20851_Notice of Hearing_2023-05-08_20240430090334.pdf")</f>
        <v>MCRO_27-CR-20-20851_Notice of Hearing_2023-05-08_20240430090334.pdf</v>
      </c>
      <c r="C955" s="1" t="n">
        <v>4</v>
      </c>
      <c r="D955" s="1" t="n">
        <v>1</v>
      </c>
      <c r="E955" s="1" t="n">
        <v>1</v>
      </c>
      <c r="F955" s="3" t="s">
        <v>20</v>
      </c>
      <c r="G955" s="3" t="s">
        <v>3978</v>
      </c>
      <c r="H955" s="1" t="s">
        <v>22</v>
      </c>
      <c r="I955" s="1" t="n">
        <v>20240430090334</v>
      </c>
      <c r="J955" s="3" t="s">
        <v>3979</v>
      </c>
      <c r="K955" s="3" t="s">
        <v>3980</v>
      </c>
      <c r="L955" s="3" t="s">
        <v>3981</v>
      </c>
      <c r="M955" s="3" t="n">
        <v>467092</v>
      </c>
      <c r="N955" s="3" t="s">
        <v>158</v>
      </c>
      <c r="O955" s="1" t="n">
        <v>450706</v>
      </c>
      <c r="P955" s="1" t="n">
        <v>96.49</v>
      </c>
      <c r="Q955" s="1" t="s">
        <v>20</v>
      </c>
      <c r="R955" s="1" t="s">
        <v>27</v>
      </c>
      <c r="S955" s="1" t="s">
        <v>28</v>
      </c>
      <c r="T955" s="1" t="s">
        <v>29</v>
      </c>
    </row>
    <row r="956" customFormat="false" ht="18.7" hidden="false" customHeight="true" outlineLevel="0" collapsed="false">
      <c r="A956" s="1" t="n">
        <v>955</v>
      </c>
      <c r="B956" s="6" t="str">
        <f aca="false">HYPERLINK("https://mncourtfraud.com/file/MCRO_27-CR-20-20851_Notice of Hearing_2023-07-03_20240430090333.pdf","MCRO_27-CR-20-20851_Notice of Hearing_2023-07-03_20240430090333.pdf")</f>
        <v>MCRO_27-CR-20-20851_Notice of Hearing_2023-07-03_20240430090333.pdf</v>
      </c>
      <c r="C956" s="1" t="n">
        <v>4</v>
      </c>
      <c r="D956" s="1" t="n">
        <v>1</v>
      </c>
      <c r="E956" s="1" t="n">
        <v>1</v>
      </c>
      <c r="F956" s="3" t="s">
        <v>20</v>
      </c>
      <c r="G956" s="3" t="s">
        <v>3982</v>
      </c>
      <c r="H956" s="1" t="s">
        <v>22</v>
      </c>
      <c r="I956" s="1" t="n">
        <v>20240430090333</v>
      </c>
      <c r="J956" s="3" t="s">
        <v>3983</v>
      </c>
      <c r="K956" s="3" t="s">
        <v>3984</v>
      </c>
      <c r="L956" s="3" t="s">
        <v>3985</v>
      </c>
      <c r="M956" s="3" t="n">
        <v>104981</v>
      </c>
      <c r="N956" s="3" t="s">
        <v>435</v>
      </c>
      <c r="O956" s="1" t="n">
        <v>88595</v>
      </c>
      <c r="P956" s="1" t="n">
        <v>84.39</v>
      </c>
      <c r="Q956" s="1" t="s">
        <v>20</v>
      </c>
      <c r="R956" s="1" t="s">
        <v>27</v>
      </c>
      <c r="S956" s="1" t="s">
        <v>28</v>
      </c>
      <c r="T956" s="1" t="s">
        <v>29</v>
      </c>
    </row>
    <row r="957" customFormat="false" ht="18.7" hidden="false" customHeight="true" outlineLevel="0" collapsed="false">
      <c r="A957" s="1" t="n">
        <v>956</v>
      </c>
      <c r="B957" s="6" t="str">
        <f aca="false">HYPERLINK("https://mncourtfraud.com/file/MCRO_27-CR-20-20851_Notice of Hearing_2023-07-19_20240430090330.pdf","MCRO_27-CR-20-20851_Notice of Hearing_2023-07-19_20240430090330.pdf")</f>
        <v>MCRO_27-CR-20-20851_Notice of Hearing_2023-07-19_20240430090330.pdf</v>
      </c>
      <c r="C957" s="1" t="n">
        <v>5</v>
      </c>
      <c r="D957" s="1" t="n">
        <v>1</v>
      </c>
      <c r="E957" s="1" t="n">
        <v>1</v>
      </c>
      <c r="F957" s="3" t="s">
        <v>20</v>
      </c>
      <c r="G957" s="3" t="s">
        <v>3986</v>
      </c>
      <c r="H957" s="1" t="s">
        <v>22</v>
      </c>
      <c r="I957" s="1" t="n">
        <v>20240430090330</v>
      </c>
      <c r="J957" s="3" t="s">
        <v>3987</v>
      </c>
      <c r="K957" s="3" t="s">
        <v>3988</v>
      </c>
      <c r="L957" s="3" t="s">
        <v>3989</v>
      </c>
      <c r="M957" s="3" t="n">
        <v>740056</v>
      </c>
      <c r="N957" s="3" t="s">
        <v>722</v>
      </c>
      <c r="O957" s="1" t="n">
        <v>723670</v>
      </c>
      <c r="P957" s="1" t="n">
        <v>97.79</v>
      </c>
      <c r="Q957" s="1" t="s">
        <v>20</v>
      </c>
      <c r="R957" s="1" t="s">
        <v>27</v>
      </c>
      <c r="S957" s="1" t="s">
        <v>28</v>
      </c>
      <c r="T957" s="1" t="s">
        <v>29</v>
      </c>
    </row>
    <row r="958" customFormat="false" ht="18.7" hidden="false" customHeight="true" outlineLevel="0" collapsed="false">
      <c r="A958" s="1" t="n">
        <v>957</v>
      </c>
      <c r="B958" s="6" t="str">
        <f aca="false">HYPERLINK("https://mncourtfraud.com/file/MCRO_27-CR-20-20851_Notice of Hearing_2023-09-21_20240430090327.pdf","MCRO_27-CR-20-20851_Notice of Hearing_2023-09-21_20240430090327.pdf")</f>
        <v>MCRO_27-CR-20-20851_Notice of Hearing_2023-09-21_20240430090327.pdf</v>
      </c>
      <c r="C958" s="1" t="n">
        <v>4</v>
      </c>
      <c r="D958" s="1" t="n">
        <v>1</v>
      </c>
      <c r="E958" s="1" t="n">
        <v>1</v>
      </c>
      <c r="F958" s="3" t="s">
        <v>20</v>
      </c>
      <c r="G958" s="3" t="s">
        <v>3990</v>
      </c>
      <c r="H958" s="1" t="s">
        <v>22</v>
      </c>
      <c r="I958" s="1" t="n">
        <v>20240430090327</v>
      </c>
      <c r="J958" s="3" t="s">
        <v>3991</v>
      </c>
      <c r="K958" s="3" t="s">
        <v>3992</v>
      </c>
      <c r="L958" s="3" t="s">
        <v>3993</v>
      </c>
      <c r="M958" s="3" t="n">
        <v>98010</v>
      </c>
      <c r="N958" s="3" t="s">
        <v>435</v>
      </c>
      <c r="O958" s="1" t="n">
        <v>81624</v>
      </c>
      <c r="P958" s="1" t="n">
        <v>83.28</v>
      </c>
      <c r="Q958" s="1" t="s">
        <v>20</v>
      </c>
      <c r="R958" s="1" t="s">
        <v>27</v>
      </c>
      <c r="S958" s="1" t="s">
        <v>28</v>
      </c>
      <c r="T958" s="1" t="s">
        <v>29</v>
      </c>
    </row>
    <row r="959" customFormat="false" ht="18.7" hidden="false" customHeight="true" outlineLevel="0" collapsed="false">
      <c r="A959" s="1" t="n">
        <v>958</v>
      </c>
      <c r="B959" s="6" t="str">
        <f aca="false">HYPERLINK("https://mncourtfraud.com/file/MCRO_27-CR-20-20851_Notice of Hearing_2023-12-12_20240430090323.pdf","MCRO_27-CR-20-20851_Notice of Hearing_2023-12-12_20240430090323.pdf")</f>
        <v>MCRO_27-CR-20-20851_Notice of Hearing_2023-12-12_20240430090323.pdf</v>
      </c>
      <c r="C959" s="1" t="n">
        <v>5</v>
      </c>
      <c r="D959" s="1" t="n">
        <v>1</v>
      </c>
      <c r="E959" s="1" t="n">
        <v>1</v>
      </c>
      <c r="F959" s="3" t="s">
        <v>20</v>
      </c>
      <c r="G959" s="3" t="s">
        <v>3994</v>
      </c>
      <c r="H959" s="1" t="s">
        <v>22</v>
      </c>
      <c r="I959" s="1" t="n">
        <v>20240430090323</v>
      </c>
      <c r="J959" s="3" t="s">
        <v>3995</v>
      </c>
      <c r="K959" s="3" t="s">
        <v>3996</v>
      </c>
      <c r="L959" s="3" t="s">
        <v>3997</v>
      </c>
      <c r="M959" s="3" t="n">
        <v>729329</v>
      </c>
      <c r="N959" s="3" t="s">
        <v>1278</v>
      </c>
      <c r="O959" s="1" t="n">
        <v>712943</v>
      </c>
      <c r="P959" s="1" t="n">
        <v>97.75</v>
      </c>
      <c r="Q959" s="1" t="s">
        <v>20</v>
      </c>
      <c r="R959" s="1" t="s">
        <v>27</v>
      </c>
      <c r="S959" s="1" t="s">
        <v>28</v>
      </c>
      <c r="T959" s="1" t="s">
        <v>29</v>
      </c>
    </row>
    <row r="960" customFormat="false" ht="18.7" hidden="false" customHeight="true" outlineLevel="0" collapsed="false">
      <c r="A960" s="1" t="n">
        <v>959</v>
      </c>
      <c r="B960" s="6" t="str">
        <f aca="false">HYPERLINK("https://mncourtfraud.com/file/MCRO_27-CR-20-20851_Notice of Hearing_2024-04-18_20240430090319.pdf","MCRO_27-CR-20-20851_Notice of Hearing_2024-04-18_20240430090319.pdf")</f>
        <v>MCRO_27-CR-20-20851_Notice of Hearing_2024-04-18_20240430090319.pdf</v>
      </c>
      <c r="C960" s="1" t="n">
        <v>4</v>
      </c>
      <c r="D960" s="1" t="n">
        <v>1</v>
      </c>
      <c r="E960" s="1" t="n">
        <v>1</v>
      </c>
      <c r="F960" s="3" t="s">
        <v>20</v>
      </c>
      <c r="G960" s="3" t="s">
        <v>3998</v>
      </c>
      <c r="H960" s="1" t="s">
        <v>22</v>
      </c>
      <c r="I960" s="1" t="n">
        <v>20240430090319</v>
      </c>
      <c r="J960" s="3" t="s">
        <v>3999</v>
      </c>
      <c r="K960" s="3" t="s">
        <v>4000</v>
      </c>
      <c r="L960" s="3" t="s">
        <v>4001</v>
      </c>
      <c r="M960" s="3" t="n">
        <v>430756</v>
      </c>
      <c r="N960" s="3" t="s">
        <v>158</v>
      </c>
      <c r="O960" s="1" t="n">
        <v>414370</v>
      </c>
      <c r="P960" s="1" t="n">
        <v>96.2</v>
      </c>
      <c r="Q960" s="1" t="s">
        <v>20</v>
      </c>
      <c r="R960" s="1" t="s">
        <v>27</v>
      </c>
      <c r="S960" s="1" t="s">
        <v>28</v>
      </c>
      <c r="T960" s="1" t="s">
        <v>29</v>
      </c>
    </row>
    <row r="961" customFormat="false" ht="18.7" hidden="false" customHeight="true" outlineLevel="0" collapsed="false">
      <c r="A961" s="1" t="n">
        <v>960</v>
      </c>
      <c r="B961" s="6" t="str">
        <f aca="false">HYPERLINK("https://mncourtfraud.com/file/MCRO_27-CR-20-20851_Notice of Remote Hearing with Instructions_2020-12-21_20240430090355.pdf","MCRO_27-CR-20-20851_Notice of Remote Hearing with Instructions_2020-12-21_20240430090355.pdf")</f>
        <v>MCRO_27-CR-20-20851_Notice of Remote Hearing with Instructions_2020-12-21_20240430090355.pdf</v>
      </c>
      <c r="C961" s="1" t="n">
        <v>4</v>
      </c>
      <c r="D961" s="1" t="n">
        <v>1</v>
      </c>
      <c r="E961" s="1" t="n">
        <v>1</v>
      </c>
      <c r="F961" s="3" t="s">
        <v>20</v>
      </c>
      <c r="G961" s="3" t="s">
        <v>4002</v>
      </c>
      <c r="H961" s="1" t="s">
        <v>22</v>
      </c>
      <c r="I961" s="1" t="n">
        <v>20240430090355</v>
      </c>
      <c r="J961" s="3" t="s">
        <v>4003</v>
      </c>
      <c r="K961" s="3" t="s">
        <v>4004</v>
      </c>
      <c r="L961" s="3" t="s">
        <v>4005</v>
      </c>
      <c r="M961" s="3" t="n">
        <v>850116</v>
      </c>
      <c r="N961" s="3" t="s">
        <v>1065</v>
      </c>
      <c r="O961" s="1" t="n">
        <v>833730</v>
      </c>
      <c r="P961" s="1" t="n">
        <v>98.07</v>
      </c>
      <c r="Q961" s="1" t="s">
        <v>20</v>
      </c>
      <c r="R961" s="1" t="s">
        <v>27</v>
      </c>
      <c r="S961" s="1" t="s">
        <v>28</v>
      </c>
      <c r="T961" s="1" t="s">
        <v>29</v>
      </c>
    </row>
    <row r="962" customFormat="false" ht="18.7" hidden="false" customHeight="true" outlineLevel="0" collapsed="false">
      <c r="A962" s="1" t="n">
        <v>961</v>
      </c>
      <c r="B962" s="6" t="str">
        <f aca="false">HYPERLINK("https://mncourtfraud.com/file/MCRO_27-CR-20-20851_Notice of Remote Hearing with Instructions_2021-01-15_20240430090354.pdf","MCRO_27-CR-20-20851_Notice of Remote Hearing with Instructions_2021-01-15_20240430090354.pdf")</f>
        <v>MCRO_27-CR-20-20851_Notice of Remote Hearing with Instructions_2021-01-15_20240430090354.pdf</v>
      </c>
      <c r="C962" s="1" t="n">
        <v>4</v>
      </c>
      <c r="D962" s="1" t="n">
        <v>1</v>
      </c>
      <c r="E962" s="1" t="n">
        <v>1</v>
      </c>
      <c r="F962" s="3" t="s">
        <v>20</v>
      </c>
      <c r="G962" s="3" t="s">
        <v>4006</v>
      </c>
      <c r="H962" s="1" t="s">
        <v>22</v>
      </c>
      <c r="I962" s="1" t="n">
        <v>20240430090354</v>
      </c>
      <c r="J962" s="3" t="s">
        <v>4007</v>
      </c>
      <c r="K962" s="3" t="s">
        <v>4008</v>
      </c>
      <c r="L962" s="3" t="s">
        <v>4009</v>
      </c>
      <c r="M962" s="3" t="n">
        <v>818592</v>
      </c>
      <c r="N962" s="3" t="s">
        <v>1266</v>
      </c>
      <c r="O962" s="1" t="n">
        <v>802206</v>
      </c>
      <c r="P962" s="1" t="n">
        <v>98</v>
      </c>
      <c r="Q962" s="1" t="s">
        <v>20</v>
      </c>
      <c r="R962" s="1" t="s">
        <v>27</v>
      </c>
      <c r="S962" s="1" t="s">
        <v>28</v>
      </c>
      <c r="T962" s="1" t="s">
        <v>29</v>
      </c>
    </row>
    <row r="963" customFormat="false" ht="18.7" hidden="false" customHeight="true" outlineLevel="0" collapsed="false">
      <c r="A963" s="1" t="n">
        <v>962</v>
      </c>
      <c r="B963" s="6" t="str">
        <f aca="false">HYPERLINK("https://mncourtfraud.com/file/MCRO_27-CR-20-20851_Notice of Remote Hearing with Instructions_2021-03-05_20240430090352.pdf","MCRO_27-CR-20-20851_Notice of Remote Hearing with Instructions_2021-03-05_20240430090352.pdf")</f>
        <v>MCRO_27-CR-20-20851_Notice of Remote Hearing with Instructions_2021-03-05_20240430090352.pdf</v>
      </c>
      <c r="C963" s="1" t="n">
        <v>4</v>
      </c>
      <c r="D963" s="1" t="n">
        <v>1</v>
      </c>
      <c r="E963" s="1" t="n">
        <v>1</v>
      </c>
      <c r="F963" s="3" t="s">
        <v>20</v>
      </c>
      <c r="G963" s="3" t="s">
        <v>4010</v>
      </c>
      <c r="H963" s="1" t="s">
        <v>22</v>
      </c>
      <c r="I963" s="1" t="n">
        <v>20240430090352</v>
      </c>
      <c r="J963" s="3" t="s">
        <v>4011</v>
      </c>
      <c r="K963" s="3" t="s">
        <v>4012</v>
      </c>
      <c r="L963" s="3" t="s">
        <v>4013</v>
      </c>
      <c r="M963" s="3" t="n">
        <v>779325</v>
      </c>
      <c r="N963" s="3" t="s">
        <v>1065</v>
      </c>
      <c r="O963" s="1" t="n">
        <v>762939</v>
      </c>
      <c r="P963" s="1" t="n">
        <v>97.9</v>
      </c>
      <c r="Q963" s="1" t="s">
        <v>20</v>
      </c>
      <c r="R963" s="1" t="s">
        <v>27</v>
      </c>
      <c r="S963" s="1" t="s">
        <v>28</v>
      </c>
      <c r="T963" s="1" t="s">
        <v>29</v>
      </c>
    </row>
    <row r="964" customFormat="false" ht="18.7" hidden="false" customHeight="true" outlineLevel="0" collapsed="false">
      <c r="A964" s="1" t="n">
        <v>963</v>
      </c>
      <c r="B964" s="6" t="str">
        <f aca="false">HYPERLINK("https://mncourtfraud.com/file/MCRO_27-CR-20-20851_Notice of Remote Hearing with Instructions_2021-10-11_20240430090347.pdf","MCRO_27-CR-20-20851_Notice of Remote Hearing with Instructions_2021-10-11_20240430090347.pdf")</f>
        <v>MCRO_27-CR-20-20851_Notice of Remote Hearing with Instructions_2021-10-11_20240430090347.pdf</v>
      </c>
      <c r="C964" s="1" t="n">
        <v>4</v>
      </c>
      <c r="D964" s="1" t="n">
        <v>1</v>
      </c>
      <c r="E964" s="1" t="n">
        <v>1</v>
      </c>
      <c r="F964" s="3" t="s">
        <v>20</v>
      </c>
      <c r="G964" s="3" t="s">
        <v>4014</v>
      </c>
      <c r="H964" s="1" t="s">
        <v>22</v>
      </c>
      <c r="I964" s="1" t="n">
        <v>20240430090347</v>
      </c>
      <c r="J964" s="3" t="s">
        <v>4015</v>
      </c>
      <c r="K964" s="3" t="s">
        <v>4016</v>
      </c>
      <c r="L964" s="3" t="s">
        <v>4017</v>
      </c>
      <c r="M964" s="3" t="n">
        <v>161586</v>
      </c>
      <c r="N964" s="3" t="s">
        <v>1065</v>
      </c>
      <c r="O964" s="1" t="n">
        <v>145200</v>
      </c>
      <c r="P964" s="1" t="n">
        <v>89.86</v>
      </c>
      <c r="Q964" s="1" t="s">
        <v>20</v>
      </c>
      <c r="R964" s="1" t="s">
        <v>27</v>
      </c>
      <c r="S964" s="1" t="s">
        <v>28</v>
      </c>
      <c r="T964" s="1" t="s">
        <v>29</v>
      </c>
    </row>
    <row r="965" customFormat="false" ht="18.7" hidden="false" customHeight="true" outlineLevel="0" collapsed="false">
      <c r="A965" s="1" t="n">
        <v>964</v>
      </c>
      <c r="B965" s="6" t="str">
        <f aca="false">HYPERLINK("https://mncourtfraud.com/file/MCRO_27-CR-20-20851_Notice of Remote Hearing with Instructions_2021-10-15_20240430090346.pdf","MCRO_27-CR-20-20851_Notice of Remote Hearing with Instructions_2021-10-15_20240430090346.pdf")</f>
        <v>MCRO_27-CR-20-20851_Notice of Remote Hearing with Instructions_2021-10-15_20240430090346.pdf</v>
      </c>
      <c r="C965" s="1" t="n">
        <v>5</v>
      </c>
      <c r="D965" s="1" t="n">
        <v>1</v>
      </c>
      <c r="E965" s="1" t="n">
        <v>1</v>
      </c>
      <c r="F965" s="3" t="s">
        <v>20</v>
      </c>
      <c r="G965" s="3" t="s">
        <v>4018</v>
      </c>
      <c r="H965" s="1" t="s">
        <v>22</v>
      </c>
      <c r="I965" s="1" t="n">
        <v>20240430090346</v>
      </c>
      <c r="J965" s="3" t="s">
        <v>4019</v>
      </c>
      <c r="K965" s="3" t="s">
        <v>4020</v>
      </c>
      <c r="L965" s="3" t="s">
        <v>4021</v>
      </c>
      <c r="M965" s="3" t="n">
        <v>840516</v>
      </c>
      <c r="N965" s="3" t="s">
        <v>849</v>
      </c>
      <c r="O965" s="1" t="n">
        <v>824130</v>
      </c>
      <c r="P965" s="1" t="n">
        <v>98.05</v>
      </c>
      <c r="Q965" s="1" t="s">
        <v>20</v>
      </c>
      <c r="R965" s="1" t="s">
        <v>27</v>
      </c>
      <c r="S965" s="1" t="s">
        <v>28</v>
      </c>
      <c r="T965" s="1" t="s">
        <v>29</v>
      </c>
    </row>
    <row r="966" customFormat="false" ht="18.7" hidden="false" customHeight="true" outlineLevel="0" collapsed="false">
      <c r="A966" s="1" t="n">
        <v>965</v>
      </c>
      <c r="B966" s="6" t="str">
        <f aca="false">HYPERLINK("https://mncourtfraud.com/file/MCRO_27-CR-20-20851_Notice of Remote Hearing with Instructions_2021-12-10_20240430090343.pdf","MCRO_27-CR-20-20851_Notice of Remote Hearing with Instructions_2021-12-10_20240430090343.pdf")</f>
        <v>MCRO_27-CR-20-20851_Notice of Remote Hearing with Instructions_2021-12-10_20240430090343.pdf</v>
      </c>
      <c r="C966" s="1" t="n">
        <v>4</v>
      </c>
      <c r="D966" s="1" t="n">
        <v>1</v>
      </c>
      <c r="E966" s="1" t="n">
        <v>1</v>
      </c>
      <c r="F966" s="3" t="s">
        <v>20</v>
      </c>
      <c r="G966" s="3" t="s">
        <v>4022</v>
      </c>
      <c r="H966" s="1" t="s">
        <v>22</v>
      </c>
      <c r="I966" s="1" t="n">
        <v>20240430090343</v>
      </c>
      <c r="J966" s="3" t="s">
        <v>4023</v>
      </c>
      <c r="K966" s="3" t="s">
        <v>4024</v>
      </c>
      <c r="L966" s="3" t="s">
        <v>4025</v>
      </c>
      <c r="M966" s="3" t="n">
        <v>847487</v>
      </c>
      <c r="N966" s="3" t="s">
        <v>1065</v>
      </c>
      <c r="O966" s="1" t="n">
        <v>831101</v>
      </c>
      <c r="P966" s="1" t="n">
        <v>98.07</v>
      </c>
      <c r="Q966" s="1" t="s">
        <v>20</v>
      </c>
      <c r="R966" s="1" t="s">
        <v>27</v>
      </c>
      <c r="S966" s="1" t="s">
        <v>28</v>
      </c>
      <c r="T966" s="1" t="s">
        <v>29</v>
      </c>
    </row>
    <row r="967" customFormat="false" ht="18.7" hidden="false" customHeight="true" outlineLevel="0" collapsed="false">
      <c r="A967" s="1" t="n">
        <v>966</v>
      </c>
      <c r="B967" s="6" t="str">
        <f aca="false">HYPERLINK("https://mncourtfraud.com/file/MCRO_27-CR-20-20851_Notice of Remote Hearing with Instructions_2022-04-04_20240430090340.pdf","MCRO_27-CR-20-20851_Notice of Remote Hearing with Instructions_2022-04-04_20240430090340.pdf")</f>
        <v>MCRO_27-CR-20-20851_Notice of Remote Hearing with Instructions_2022-04-04_20240430090340.pdf</v>
      </c>
      <c r="C967" s="1" t="n">
        <v>4</v>
      </c>
      <c r="D967" s="1" t="n">
        <v>1</v>
      </c>
      <c r="E967" s="1" t="n">
        <v>1</v>
      </c>
      <c r="F967" s="3" t="s">
        <v>20</v>
      </c>
      <c r="G967" s="3" t="s">
        <v>4026</v>
      </c>
      <c r="H967" s="1" t="s">
        <v>22</v>
      </c>
      <c r="I967" s="1" t="n">
        <v>20240430090340</v>
      </c>
      <c r="J967" s="3" t="s">
        <v>4027</v>
      </c>
      <c r="K967" s="3" t="s">
        <v>4028</v>
      </c>
      <c r="L967" s="3" t="s">
        <v>4029</v>
      </c>
      <c r="M967" s="3" t="n">
        <v>825785</v>
      </c>
      <c r="N967" s="3" t="s">
        <v>593</v>
      </c>
      <c r="O967" s="1" t="n">
        <v>809399</v>
      </c>
      <c r="P967" s="1" t="n">
        <v>98.02</v>
      </c>
      <c r="Q967" s="1" t="s">
        <v>20</v>
      </c>
      <c r="R967" s="1" t="s">
        <v>27</v>
      </c>
      <c r="S967" s="1" t="s">
        <v>28</v>
      </c>
      <c r="T967" s="1" t="s">
        <v>29</v>
      </c>
    </row>
    <row r="968" customFormat="false" ht="18.7" hidden="false" customHeight="true" outlineLevel="0" collapsed="false">
      <c r="A968" s="1" t="n">
        <v>967</v>
      </c>
      <c r="B968" s="6" t="str">
        <f aca="false">HYPERLINK("https://mncourtfraud.com/file/MCRO_27-CR-20-20851_Notice of Remote Hearing with Instructions_2022-06-06_20240430090338.pdf","MCRO_27-CR-20-20851_Notice of Remote Hearing with Instructions_2022-06-06_20240430090338.pdf")</f>
        <v>MCRO_27-CR-20-20851_Notice of Remote Hearing with Instructions_2022-06-06_20240430090338.pdf</v>
      </c>
      <c r="C968" s="1" t="n">
        <v>5</v>
      </c>
      <c r="D968" s="1" t="n">
        <v>1</v>
      </c>
      <c r="E968" s="1" t="n">
        <v>1</v>
      </c>
      <c r="F968" s="3" t="s">
        <v>20</v>
      </c>
      <c r="G968" s="3" t="s">
        <v>4030</v>
      </c>
      <c r="H968" s="1" t="s">
        <v>22</v>
      </c>
      <c r="I968" s="1" t="n">
        <v>20240430090338</v>
      </c>
      <c r="J968" s="3" t="s">
        <v>4031</v>
      </c>
      <c r="K968" s="3" t="s">
        <v>4032</v>
      </c>
      <c r="L968" s="3" t="s">
        <v>4033</v>
      </c>
      <c r="M968" s="3" t="n">
        <v>888704</v>
      </c>
      <c r="N968" s="3" t="s">
        <v>854</v>
      </c>
      <c r="O968" s="1" t="n">
        <v>872318</v>
      </c>
      <c r="P968" s="1" t="n">
        <v>98.16</v>
      </c>
      <c r="Q968" s="1" t="s">
        <v>20</v>
      </c>
      <c r="R968" s="1" t="s">
        <v>27</v>
      </c>
      <c r="S968" s="1" t="s">
        <v>28</v>
      </c>
      <c r="T968" s="1" t="s">
        <v>29</v>
      </c>
    </row>
    <row r="969" customFormat="false" ht="18.7" hidden="false" customHeight="true" outlineLevel="0" collapsed="false">
      <c r="A969" s="1" t="n">
        <v>968</v>
      </c>
      <c r="B969" s="6" t="str">
        <f aca="false">HYPERLINK("https://mncourtfraud.com/file/MCRO_27-CR-20-20851_Notice of Remote Hearing with Instructions_2023-07-19_20240430090331.pdf","MCRO_27-CR-20-20851_Notice of Remote Hearing with Instructions_2023-07-19_20240430090331.pdf")</f>
        <v>MCRO_27-CR-20-20851_Notice of Remote Hearing with Instructions_2023-07-19_20240430090331.pdf</v>
      </c>
      <c r="C969" s="1" t="n">
        <v>5</v>
      </c>
      <c r="D969" s="1" t="n">
        <v>1</v>
      </c>
      <c r="E969" s="1" t="n">
        <v>1</v>
      </c>
      <c r="F969" s="3" t="s">
        <v>20</v>
      </c>
      <c r="G969" s="3" t="s">
        <v>4034</v>
      </c>
      <c r="H969" s="1" t="s">
        <v>22</v>
      </c>
      <c r="I969" s="1" t="n">
        <v>20240430090331</v>
      </c>
      <c r="J969" s="3" t="s">
        <v>4035</v>
      </c>
      <c r="K969" s="3" t="s">
        <v>4036</v>
      </c>
      <c r="L969" s="3" t="s">
        <v>4037</v>
      </c>
      <c r="M969" s="3" t="n">
        <v>846139</v>
      </c>
      <c r="N969" s="3" t="s">
        <v>1239</v>
      </c>
      <c r="O969" s="1" t="n">
        <v>829753</v>
      </c>
      <c r="P969" s="1" t="n">
        <v>98.06</v>
      </c>
      <c r="Q969" s="1" t="s">
        <v>20</v>
      </c>
      <c r="R969" s="1" t="s">
        <v>27</v>
      </c>
      <c r="S969" s="1" t="s">
        <v>28</v>
      </c>
      <c r="T969" s="1" t="s">
        <v>29</v>
      </c>
    </row>
    <row r="970" customFormat="false" ht="18.7" hidden="false" customHeight="true" outlineLevel="0" collapsed="false">
      <c r="A970" s="1" t="n">
        <v>969</v>
      </c>
      <c r="B970" s="6" t="str">
        <f aca="false">HYPERLINK("https://mncourtfraud.com/file/MCRO_27-CR-20-20851_Notice of Remote Hearing with Instructions_2023-09-19_20240430090328.pdf","MCRO_27-CR-20-20851_Notice of Remote Hearing with Instructions_2023-09-19_20240430090328.pdf")</f>
        <v>MCRO_27-CR-20-20851_Notice of Remote Hearing with Instructions_2023-09-19_20240430090328.pdf</v>
      </c>
      <c r="C970" s="1" t="n">
        <v>5</v>
      </c>
      <c r="D970" s="1" t="n">
        <v>1</v>
      </c>
      <c r="E970" s="1" t="n">
        <v>1</v>
      </c>
      <c r="F970" s="3" t="s">
        <v>20</v>
      </c>
      <c r="G970" s="3" t="s">
        <v>4038</v>
      </c>
      <c r="H970" s="1" t="s">
        <v>22</v>
      </c>
      <c r="I970" s="1" t="n">
        <v>20240430090328</v>
      </c>
      <c r="J970" s="3" t="s">
        <v>4039</v>
      </c>
      <c r="K970" s="3" t="s">
        <v>4040</v>
      </c>
      <c r="L970" s="3" t="s">
        <v>4041</v>
      </c>
      <c r="M970" s="3" t="n">
        <v>859426</v>
      </c>
      <c r="N970" s="3" t="s">
        <v>1009</v>
      </c>
      <c r="O970" s="1" t="n">
        <v>843040</v>
      </c>
      <c r="P970" s="1" t="n">
        <v>98.09</v>
      </c>
      <c r="Q970" s="1" t="s">
        <v>20</v>
      </c>
      <c r="R970" s="1" t="s">
        <v>27</v>
      </c>
      <c r="S970" s="1" t="s">
        <v>28</v>
      </c>
      <c r="T970" s="1" t="s">
        <v>29</v>
      </c>
    </row>
    <row r="971" customFormat="false" ht="18.7" hidden="false" customHeight="true" outlineLevel="0" collapsed="false">
      <c r="A971" s="1" t="n">
        <v>970</v>
      </c>
      <c r="B971" s="6" t="str">
        <f aca="false">HYPERLINK("https://mncourtfraud.com/file/MCRO_27-CR-20-20851_Notice of Remote Hearing with Instructions_2023-12-12_20240430090324.pdf","MCRO_27-CR-20-20851_Notice of Remote Hearing with Instructions_2023-12-12_20240430090324.pdf")</f>
        <v>MCRO_27-CR-20-20851_Notice of Remote Hearing with Instructions_2023-12-12_20240430090324.pdf</v>
      </c>
      <c r="C971" s="1" t="n">
        <v>5</v>
      </c>
      <c r="D971" s="1" t="n">
        <v>1</v>
      </c>
      <c r="E971" s="1" t="n">
        <v>1</v>
      </c>
      <c r="F971" s="3" t="s">
        <v>20</v>
      </c>
      <c r="G971" s="3" t="s">
        <v>4042</v>
      </c>
      <c r="H971" s="1" t="s">
        <v>22</v>
      </c>
      <c r="I971" s="1" t="n">
        <v>20240430090324</v>
      </c>
      <c r="J971" s="3" t="s">
        <v>4043</v>
      </c>
      <c r="K971" s="3" t="s">
        <v>4044</v>
      </c>
      <c r="L971" s="3" t="s">
        <v>4045</v>
      </c>
      <c r="M971" s="3" t="n">
        <v>855823</v>
      </c>
      <c r="N971" s="3" t="s">
        <v>1248</v>
      </c>
      <c r="O971" s="1" t="n">
        <v>839437</v>
      </c>
      <c r="P971" s="1" t="n">
        <v>98.09</v>
      </c>
      <c r="Q971" s="1" t="s">
        <v>20</v>
      </c>
      <c r="R971" s="1" t="s">
        <v>27</v>
      </c>
      <c r="S971" s="1" t="s">
        <v>28</v>
      </c>
      <c r="T971" s="1" t="s">
        <v>29</v>
      </c>
    </row>
    <row r="972" customFormat="false" ht="18.7" hidden="false" customHeight="true" outlineLevel="0" collapsed="false">
      <c r="A972" s="1" t="n">
        <v>971</v>
      </c>
      <c r="B972" s="6" t="str">
        <f aca="false">HYPERLINK("https://mncourtfraud.com/file/MCRO_27-CR-20-20851_Order-Evaluation for Competency to Proceed (Rule 20.01)_2023-07-18_20240430090332.pdf","MCRO_27-CR-20-20851_Order-Evaluation for Competency to Proceed (Rule 20.01)_2023-07-18_20240430090332.pdf")</f>
        <v>MCRO_27-CR-20-20851_Order-Evaluation for Competency to Proceed (Rule 20.01)_2023-07-18_20240430090332.pdf</v>
      </c>
      <c r="C972" s="1" t="n">
        <v>5</v>
      </c>
      <c r="D972" s="1" t="n">
        <v>1</v>
      </c>
      <c r="E972" s="1" t="n">
        <v>1</v>
      </c>
      <c r="F972" s="3" t="s">
        <v>20</v>
      </c>
      <c r="G972" s="3" t="s">
        <v>4046</v>
      </c>
      <c r="H972" s="1" t="s">
        <v>22</v>
      </c>
      <c r="I972" s="1" t="n">
        <v>20240430090332</v>
      </c>
      <c r="J972" s="3" t="s">
        <v>3983</v>
      </c>
      <c r="K972" s="3" t="s">
        <v>3984</v>
      </c>
      <c r="L972" s="3" t="s">
        <v>4047</v>
      </c>
      <c r="M972" s="3" t="n">
        <v>760684</v>
      </c>
      <c r="N972" s="3" t="s">
        <v>1091</v>
      </c>
      <c r="O972" s="1" t="n">
        <v>744298</v>
      </c>
      <c r="P972" s="1" t="n">
        <v>97.85</v>
      </c>
      <c r="Q972" s="1" t="s">
        <v>20</v>
      </c>
      <c r="R972" s="1" t="s">
        <v>27</v>
      </c>
      <c r="S972" s="1" t="s">
        <v>28</v>
      </c>
      <c r="T972" s="1" t="s">
        <v>29</v>
      </c>
    </row>
    <row r="973" customFormat="false" ht="18.7" hidden="false" customHeight="true" outlineLevel="0" collapsed="false">
      <c r="A973" s="1" t="n">
        <v>972</v>
      </c>
      <c r="B973" s="6" t="str">
        <f aca="false">HYPERLINK("https://mncourtfraud.com/file/MCRO_27-CR-20-20851_Order-Evaluation for Competency to Proceed (Rule 20.01)_2023-10-10_20240430090325.pdf","MCRO_27-CR-20-20851_Order-Evaluation for Competency to Proceed (Rule 20.01)_2023-10-10_20240430090325.pdf")</f>
        <v>MCRO_27-CR-20-20851_Order-Evaluation for Competency to Proceed (Rule 20.01)_2023-10-10_20240430090325.pdf</v>
      </c>
      <c r="C973" s="1" t="n">
        <v>5</v>
      </c>
      <c r="D973" s="1" t="n">
        <v>1</v>
      </c>
      <c r="E973" s="1" t="n">
        <v>1</v>
      </c>
      <c r="F973" s="3" t="s">
        <v>20</v>
      </c>
      <c r="G973" s="3" t="s">
        <v>4048</v>
      </c>
      <c r="H973" s="1" t="s">
        <v>22</v>
      </c>
      <c r="I973" s="1" t="n">
        <v>20240430090325</v>
      </c>
      <c r="J973" s="3" t="s">
        <v>4049</v>
      </c>
      <c r="K973" s="3" t="s">
        <v>4050</v>
      </c>
      <c r="L973" s="3" t="s">
        <v>4051</v>
      </c>
      <c r="M973" s="3" t="n">
        <v>763578</v>
      </c>
      <c r="N973" s="3" t="s">
        <v>1257</v>
      </c>
      <c r="O973" s="1" t="n">
        <v>747192</v>
      </c>
      <c r="P973" s="1" t="n">
        <v>97.85</v>
      </c>
      <c r="Q973" s="1" t="s">
        <v>20</v>
      </c>
      <c r="R973" s="1" t="s">
        <v>27</v>
      </c>
      <c r="S973" s="1" t="s">
        <v>28</v>
      </c>
      <c r="T973" s="1" t="s">
        <v>29</v>
      </c>
    </row>
    <row r="974" customFormat="false" ht="18.7" hidden="false" customHeight="true" outlineLevel="0" collapsed="false">
      <c r="A974" s="1" t="n">
        <v>973</v>
      </c>
      <c r="B974" s="6" t="str">
        <f aca="false">HYPERLINK("https://mncourtfraud.com/file/MCRO_27-CR-20-20851_Order for Conditional Release_2024-02-29_20240430090321.pdf","MCRO_27-CR-20-20851_Order for Conditional Release_2024-02-29_20240430090321.pdf")</f>
        <v>MCRO_27-CR-20-20851_Order for Conditional Release_2024-02-29_20240430090321.pdf</v>
      </c>
      <c r="C974" s="1" t="n">
        <v>4</v>
      </c>
      <c r="D974" s="1" t="n">
        <v>1</v>
      </c>
      <c r="E974" s="1" t="n">
        <v>1</v>
      </c>
      <c r="F974" s="3" t="s">
        <v>20</v>
      </c>
      <c r="G974" s="3" t="s">
        <v>4052</v>
      </c>
      <c r="H974" s="1" t="s">
        <v>22</v>
      </c>
      <c r="I974" s="1" t="n">
        <v>20240430090321</v>
      </c>
      <c r="J974" s="3" t="s">
        <v>4053</v>
      </c>
      <c r="K974" s="3" t="s">
        <v>4054</v>
      </c>
      <c r="L974" s="3" t="s">
        <v>4055</v>
      </c>
      <c r="M974" s="3" t="n">
        <v>799744</v>
      </c>
      <c r="N974" s="3" t="s">
        <v>158</v>
      </c>
      <c r="O974" s="1" t="n">
        <v>783358</v>
      </c>
      <c r="P974" s="1" t="n">
        <v>97.95</v>
      </c>
      <c r="Q974" s="1" t="s">
        <v>20</v>
      </c>
      <c r="R974" s="1" t="s">
        <v>27</v>
      </c>
      <c r="S974" s="1" t="s">
        <v>28</v>
      </c>
      <c r="T974" s="1" t="s">
        <v>29</v>
      </c>
    </row>
    <row r="975" customFormat="false" ht="18.7" hidden="false" customHeight="true" outlineLevel="0" collapsed="false">
      <c r="A975" s="1" t="n">
        <v>974</v>
      </c>
      <c r="B975" s="6" t="str">
        <f aca="false">HYPERLINK("https://mncourtfraud.com/file/MCRO_27-CR-20-20851_Other Document_2022-01-25_20240430090341.pdf","MCRO_27-CR-20-20851_Other Document_2022-01-25_20240430090341.pdf")</f>
        <v>MCRO_27-CR-20-20851_Other Document_2022-01-25_20240430090341.pdf</v>
      </c>
      <c r="C975" s="1" t="n">
        <v>3</v>
      </c>
      <c r="D975" s="1" t="n">
        <v>1</v>
      </c>
      <c r="E975" s="1" t="n">
        <v>1</v>
      </c>
      <c r="F975" s="3" t="s">
        <v>20</v>
      </c>
      <c r="G975" s="3" t="s">
        <v>4056</v>
      </c>
      <c r="H975" s="1" t="s">
        <v>22</v>
      </c>
      <c r="I975" s="1" t="n">
        <v>20240430090341</v>
      </c>
      <c r="J975" s="3" t="s">
        <v>4057</v>
      </c>
      <c r="K975" s="3" t="s">
        <v>4058</v>
      </c>
      <c r="L975" s="3" t="s">
        <v>4059</v>
      </c>
      <c r="M975" s="3" t="n">
        <v>357271</v>
      </c>
      <c r="N975" s="3" t="s">
        <v>1489</v>
      </c>
      <c r="O975" s="1" t="n">
        <v>340885</v>
      </c>
      <c r="P975" s="1" t="n">
        <v>95.41</v>
      </c>
      <c r="Q975" s="1" t="s">
        <v>20</v>
      </c>
      <c r="R975" s="1" t="s">
        <v>27</v>
      </c>
      <c r="S975" s="1" t="s">
        <v>28</v>
      </c>
      <c r="T975" s="1" t="s">
        <v>29</v>
      </c>
    </row>
    <row r="976" customFormat="false" ht="18.7" hidden="false" customHeight="true" outlineLevel="0" collapsed="false">
      <c r="A976" s="1" t="n">
        <v>975</v>
      </c>
      <c r="B976" s="6" t="str">
        <f aca="false">HYPERLINK("https://mncourtfraud.com/file/MCRO_27-CR-20-20851_Prosecutions Recommendation for Bail_2024-02-01_20240430090322.pdf","MCRO_27-CR-20-20851_Prosecutions Recommendation for Bail_2024-02-01_20240430090322.pdf")</f>
        <v>MCRO_27-CR-20-20851_Prosecutions Recommendation for Bail_2024-02-01_20240430090322.pdf</v>
      </c>
      <c r="C976" s="1" t="n">
        <v>3</v>
      </c>
      <c r="D976" s="1" t="n">
        <v>1</v>
      </c>
      <c r="E976" s="1" t="n">
        <v>1</v>
      </c>
      <c r="F976" s="3" t="s">
        <v>20</v>
      </c>
      <c r="G976" s="3" t="s">
        <v>4060</v>
      </c>
      <c r="H976" s="1" t="s">
        <v>22</v>
      </c>
      <c r="I976" s="1" t="n">
        <v>20240430090322</v>
      </c>
      <c r="J976" s="3" t="s">
        <v>4061</v>
      </c>
      <c r="K976" s="3" t="s">
        <v>4062</v>
      </c>
      <c r="L976" s="3" t="s">
        <v>4063</v>
      </c>
      <c r="M976" s="3" t="n">
        <v>129568</v>
      </c>
      <c r="N976" s="3" t="s">
        <v>3103</v>
      </c>
      <c r="O976" s="1" t="n">
        <v>113182</v>
      </c>
      <c r="P976" s="1" t="n">
        <v>87.35</v>
      </c>
      <c r="Q976" s="1" t="s">
        <v>20</v>
      </c>
      <c r="R976" s="1" t="s">
        <v>27</v>
      </c>
      <c r="S976" s="1" t="s">
        <v>28</v>
      </c>
      <c r="T976" s="1" t="s">
        <v>29</v>
      </c>
    </row>
    <row r="977" customFormat="false" ht="18.7" hidden="false" customHeight="true" outlineLevel="0" collapsed="false">
      <c r="A977" s="1" t="n">
        <v>976</v>
      </c>
      <c r="B977" s="6" t="str">
        <f aca="false">HYPERLINK("https://mncourtfraud.com/file/MCRO_27-CR-20-20851_Returned Mail_2021-01-19_20240430090353.pdf","MCRO_27-CR-20-20851_Returned Mail_2021-01-19_20240430090353.pdf")</f>
        <v>MCRO_27-CR-20-20851_Returned Mail_2021-01-19_20240430090353.pdf</v>
      </c>
      <c r="C977" s="1" t="n">
        <v>4</v>
      </c>
      <c r="D977" s="1" t="n">
        <v>1</v>
      </c>
      <c r="E977" s="1" t="n">
        <v>1</v>
      </c>
      <c r="F977" s="3" t="s">
        <v>20</v>
      </c>
      <c r="G977" s="3" t="s">
        <v>4064</v>
      </c>
      <c r="H977" s="1" t="s">
        <v>22</v>
      </c>
      <c r="I977" s="1" t="n">
        <v>20240430090353</v>
      </c>
      <c r="J977" s="3" t="s">
        <v>4065</v>
      </c>
      <c r="K977" s="3" t="s">
        <v>4066</v>
      </c>
      <c r="L977" s="3" t="s">
        <v>4067</v>
      </c>
      <c r="M977" s="3" t="n">
        <v>100785</v>
      </c>
      <c r="N977" s="3" t="s">
        <v>456</v>
      </c>
      <c r="O977" s="1" t="n">
        <v>84399</v>
      </c>
      <c r="P977" s="1" t="n">
        <v>83.74</v>
      </c>
      <c r="Q977" s="1" t="s">
        <v>20</v>
      </c>
      <c r="R977" s="1" t="s">
        <v>27</v>
      </c>
      <c r="S977" s="1" t="s">
        <v>28</v>
      </c>
      <c r="T977" s="1" t="s">
        <v>29</v>
      </c>
    </row>
    <row r="978" customFormat="false" ht="18.7" hidden="false" customHeight="true" outlineLevel="0" collapsed="false">
      <c r="A978" s="1" t="n">
        <v>977</v>
      </c>
      <c r="B978" s="6" t="str">
        <f aca="false">HYPERLINK("https://mncourtfraud.com/file/MCRO_27-CR-20-20851_Returned Mail_2021-03-19_20240430090350.pdf","MCRO_27-CR-20-20851_Returned Mail_2021-03-19_20240430090350.pdf")</f>
        <v>MCRO_27-CR-20-20851_Returned Mail_2021-03-19_20240430090350.pdf</v>
      </c>
      <c r="C978" s="1" t="n">
        <v>4</v>
      </c>
      <c r="D978" s="1" t="n">
        <v>1</v>
      </c>
      <c r="E978" s="1" t="n">
        <v>1</v>
      </c>
      <c r="F978" s="3" t="s">
        <v>20</v>
      </c>
      <c r="G978" s="3" t="s">
        <v>4068</v>
      </c>
      <c r="H978" s="1" t="s">
        <v>22</v>
      </c>
      <c r="I978" s="1" t="n">
        <v>20240430090350</v>
      </c>
      <c r="J978" s="3" t="s">
        <v>4069</v>
      </c>
      <c r="K978" s="3" t="s">
        <v>4070</v>
      </c>
      <c r="L978" s="3" t="s">
        <v>4071</v>
      </c>
      <c r="M978" s="3" t="n">
        <v>226425</v>
      </c>
      <c r="N978" s="3" t="s">
        <v>456</v>
      </c>
      <c r="O978" s="1" t="n">
        <v>210039</v>
      </c>
      <c r="P978" s="1" t="n">
        <v>92.76</v>
      </c>
      <c r="Q978" s="1" t="s">
        <v>20</v>
      </c>
      <c r="R978" s="1" t="s">
        <v>27</v>
      </c>
      <c r="S978" s="1" t="s">
        <v>28</v>
      </c>
      <c r="T978" s="1" t="s">
        <v>29</v>
      </c>
    </row>
    <row r="979" customFormat="false" ht="18.7" hidden="false" customHeight="true" outlineLevel="0" collapsed="false">
      <c r="A979" s="1" t="n">
        <v>978</v>
      </c>
      <c r="B979" s="6" t="str">
        <f aca="false">HYPERLINK("https://mncourtfraud.com/file/MCRO_27-CR-20-20851_Returned Mail_2021-09-08_20240430090348.pdf","MCRO_27-CR-20-20851_Returned Mail_2021-09-08_20240430090348.pdf")</f>
        <v>MCRO_27-CR-20-20851_Returned Mail_2021-09-08_20240430090348.pdf</v>
      </c>
      <c r="C979" s="1" t="n">
        <v>4</v>
      </c>
      <c r="D979" s="1" t="n">
        <v>1</v>
      </c>
      <c r="E979" s="1" t="n">
        <v>1</v>
      </c>
      <c r="F979" s="3" t="s">
        <v>20</v>
      </c>
      <c r="G979" s="3" t="s">
        <v>4072</v>
      </c>
      <c r="H979" s="1" t="s">
        <v>22</v>
      </c>
      <c r="I979" s="1" t="n">
        <v>20240430090348</v>
      </c>
      <c r="J979" s="3" t="s">
        <v>4073</v>
      </c>
      <c r="K979" s="3" t="s">
        <v>4074</v>
      </c>
      <c r="L979" s="3" t="s">
        <v>4075</v>
      </c>
      <c r="M979" s="3" t="n">
        <v>232308</v>
      </c>
      <c r="N979" s="3" t="s">
        <v>456</v>
      </c>
      <c r="O979" s="1" t="n">
        <v>215922</v>
      </c>
      <c r="P979" s="1" t="n">
        <v>92.95</v>
      </c>
      <c r="Q979" s="1" t="s">
        <v>20</v>
      </c>
      <c r="R979" s="1" t="s">
        <v>27</v>
      </c>
      <c r="S979" s="1" t="s">
        <v>28</v>
      </c>
      <c r="T979" s="1" t="s">
        <v>29</v>
      </c>
    </row>
    <row r="980" customFormat="false" ht="18.7" hidden="false" customHeight="true" outlineLevel="0" collapsed="false">
      <c r="A980" s="1" t="n">
        <v>979</v>
      </c>
      <c r="B980" s="6" t="str">
        <f aca="false">HYPERLINK("https://mncourtfraud.com/file/MCRO_27-CR-20-20851_Returned Mail_2021-10-22_20240430090344.pdf","MCRO_27-CR-20-20851_Returned Mail_2021-10-22_20240430090344.pdf")</f>
        <v>MCRO_27-CR-20-20851_Returned Mail_2021-10-22_20240430090344.pdf</v>
      </c>
      <c r="C980" s="1" t="n">
        <v>4</v>
      </c>
      <c r="D980" s="1" t="n">
        <v>1</v>
      </c>
      <c r="E980" s="1" t="n">
        <v>1</v>
      </c>
      <c r="F980" s="3" t="s">
        <v>20</v>
      </c>
      <c r="G980" s="3" t="s">
        <v>4076</v>
      </c>
      <c r="H980" s="1" t="s">
        <v>22</v>
      </c>
      <c r="I980" s="1" t="n">
        <v>20240430090344</v>
      </c>
      <c r="J980" s="3" t="s">
        <v>4077</v>
      </c>
      <c r="K980" s="3" t="s">
        <v>4078</v>
      </c>
      <c r="L980" s="3" t="s">
        <v>4079</v>
      </c>
      <c r="M980" s="3" t="n">
        <v>326186</v>
      </c>
      <c r="N980" s="3" t="s">
        <v>456</v>
      </c>
      <c r="O980" s="1" t="n">
        <v>309800</v>
      </c>
      <c r="P980" s="1" t="n">
        <v>94.98</v>
      </c>
      <c r="Q980" s="1" t="s">
        <v>20</v>
      </c>
      <c r="R980" s="1" t="s">
        <v>27</v>
      </c>
      <c r="S980" s="1" t="s">
        <v>28</v>
      </c>
      <c r="T980" s="1" t="s">
        <v>29</v>
      </c>
    </row>
    <row r="981" customFormat="false" ht="18.7" hidden="false" customHeight="true" outlineLevel="0" collapsed="false">
      <c r="A981" s="1" t="n">
        <v>980</v>
      </c>
      <c r="B981" s="6" t="str">
        <f aca="false">HYPERLINK("https://mncourtfraud.com/file/MCRO_27-CR-20-20851_Returned Mail_2022-01-04_20240430090342.pdf","MCRO_27-CR-20-20851_Returned Mail_2022-01-04_20240430090342.pdf")</f>
        <v>MCRO_27-CR-20-20851_Returned Mail_2022-01-04_20240430090342.pdf</v>
      </c>
      <c r="C981" s="1" t="n">
        <v>4</v>
      </c>
      <c r="D981" s="1" t="n">
        <v>1</v>
      </c>
      <c r="E981" s="1" t="n">
        <v>1</v>
      </c>
      <c r="F981" s="3" t="s">
        <v>20</v>
      </c>
      <c r="G981" s="3" t="s">
        <v>4080</v>
      </c>
      <c r="H981" s="1" t="s">
        <v>22</v>
      </c>
      <c r="I981" s="1" t="n">
        <v>20240430090342</v>
      </c>
      <c r="J981" s="3" t="s">
        <v>4081</v>
      </c>
      <c r="K981" s="3" t="s">
        <v>4082</v>
      </c>
      <c r="L981" s="3" t="s">
        <v>4083</v>
      </c>
      <c r="M981" s="3" t="n">
        <v>309742</v>
      </c>
      <c r="N981" s="3" t="s">
        <v>456</v>
      </c>
      <c r="O981" s="1" t="n">
        <v>293356</v>
      </c>
      <c r="P981" s="1" t="n">
        <v>94.71</v>
      </c>
      <c r="Q981" s="1" t="s">
        <v>20</v>
      </c>
      <c r="R981" s="1" t="s">
        <v>27</v>
      </c>
      <c r="S981" s="1" t="s">
        <v>28</v>
      </c>
      <c r="T981" s="1" t="s">
        <v>29</v>
      </c>
    </row>
    <row r="982" customFormat="false" ht="18.7" hidden="false" customHeight="true" outlineLevel="0" collapsed="false">
      <c r="A982" s="1" t="n">
        <v>981</v>
      </c>
      <c r="B982" s="6" t="str">
        <f aca="false">HYPERLINK("https://mncourtfraud.com/file/MCRO_27-CR-20-20851_Returned Mail_2022-04-14_20240430090339.pdf","MCRO_27-CR-20-20851_Returned Mail_2022-04-14_20240430090339.pdf")</f>
        <v>MCRO_27-CR-20-20851_Returned Mail_2022-04-14_20240430090339.pdf</v>
      </c>
      <c r="C982" s="1" t="n">
        <v>4</v>
      </c>
      <c r="D982" s="1" t="n">
        <v>1</v>
      </c>
      <c r="E982" s="1" t="n">
        <v>1</v>
      </c>
      <c r="F982" s="3" t="s">
        <v>20</v>
      </c>
      <c r="G982" s="3" t="s">
        <v>4084</v>
      </c>
      <c r="H982" s="1" t="s">
        <v>22</v>
      </c>
      <c r="I982" s="1" t="n">
        <v>20240430090339</v>
      </c>
      <c r="J982" s="3" t="s">
        <v>4085</v>
      </c>
      <c r="K982" s="3" t="s">
        <v>4086</v>
      </c>
      <c r="L982" s="3" t="s">
        <v>4087</v>
      </c>
      <c r="M982" s="3" t="n">
        <v>283283</v>
      </c>
      <c r="N982" s="3" t="s">
        <v>456</v>
      </c>
      <c r="O982" s="1" t="n">
        <v>266897</v>
      </c>
      <c r="P982" s="1" t="n">
        <v>94.22</v>
      </c>
      <c r="Q982" s="1" t="s">
        <v>20</v>
      </c>
      <c r="R982" s="1" t="s">
        <v>27</v>
      </c>
      <c r="S982" s="1" t="s">
        <v>28</v>
      </c>
      <c r="T982" s="1" t="s">
        <v>29</v>
      </c>
    </row>
    <row r="983" customFormat="false" ht="18.7" hidden="false" customHeight="true" outlineLevel="0" collapsed="false">
      <c r="A983" s="1" t="n">
        <v>982</v>
      </c>
      <c r="B983" s="6" t="str">
        <f aca="false">HYPERLINK("https://mncourtfraud.com/file/MCRO_27-CR-20-20851_Returned Mail_2023-04-17_20240430090336.pdf","MCRO_27-CR-20-20851_Returned Mail_2023-04-17_20240430090336.pdf")</f>
        <v>MCRO_27-CR-20-20851_Returned Mail_2023-04-17_20240430090336.pdf</v>
      </c>
      <c r="C983" s="1" t="n">
        <v>4</v>
      </c>
      <c r="D983" s="1" t="n">
        <v>1</v>
      </c>
      <c r="E983" s="1" t="n">
        <v>1</v>
      </c>
      <c r="F983" s="3" t="s">
        <v>20</v>
      </c>
      <c r="G983" s="3" t="s">
        <v>4088</v>
      </c>
      <c r="H983" s="1" t="s">
        <v>22</v>
      </c>
      <c r="I983" s="1" t="n">
        <v>20240430090336</v>
      </c>
      <c r="J983" s="3" t="s">
        <v>4089</v>
      </c>
      <c r="K983" s="3" t="s">
        <v>4090</v>
      </c>
      <c r="L983" s="3" t="s">
        <v>1457</v>
      </c>
      <c r="M983" s="3" t="n">
        <v>235084</v>
      </c>
      <c r="N983" s="3" t="s">
        <v>119</v>
      </c>
      <c r="O983" s="1" t="n">
        <v>218698</v>
      </c>
      <c r="P983" s="1" t="n">
        <v>93.03</v>
      </c>
      <c r="Q983" s="1" t="s">
        <v>20</v>
      </c>
      <c r="R983" s="1" t="s">
        <v>27</v>
      </c>
      <c r="S983" s="1" t="s">
        <v>28</v>
      </c>
      <c r="T983" s="1" t="s">
        <v>29</v>
      </c>
    </row>
    <row r="984" customFormat="false" ht="18.7" hidden="false" customHeight="true" outlineLevel="0" collapsed="false">
      <c r="A984" s="1" t="n">
        <v>983</v>
      </c>
      <c r="B984" s="6" t="str">
        <f aca="false">HYPERLINK("https://mncourtfraud.com/file/MCRO_27-CR-20-20851_Returned Mail_2023-09-26_20240430090326.pdf","MCRO_27-CR-20-20851_Returned Mail_2023-09-26_20240430090326.pdf")</f>
        <v>MCRO_27-CR-20-20851_Returned Mail_2023-09-26_20240430090326.pdf</v>
      </c>
      <c r="C984" s="1" t="n">
        <v>4</v>
      </c>
      <c r="D984" s="1" t="n">
        <v>1</v>
      </c>
      <c r="E984" s="1" t="n">
        <v>1</v>
      </c>
      <c r="F984" s="3" t="s">
        <v>20</v>
      </c>
      <c r="G984" s="3" t="s">
        <v>4091</v>
      </c>
      <c r="H984" s="1" t="s">
        <v>22</v>
      </c>
      <c r="I984" s="1" t="n">
        <v>20240430090326</v>
      </c>
      <c r="J984" s="3" t="s">
        <v>4092</v>
      </c>
      <c r="K984" s="3" t="s">
        <v>4093</v>
      </c>
      <c r="L984" s="3" t="s">
        <v>4094</v>
      </c>
      <c r="M984" s="3" t="n">
        <v>263080</v>
      </c>
      <c r="N984" s="3" t="s">
        <v>158</v>
      </c>
      <c r="O984" s="1" t="n">
        <v>246694</v>
      </c>
      <c r="P984" s="1" t="n">
        <v>93.77</v>
      </c>
      <c r="Q984" s="1" t="s">
        <v>20</v>
      </c>
      <c r="R984" s="1" t="s">
        <v>27</v>
      </c>
      <c r="S984" s="1" t="s">
        <v>28</v>
      </c>
      <c r="T984" s="1" t="s">
        <v>29</v>
      </c>
    </row>
    <row r="985" customFormat="false" ht="18.7" hidden="false" customHeight="true" outlineLevel="0" collapsed="false">
      <c r="A985" s="1" t="n">
        <v>984</v>
      </c>
      <c r="B985" s="6" t="str">
        <f aca="false">HYPERLINK("https://mncourtfraud.com/file/MCRO_27-CR-20-20851_Summons_2020-09-29_20240430090356.pdf","MCRO_27-CR-20-20851_Summons_2020-09-29_20240430090356.pdf")</f>
        <v>MCRO_27-CR-20-20851_Summons_2020-09-29_20240430090356.pdf</v>
      </c>
      <c r="C985" s="1" t="n">
        <v>4</v>
      </c>
      <c r="D985" s="1" t="n">
        <v>1</v>
      </c>
      <c r="E985" s="1" t="n">
        <v>1</v>
      </c>
      <c r="F985" s="3" t="s">
        <v>20</v>
      </c>
      <c r="G985" s="3" t="s">
        <v>4095</v>
      </c>
      <c r="H985" s="1" t="s">
        <v>22</v>
      </c>
      <c r="I985" s="1" t="n">
        <v>20240430090356</v>
      </c>
      <c r="J985" s="3" t="s">
        <v>4096</v>
      </c>
      <c r="K985" s="3" t="s">
        <v>4097</v>
      </c>
      <c r="L985" s="3" t="s">
        <v>4098</v>
      </c>
      <c r="M985" s="3" t="n">
        <v>823632</v>
      </c>
      <c r="N985" s="3" t="s">
        <v>4099</v>
      </c>
      <c r="O985" s="1" t="n">
        <v>807246</v>
      </c>
      <c r="P985" s="1" t="n">
        <v>98.01</v>
      </c>
      <c r="Q985" s="1" t="s">
        <v>20</v>
      </c>
      <c r="R985" s="1" t="s">
        <v>27</v>
      </c>
      <c r="S985" s="1" t="s">
        <v>28</v>
      </c>
      <c r="T985" s="1" t="s">
        <v>29</v>
      </c>
    </row>
    <row r="986" customFormat="false" ht="18.7" hidden="false" customHeight="true" outlineLevel="0" collapsed="false">
      <c r="A986" s="1" t="n">
        <v>985</v>
      </c>
      <c r="B986" s="6" t="str">
        <f aca="false">HYPERLINK("https://mncourtfraud.com/file/MCRO_27-CR-20-23239_Amended Order_2020-12-15_20240430090436.pdf","MCRO_27-CR-20-23239_Amended Order_2020-12-15_20240430090436.pdf")</f>
        <v>MCRO_27-CR-20-23239_Amended Order_2020-12-15_20240430090436.pdf</v>
      </c>
      <c r="C986" s="1" t="n">
        <v>3</v>
      </c>
      <c r="D986" s="1" t="n">
        <v>1</v>
      </c>
      <c r="E986" s="1" t="n">
        <v>1</v>
      </c>
      <c r="F986" s="3" t="s">
        <v>20</v>
      </c>
      <c r="G986" s="3" t="s">
        <v>4100</v>
      </c>
      <c r="H986" s="1" t="s">
        <v>22</v>
      </c>
      <c r="I986" s="1" t="n">
        <v>20240430090436</v>
      </c>
      <c r="J986" s="3" t="s">
        <v>4101</v>
      </c>
      <c r="K986" s="3" t="s">
        <v>4102</v>
      </c>
      <c r="L986" s="3" t="s">
        <v>4103</v>
      </c>
      <c r="M986" s="3" t="n">
        <v>637899</v>
      </c>
      <c r="N986" s="3" t="s">
        <v>2459</v>
      </c>
      <c r="O986" s="1" t="n">
        <v>621513</v>
      </c>
      <c r="P986" s="1" t="n">
        <v>97.43</v>
      </c>
      <c r="Q986" s="1" t="s">
        <v>20</v>
      </c>
      <c r="R986" s="1" t="s">
        <v>27</v>
      </c>
      <c r="S986" s="1" t="s">
        <v>28</v>
      </c>
      <c r="T986" s="1" t="s">
        <v>29</v>
      </c>
    </row>
    <row r="987" customFormat="false" ht="18.7" hidden="false" customHeight="true" outlineLevel="0" collapsed="false">
      <c r="A987" s="1" t="n">
        <v>986</v>
      </c>
      <c r="B987" s="6" t="str">
        <f aca="false">HYPERLINK("https://mncourtfraud.com/file/MCRO_27-CR-20-23239_E-filed Comp-Warrant_2020-10-30_20240430090442.pdf","MCRO_27-CR-20-23239_E-filed Comp-Warrant_2020-10-30_20240430090442.pdf")</f>
        <v>MCRO_27-CR-20-23239_E-filed Comp-Warrant_2020-10-30_20240430090442.pdf</v>
      </c>
      <c r="C987" s="1" t="n">
        <v>4</v>
      </c>
      <c r="D987" s="1" t="n">
        <v>2</v>
      </c>
      <c r="E987" s="1" t="n">
        <v>2</v>
      </c>
      <c r="F987" s="3" t="s">
        <v>20</v>
      </c>
      <c r="G987" s="3" t="s">
        <v>4104</v>
      </c>
      <c r="H987" s="1" t="s">
        <v>22</v>
      </c>
      <c r="I987" s="1" t="n">
        <v>20240430090442</v>
      </c>
      <c r="J987" s="3" t="s">
        <v>4105</v>
      </c>
      <c r="K987" s="3" t="s">
        <v>4106</v>
      </c>
      <c r="L987" s="3" t="s">
        <v>4107</v>
      </c>
      <c r="M987" s="3" t="n">
        <v>546610</v>
      </c>
      <c r="N987" s="3" t="s">
        <v>4108</v>
      </c>
      <c r="O987" s="1" t="n">
        <v>530224</v>
      </c>
      <c r="P987" s="1" t="n">
        <v>97</v>
      </c>
      <c r="Q987" s="1" t="s">
        <v>20</v>
      </c>
      <c r="R987" s="1" t="s">
        <v>27</v>
      </c>
      <c r="S987" s="1" t="s">
        <v>28</v>
      </c>
      <c r="T987" s="1" t="s">
        <v>29</v>
      </c>
    </row>
    <row r="988" customFormat="false" ht="18.7" hidden="false" customHeight="true" outlineLevel="0" collapsed="false">
      <c r="A988" s="1" t="n">
        <v>987</v>
      </c>
      <c r="B988" s="6" t="str">
        <f aca="false">HYPERLINK("https://mncourtfraud.com/file/MCRO_27-CR-20-23239_Findings and Order_2020-12-15_20240430090437.pdf","MCRO_27-CR-20-23239_Findings and Order_2020-12-15_20240430090437.pdf")</f>
        <v>MCRO_27-CR-20-23239_Findings and Order_2020-12-15_20240430090437.pdf</v>
      </c>
      <c r="C988" s="1" t="n">
        <v>5</v>
      </c>
      <c r="D988" s="1" t="n">
        <v>1</v>
      </c>
      <c r="E988" s="1" t="n">
        <v>1</v>
      </c>
      <c r="F988" s="3" t="s">
        <v>20</v>
      </c>
      <c r="G988" s="3" t="s">
        <v>4109</v>
      </c>
      <c r="H988" s="1" t="s">
        <v>22</v>
      </c>
      <c r="I988" s="1" t="n">
        <v>20240430090437</v>
      </c>
      <c r="J988" s="3" t="s">
        <v>4110</v>
      </c>
      <c r="K988" s="3" t="s">
        <v>4111</v>
      </c>
      <c r="L988" s="3" t="s">
        <v>4112</v>
      </c>
      <c r="M988" s="3" t="n">
        <v>236994</v>
      </c>
      <c r="N988" s="3" t="s">
        <v>167</v>
      </c>
      <c r="O988" s="1" t="n">
        <v>220608</v>
      </c>
      <c r="P988" s="1" t="n">
        <v>93.09</v>
      </c>
      <c r="Q988" s="1" t="s">
        <v>20</v>
      </c>
      <c r="R988" s="1" t="s">
        <v>27</v>
      </c>
      <c r="S988" s="1" t="s">
        <v>28</v>
      </c>
      <c r="T988" s="1" t="s">
        <v>29</v>
      </c>
    </row>
    <row r="989" customFormat="false" ht="18.7" hidden="false" customHeight="true" outlineLevel="0" collapsed="false">
      <c r="A989" s="1" t="n">
        <v>988</v>
      </c>
      <c r="B989" s="6" t="str">
        <f aca="false">HYPERLINK("https://mncourtfraud.com/file/MCRO_27-CR-20-23239_Findings and Order_2021-09-21_20240430090431.pdf","MCRO_27-CR-20-23239_Findings and Order_2021-09-21_20240430090431.pdf")</f>
        <v>MCRO_27-CR-20-23239_Findings and Order_2021-09-21_20240430090431.pdf</v>
      </c>
      <c r="C989" s="1" t="n">
        <v>5</v>
      </c>
      <c r="D989" s="1" t="n">
        <v>1</v>
      </c>
      <c r="E989" s="1" t="n">
        <v>1</v>
      </c>
      <c r="F989" s="3" t="s">
        <v>20</v>
      </c>
      <c r="G989" s="3" t="s">
        <v>4113</v>
      </c>
      <c r="H989" s="1" t="s">
        <v>22</v>
      </c>
      <c r="I989" s="1" t="n">
        <v>20240430090431</v>
      </c>
      <c r="J989" s="3" t="s">
        <v>4114</v>
      </c>
      <c r="K989" s="3" t="s">
        <v>4115</v>
      </c>
      <c r="L989" s="3" t="s">
        <v>4116</v>
      </c>
      <c r="M989" s="3" t="n">
        <v>272142</v>
      </c>
      <c r="N989" s="3" t="s">
        <v>4117</v>
      </c>
      <c r="O989" s="1" t="n">
        <v>255756</v>
      </c>
      <c r="P989" s="1" t="n">
        <v>93.98</v>
      </c>
      <c r="Q989" s="1" t="s">
        <v>20</v>
      </c>
      <c r="R989" s="1" t="s">
        <v>27</v>
      </c>
      <c r="S989" s="1" t="s">
        <v>28</v>
      </c>
      <c r="T989" s="1" t="s">
        <v>29</v>
      </c>
    </row>
    <row r="990" customFormat="false" ht="18.7" hidden="false" customHeight="true" outlineLevel="0" collapsed="false">
      <c r="A990" s="1" t="n">
        <v>989</v>
      </c>
      <c r="B990" s="6" t="str">
        <f aca="false">HYPERLINK("https://mncourtfraud.com/file/MCRO_27-CR-20-23239_Findings and Order_2022-05-03_20240430090426.pdf","MCRO_27-CR-20-23239_Findings and Order_2022-05-03_20240430090426.pdf")</f>
        <v>MCRO_27-CR-20-23239_Findings and Order_2022-05-03_20240430090426.pdf</v>
      </c>
      <c r="C990" s="1" t="n">
        <v>4</v>
      </c>
      <c r="D990" s="1" t="n">
        <v>2</v>
      </c>
      <c r="E990" s="1" t="n">
        <v>2</v>
      </c>
      <c r="F990" s="3" t="s">
        <v>20</v>
      </c>
      <c r="G990" s="3" t="s">
        <v>4118</v>
      </c>
      <c r="H990" s="1" t="s">
        <v>22</v>
      </c>
      <c r="I990" s="1" t="n">
        <v>20240430090426</v>
      </c>
      <c r="J990" s="3" t="s">
        <v>4119</v>
      </c>
      <c r="K990" s="3" t="s">
        <v>4120</v>
      </c>
      <c r="L990" s="3" t="s">
        <v>4121</v>
      </c>
      <c r="M990" s="3" t="n">
        <v>339785</v>
      </c>
      <c r="N990" s="3" t="s">
        <v>4122</v>
      </c>
      <c r="O990" s="1" t="n">
        <v>323399</v>
      </c>
      <c r="P990" s="1" t="n">
        <v>95.18</v>
      </c>
      <c r="Q990" s="1" t="s">
        <v>20</v>
      </c>
      <c r="R990" s="1" t="s">
        <v>27</v>
      </c>
      <c r="S990" s="1" t="s">
        <v>28</v>
      </c>
      <c r="T990" s="1" t="s">
        <v>29</v>
      </c>
    </row>
    <row r="991" customFormat="false" ht="18.7" hidden="false" customHeight="true" outlineLevel="0" collapsed="false">
      <c r="A991" s="1" t="n">
        <v>990</v>
      </c>
      <c r="B991" s="6" t="str">
        <f aca="false">HYPERLINK("https://mncourtfraud.com/file/MCRO_27-CR-20-23239_Notice of Hearing_2020-12-16_20240430090435.pdf","MCRO_27-CR-20-23239_Notice of Hearing_2020-12-16_20240430090435.pdf")</f>
        <v>MCRO_27-CR-20-23239_Notice of Hearing_2020-12-16_20240430090435.pdf</v>
      </c>
      <c r="C991" s="1" t="n">
        <v>4</v>
      </c>
      <c r="D991" s="1" t="n">
        <v>1</v>
      </c>
      <c r="E991" s="1" t="n">
        <v>1</v>
      </c>
      <c r="F991" s="3" t="s">
        <v>20</v>
      </c>
      <c r="G991" s="3" t="s">
        <v>4123</v>
      </c>
      <c r="H991" s="1" t="s">
        <v>22</v>
      </c>
      <c r="I991" s="1" t="n">
        <v>20240430090435</v>
      </c>
      <c r="J991" s="3" t="s">
        <v>4124</v>
      </c>
      <c r="K991" s="3" t="s">
        <v>4125</v>
      </c>
      <c r="L991" s="3" t="s">
        <v>4126</v>
      </c>
      <c r="M991" s="3" t="n">
        <v>96060</v>
      </c>
      <c r="N991" s="3" t="s">
        <v>456</v>
      </c>
      <c r="O991" s="1" t="n">
        <v>79674</v>
      </c>
      <c r="P991" s="1" t="n">
        <v>82.94</v>
      </c>
      <c r="Q991" s="1" t="s">
        <v>20</v>
      </c>
      <c r="R991" s="1" t="s">
        <v>27</v>
      </c>
      <c r="S991" s="1" t="s">
        <v>28</v>
      </c>
      <c r="T991" s="1" t="s">
        <v>29</v>
      </c>
    </row>
    <row r="992" customFormat="false" ht="18.7" hidden="false" customHeight="true" outlineLevel="0" collapsed="false">
      <c r="A992" s="1" t="n">
        <v>991</v>
      </c>
      <c r="B992" s="6" t="str">
        <f aca="false">HYPERLINK("https://mncourtfraud.com/file/MCRO_27-CR-20-23239_Notice of Intent to Prosecute_2023-04-21_20240430090423.pdf","MCRO_27-CR-20-23239_Notice of Intent to Prosecute_2023-04-21_20240430090423.pdf")</f>
        <v>MCRO_27-CR-20-23239_Notice of Intent to Prosecute_2023-04-21_20240430090423.pdf</v>
      </c>
      <c r="C992" s="1" t="n">
        <v>3</v>
      </c>
      <c r="D992" s="1" t="n">
        <v>1</v>
      </c>
      <c r="E992" s="1" t="n">
        <v>1</v>
      </c>
      <c r="F992" s="3" t="s">
        <v>20</v>
      </c>
      <c r="G992" s="3" t="s">
        <v>4127</v>
      </c>
      <c r="H992" s="1" t="s">
        <v>22</v>
      </c>
      <c r="I992" s="1" t="n">
        <v>20240430090423</v>
      </c>
      <c r="J992" s="3" t="s">
        <v>4128</v>
      </c>
      <c r="K992" s="3" t="s">
        <v>4129</v>
      </c>
      <c r="L992" s="3" t="s">
        <v>4130</v>
      </c>
      <c r="M992" s="3" t="n">
        <v>118992</v>
      </c>
      <c r="N992" s="3" t="s">
        <v>736</v>
      </c>
      <c r="O992" s="1" t="n">
        <v>102606</v>
      </c>
      <c r="P992" s="1" t="n">
        <v>86.23</v>
      </c>
      <c r="Q992" s="1" t="s">
        <v>20</v>
      </c>
      <c r="R992" s="1" t="s">
        <v>27</v>
      </c>
      <c r="S992" s="1" t="s">
        <v>28</v>
      </c>
      <c r="T992" s="1" t="s">
        <v>29</v>
      </c>
    </row>
    <row r="993" customFormat="false" ht="18.7" hidden="false" customHeight="true" outlineLevel="0" collapsed="false">
      <c r="A993" s="1" t="n">
        <v>992</v>
      </c>
      <c r="B993" s="6" t="str">
        <f aca="false">HYPERLINK("https://mncourtfraud.com/file/MCRO_27-CR-20-23239_Notice of Remote Hearing with Instructions_2020-12-07_20240430090438.pdf","MCRO_27-CR-20-23239_Notice of Remote Hearing with Instructions_2020-12-07_20240430090438.pdf")</f>
        <v>MCRO_27-CR-20-23239_Notice of Remote Hearing with Instructions_2020-12-07_20240430090438.pdf</v>
      </c>
      <c r="C993" s="1" t="n">
        <v>4</v>
      </c>
      <c r="D993" s="1" t="n">
        <v>1</v>
      </c>
      <c r="E993" s="1" t="n">
        <v>1</v>
      </c>
      <c r="F993" s="3" t="s">
        <v>20</v>
      </c>
      <c r="G993" s="3" t="s">
        <v>4131</v>
      </c>
      <c r="H993" s="1" t="s">
        <v>22</v>
      </c>
      <c r="I993" s="1" t="n">
        <v>20240430090438</v>
      </c>
      <c r="J993" s="3" t="s">
        <v>4132</v>
      </c>
      <c r="K993" s="3" t="s">
        <v>4133</v>
      </c>
      <c r="L993" s="3" t="s">
        <v>4134</v>
      </c>
      <c r="M993" s="3" t="n">
        <v>717215</v>
      </c>
      <c r="N993" s="3" t="s">
        <v>1086</v>
      </c>
      <c r="O993" s="1" t="n">
        <v>700829</v>
      </c>
      <c r="P993" s="1" t="n">
        <v>97.72</v>
      </c>
      <c r="Q993" s="1" t="s">
        <v>20</v>
      </c>
      <c r="R993" s="1" t="s">
        <v>27</v>
      </c>
      <c r="S993" s="1" t="s">
        <v>28</v>
      </c>
      <c r="T993" s="1" t="s">
        <v>29</v>
      </c>
    </row>
    <row r="994" customFormat="false" ht="18.7" hidden="false" customHeight="true" outlineLevel="0" collapsed="false">
      <c r="A994" s="1" t="n">
        <v>993</v>
      </c>
      <c r="B994" s="6" t="str">
        <f aca="false">HYPERLINK("https://mncourtfraud.com/file/MCRO_27-CR-20-23239_Notice of Remote Hearing with Instructions_2021-06-16_20240430090433.pdf","MCRO_27-CR-20-23239_Notice of Remote Hearing with Instructions_2021-06-16_20240430090433.pdf")</f>
        <v>MCRO_27-CR-20-23239_Notice of Remote Hearing with Instructions_2021-06-16_20240430090433.pdf</v>
      </c>
      <c r="C994" s="1" t="n">
        <v>4</v>
      </c>
      <c r="D994" s="1" t="n">
        <v>1</v>
      </c>
      <c r="E994" s="1" t="n">
        <v>1</v>
      </c>
      <c r="F994" s="3" t="s">
        <v>20</v>
      </c>
      <c r="G994" s="3" t="s">
        <v>4135</v>
      </c>
      <c r="H994" s="1" t="s">
        <v>22</v>
      </c>
      <c r="I994" s="1" t="n">
        <v>20240430090433</v>
      </c>
      <c r="J994" s="3" t="s">
        <v>4136</v>
      </c>
      <c r="K994" s="3" t="s">
        <v>4137</v>
      </c>
      <c r="L994" s="3" t="s">
        <v>4138</v>
      </c>
      <c r="M994" s="3" t="n">
        <v>159940</v>
      </c>
      <c r="N994" s="3" t="s">
        <v>3801</v>
      </c>
      <c r="O994" s="1" t="n">
        <v>143554</v>
      </c>
      <c r="P994" s="1" t="n">
        <v>89.75</v>
      </c>
      <c r="Q994" s="1" t="s">
        <v>20</v>
      </c>
      <c r="R994" s="1" t="s">
        <v>27</v>
      </c>
      <c r="S994" s="1" t="s">
        <v>28</v>
      </c>
      <c r="T994" s="1" t="s">
        <v>29</v>
      </c>
    </row>
    <row r="995" customFormat="false" ht="18.7" hidden="false" customHeight="true" outlineLevel="0" collapsed="false">
      <c r="A995" s="1" t="n">
        <v>994</v>
      </c>
      <c r="B995" s="6" t="str">
        <f aca="false">HYPERLINK("https://mncourtfraud.com/file/MCRO_27-CR-20-23239_Notice of Remote Hearing with Instructions_2024-01-31_20240430090420.pdf","MCRO_27-CR-20-23239_Notice of Remote Hearing with Instructions_2024-01-31_20240430090420.pdf")</f>
        <v>MCRO_27-CR-20-23239_Notice of Remote Hearing with Instructions_2024-01-31_20240430090420.pdf</v>
      </c>
      <c r="C995" s="1" t="n">
        <v>4</v>
      </c>
      <c r="D995" s="1" t="n">
        <v>1</v>
      </c>
      <c r="E995" s="1" t="n">
        <v>1</v>
      </c>
      <c r="F995" s="3" t="s">
        <v>20</v>
      </c>
      <c r="G995" s="3" t="s">
        <v>4139</v>
      </c>
      <c r="H995" s="1" t="s">
        <v>22</v>
      </c>
      <c r="I995" s="1" t="n">
        <v>20240430090420</v>
      </c>
      <c r="J995" s="3" t="s">
        <v>4140</v>
      </c>
      <c r="K995" s="3" t="s">
        <v>4141</v>
      </c>
      <c r="L995" s="3" t="s">
        <v>4142</v>
      </c>
      <c r="M995" s="3" t="n">
        <v>846827</v>
      </c>
      <c r="N995" s="3" t="s">
        <v>1128</v>
      </c>
      <c r="O995" s="1" t="n">
        <v>830441</v>
      </c>
      <c r="P995" s="1" t="n">
        <v>98.07</v>
      </c>
      <c r="Q995" s="1" t="s">
        <v>20</v>
      </c>
      <c r="R995" s="1" t="s">
        <v>27</v>
      </c>
      <c r="S995" s="1" t="s">
        <v>28</v>
      </c>
      <c r="T995" s="1" t="s">
        <v>29</v>
      </c>
    </row>
    <row r="996" customFormat="false" ht="18.7" hidden="false" customHeight="true" outlineLevel="0" collapsed="false">
      <c r="A996" s="1" t="n">
        <v>995</v>
      </c>
      <c r="B996" s="6" t="str">
        <f aca="false">HYPERLINK("https://mncourtfraud.com/file/MCRO_27-CR-20-23239_Notice of Remote Hearing with Instructions_2024-04-02_20240430090419.pdf","MCRO_27-CR-20-23239_Notice of Remote Hearing with Instructions_2024-04-02_20240430090419.pdf")</f>
        <v>MCRO_27-CR-20-23239_Notice of Remote Hearing with Instructions_2024-04-02_20240430090419.pdf</v>
      </c>
      <c r="C996" s="1" t="n">
        <v>4</v>
      </c>
      <c r="D996" s="1" t="n">
        <v>1</v>
      </c>
      <c r="E996" s="1" t="n">
        <v>1</v>
      </c>
      <c r="F996" s="3" t="s">
        <v>20</v>
      </c>
      <c r="G996" s="3" t="s">
        <v>4143</v>
      </c>
      <c r="H996" s="1" t="s">
        <v>22</v>
      </c>
      <c r="I996" s="1" t="n">
        <v>20240430090419</v>
      </c>
      <c r="J996" s="3" t="s">
        <v>4144</v>
      </c>
      <c r="K996" s="3" t="s">
        <v>4145</v>
      </c>
      <c r="L996" s="3" t="s">
        <v>4146</v>
      </c>
      <c r="M996" s="3" t="n">
        <v>255752</v>
      </c>
      <c r="N996" s="3" t="s">
        <v>74</v>
      </c>
      <c r="O996" s="1" t="n">
        <v>239366</v>
      </c>
      <c r="P996" s="1" t="n">
        <v>93.59</v>
      </c>
      <c r="Q996" s="1" t="s">
        <v>20</v>
      </c>
      <c r="R996" s="1" t="s">
        <v>27</v>
      </c>
      <c r="S996" s="1" t="s">
        <v>28</v>
      </c>
      <c r="T996" s="1" t="s">
        <v>29</v>
      </c>
    </row>
    <row r="997" customFormat="false" ht="18.7" hidden="false" customHeight="true" outlineLevel="0" collapsed="false">
      <c r="A997" s="1" t="n">
        <v>996</v>
      </c>
      <c r="B997" s="6" t="str">
        <f aca="false">HYPERLINK("https://mncourtfraud.com/file/MCRO_27-CR-20-23239_Order-Evaluation for Competency to Proceed (Rule 20.01)_2020-11-02_20240430090441.pdf","MCRO_27-CR-20-23239_Order-Evaluation for Competency to Proceed (Rule 20.01)_2020-11-02_20240430090441.pdf")</f>
        <v>MCRO_27-CR-20-23239_Order-Evaluation for Competency to Proceed (Rule 20.01)_2020-11-02_20240430090441.pdf</v>
      </c>
      <c r="C997" s="1" t="n">
        <v>4</v>
      </c>
      <c r="D997" s="1" t="n">
        <v>1</v>
      </c>
      <c r="E997" s="1" t="n">
        <v>1</v>
      </c>
      <c r="F997" s="3" t="s">
        <v>20</v>
      </c>
      <c r="G997" s="3" t="s">
        <v>4147</v>
      </c>
      <c r="H997" s="1" t="s">
        <v>22</v>
      </c>
      <c r="I997" s="1" t="n">
        <v>20240430090441</v>
      </c>
      <c r="J997" s="3" t="s">
        <v>4148</v>
      </c>
      <c r="K997" s="3" t="s">
        <v>4149</v>
      </c>
      <c r="L997" s="3" t="s">
        <v>4150</v>
      </c>
      <c r="M997" s="3" t="n">
        <v>178989</v>
      </c>
      <c r="N997" s="3" t="s">
        <v>1128</v>
      </c>
      <c r="O997" s="1" t="n">
        <v>162603</v>
      </c>
      <c r="P997" s="1" t="n">
        <v>90.85</v>
      </c>
      <c r="Q997" s="1" t="s">
        <v>20</v>
      </c>
      <c r="R997" s="1" t="s">
        <v>27</v>
      </c>
      <c r="S997" s="1" t="s">
        <v>28</v>
      </c>
      <c r="T997" s="1" t="s">
        <v>29</v>
      </c>
    </row>
    <row r="998" customFormat="false" ht="18.7" hidden="false" customHeight="true" outlineLevel="0" collapsed="false">
      <c r="A998" s="1" t="n">
        <v>997</v>
      </c>
      <c r="B998" s="6" t="str">
        <f aca="false">HYPERLINK("https://mncourtfraud.com/file/MCRO_27-CR-20-23239_Order-Evaluation for Competency to Proceed (Rule 20.01)_2021-04-07_20240430090434.pdf","MCRO_27-CR-20-23239_Order-Evaluation for Competency to Proceed (Rule 20.01)_2021-04-07_20240430090434.pdf")</f>
        <v>MCRO_27-CR-20-23239_Order-Evaluation for Competency to Proceed (Rule 20.01)_2021-04-07_20240430090434.pdf</v>
      </c>
      <c r="C998" s="1" t="n">
        <v>3</v>
      </c>
      <c r="D998" s="1" t="n">
        <v>1</v>
      </c>
      <c r="E998" s="1" t="n">
        <v>1</v>
      </c>
      <c r="F998" s="3" t="s">
        <v>20</v>
      </c>
      <c r="G998" s="3" t="s">
        <v>4151</v>
      </c>
      <c r="H998" s="1" t="s">
        <v>22</v>
      </c>
      <c r="I998" s="1" t="n">
        <v>20240430090434</v>
      </c>
      <c r="J998" s="3" t="s">
        <v>4152</v>
      </c>
      <c r="K998" s="3" t="s">
        <v>4153</v>
      </c>
      <c r="L998" s="3" t="s">
        <v>4154</v>
      </c>
      <c r="M998" s="3" t="n">
        <v>453069</v>
      </c>
      <c r="N998" s="3" t="s">
        <v>796</v>
      </c>
      <c r="O998" s="1" t="n">
        <v>436683</v>
      </c>
      <c r="P998" s="1" t="n">
        <v>96.38</v>
      </c>
      <c r="Q998" s="1" t="s">
        <v>20</v>
      </c>
      <c r="R998" s="1" t="s">
        <v>27</v>
      </c>
      <c r="S998" s="1" t="s">
        <v>28</v>
      </c>
      <c r="T998" s="1" t="s">
        <v>29</v>
      </c>
    </row>
    <row r="999" customFormat="false" ht="18.7" hidden="false" customHeight="true" outlineLevel="0" collapsed="false">
      <c r="A999" s="1" t="n">
        <v>998</v>
      </c>
      <c r="B999" s="6" t="str">
        <f aca="false">HYPERLINK("https://mncourtfraud.com/file/MCRO_27-CR-20-23239_Order-Evaluation for Competency to Proceed (Rule 20.01)_2021-08-17_20240430090432.pdf","MCRO_27-CR-20-23239_Order-Evaluation for Competency to Proceed (Rule 20.01)_2021-08-17_20240430090432.pdf")</f>
        <v>MCRO_27-CR-20-23239_Order-Evaluation for Competency to Proceed (Rule 20.01)_2021-08-17_20240430090432.pdf</v>
      </c>
      <c r="C999" s="1" t="n">
        <v>4</v>
      </c>
      <c r="D999" s="1" t="n">
        <v>1</v>
      </c>
      <c r="E999" s="1" t="n">
        <v>1</v>
      </c>
      <c r="F999" s="3" t="s">
        <v>20</v>
      </c>
      <c r="G999" s="3" t="s">
        <v>4155</v>
      </c>
      <c r="H999" s="1" t="s">
        <v>22</v>
      </c>
      <c r="I999" s="1" t="n">
        <v>20240430090432</v>
      </c>
      <c r="J999" s="3" t="s">
        <v>4156</v>
      </c>
      <c r="K999" s="3" t="s">
        <v>4157</v>
      </c>
      <c r="L999" s="3" t="s">
        <v>4158</v>
      </c>
      <c r="M999" s="3" t="n">
        <v>178632</v>
      </c>
      <c r="N999" s="3" t="s">
        <v>1065</v>
      </c>
      <c r="O999" s="1" t="n">
        <v>162246</v>
      </c>
      <c r="P999" s="1" t="n">
        <v>90.83</v>
      </c>
      <c r="Q999" s="1" t="s">
        <v>20</v>
      </c>
      <c r="R999" s="1" t="s">
        <v>27</v>
      </c>
      <c r="S999" s="1" t="s">
        <v>28</v>
      </c>
      <c r="T999" s="1" t="s">
        <v>29</v>
      </c>
    </row>
    <row r="1000" customFormat="false" ht="18.7" hidden="false" customHeight="true" outlineLevel="0" collapsed="false">
      <c r="A1000" s="1" t="n">
        <v>999</v>
      </c>
      <c r="B1000" s="6" t="str">
        <f aca="false">HYPERLINK("https://mncourtfraud.com/file/MCRO_27-CR-20-23239_Order-Evaluation for Competency to Proceed (Rule 20.01)_2022-01-12_20240430090428.pdf","MCRO_27-CR-20-23239_Order-Evaluation for Competency to Proceed (Rule 20.01)_2022-01-12_20240430090428.pdf")</f>
        <v>MCRO_27-CR-20-23239_Order-Evaluation for Competency to Proceed (Rule 20.01)_2022-01-12_20240430090428.pdf</v>
      </c>
      <c r="C1000" s="1" t="n">
        <v>3</v>
      </c>
      <c r="D1000" s="1" t="n">
        <v>1</v>
      </c>
      <c r="E1000" s="1" t="n">
        <v>1</v>
      </c>
      <c r="F1000" s="3" t="s">
        <v>20</v>
      </c>
      <c r="G1000" s="3" t="s">
        <v>4159</v>
      </c>
      <c r="H1000" s="1" t="s">
        <v>22</v>
      </c>
      <c r="I1000" s="1" t="n">
        <v>20240430090428</v>
      </c>
      <c r="J1000" s="3" t="s">
        <v>4160</v>
      </c>
      <c r="K1000" s="3" t="s">
        <v>4161</v>
      </c>
      <c r="L1000" s="3" t="s">
        <v>4162</v>
      </c>
      <c r="M1000" s="3" t="n">
        <v>256751</v>
      </c>
      <c r="N1000" s="3" t="s">
        <v>791</v>
      </c>
      <c r="O1000" s="1" t="n">
        <v>240365</v>
      </c>
      <c r="P1000" s="1" t="n">
        <v>93.62</v>
      </c>
      <c r="Q1000" s="1" t="s">
        <v>20</v>
      </c>
      <c r="R1000" s="1" t="s">
        <v>27</v>
      </c>
      <c r="S1000" s="1" t="s">
        <v>28</v>
      </c>
      <c r="T1000" s="1" t="s">
        <v>29</v>
      </c>
    </row>
    <row r="1001" customFormat="false" ht="18.7" hidden="false" customHeight="true" outlineLevel="0" collapsed="false">
      <c r="A1001" s="1" t="n">
        <v>1000</v>
      </c>
      <c r="B1001" s="6" t="str">
        <f aca="false">HYPERLINK("https://mncourtfraud.com/file/MCRO_27-CR-20-23239_Order-Evaluation for Competency to Proceed (Rule 20.01)_2022-03-22_20240430090427.pdf","MCRO_27-CR-20-23239_Order-Evaluation for Competency to Proceed (Rule 20.01)_2022-03-22_20240430090427.pdf")</f>
        <v>MCRO_27-CR-20-23239_Order-Evaluation for Competency to Proceed (Rule 20.01)_2022-03-22_20240430090427.pdf</v>
      </c>
      <c r="C1001" s="1" t="n">
        <v>3</v>
      </c>
      <c r="D1001" s="1" t="n">
        <v>1</v>
      </c>
      <c r="E1001" s="1" t="n">
        <v>1</v>
      </c>
      <c r="F1001" s="3" t="s">
        <v>20</v>
      </c>
      <c r="G1001" s="3" t="s">
        <v>4163</v>
      </c>
      <c r="H1001" s="1" t="s">
        <v>22</v>
      </c>
      <c r="I1001" s="1" t="n">
        <v>20240430090427</v>
      </c>
      <c r="J1001" s="3" t="s">
        <v>4164</v>
      </c>
      <c r="K1001" s="3" t="s">
        <v>4165</v>
      </c>
      <c r="L1001" s="3" t="s">
        <v>4166</v>
      </c>
      <c r="M1001" s="3" t="n">
        <v>282829</v>
      </c>
      <c r="N1001" s="3" t="s">
        <v>3822</v>
      </c>
      <c r="O1001" s="1" t="n">
        <v>266443</v>
      </c>
      <c r="P1001" s="1" t="n">
        <v>94.21</v>
      </c>
      <c r="Q1001" s="1" t="s">
        <v>20</v>
      </c>
      <c r="R1001" s="1" t="s">
        <v>27</v>
      </c>
      <c r="S1001" s="1" t="s">
        <v>28</v>
      </c>
      <c r="T1001" s="1" t="s">
        <v>29</v>
      </c>
    </row>
    <row r="1002" customFormat="false" ht="18.7" hidden="false" customHeight="true" outlineLevel="0" collapsed="false">
      <c r="A1002" s="1" t="n">
        <v>1001</v>
      </c>
      <c r="B1002" s="6" t="str">
        <f aca="false">HYPERLINK("https://mncourtfraud.com/file/MCRO_27-CR-20-23239_Order-Evaluation for Competency to Proceed (Rule 20.01)_2023-02-27_20240430090425.pdf","MCRO_27-CR-20-23239_Order-Evaluation for Competency to Proceed (Rule 20.01)_2023-02-27_20240430090425.pdf")</f>
        <v>MCRO_27-CR-20-23239_Order-Evaluation for Competency to Proceed (Rule 20.01)_2023-02-27_20240430090425.pdf</v>
      </c>
      <c r="C1002" s="1" t="n">
        <v>6</v>
      </c>
      <c r="D1002" s="1" t="n">
        <v>2</v>
      </c>
      <c r="E1002" s="1" t="n">
        <v>2</v>
      </c>
      <c r="F1002" s="3" t="s">
        <v>27</v>
      </c>
      <c r="G1002" s="3" t="s">
        <v>4167</v>
      </c>
      <c r="H1002" s="1" t="s">
        <v>22</v>
      </c>
      <c r="I1002" s="1" t="n">
        <v>20240430090425</v>
      </c>
      <c r="J1002" s="3" t="s">
        <v>4168</v>
      </c>
      <c r="K1002" s="3" t="s">
        <v>4169</v>
      </c>
      <c r="L1002" s="3" t="s">
        <v>4170</v>
      </c>
      <c r="M1002" s="3" t="n">
        <v>891209</v>
      </c>
      <c r="N1002" s="3" t="s">
        <v>810</v>
      </c>
      <c r="O1002" s="1" t="n">
        <v>874823</v>
      </c>
      <c r="P1002" s="1" t="n">
        <v>98.16</v>
      </c>
      <c r="Q1002" s="1" t="s">
        <v>20</v>
      </c>
      <c r="R1002" s="1" t="s">
        <v>27</v>
      </c>
      <c r="S1002" s="1" t="s">
        <v>28</v>
      </c>
      <c r="T1002" s="1" t="s">
        <v>29</v>
      </c>
    </row>
    <row r="1003" customFormat="false" ht="18.7" hidden="false" customHeight="true" outlineLevel="0" collapsed="false">
      <c r="A1003" s="1" t="n">
        <v>1002</v>
      </c>
      <c r="B1003" s="6" t="str">
        <f aca="false">HYPERLINK("https://mncourtfraud.com/file/MCRO_27-CR-20-23239_Order-Evaluation for Competency to Proceed (Rule 20.01)_2023-09-18_20240430090423.pdf","MCRO_27-CR-20-23239_Order-Evaluation for Competency to Proceed (Rule 20.01)_2023-09-18_20240430090423.pdf")</f>
        <v>MCRO_27-CR-20-23239_Order-Evaluation for Competency to Proceed (Rule 20.01)_2023-09-18_20240430090423.pdf</v>
      </c>
      <c r="C1003" s="1" t="n">
        <v>6</v>
      </c>
      <c r="D1003" s="1" t="n">
        <v>2</v>
      </c>
      <c r="E1003" s="1" t="n">
        <v>2</v>
      </c>
      <c r="F1003" s="3" t="s">
        <v>27</v>
      </c>
      <c r="G1003" s="3" t="s">
        <v>4171</v>
      </c>
      <c r="H1003" s="1" t="s">
        <v>22</v>
      </c>
      <c r="I1003" s="1" t="n">
        <v>20240430090423</v>
      </c>
      <c r="J1003" s="3" t="s">
        <v>4172</v>
      </c>
      <c r="K1003" s="3" t="s">
        <v>4173</v>
      </c>
      <c r="L1003" s="3" t="s">
        <v>4174</v>
      </c>
      <c r="M1003" s="3" t="n">
        <v>859157</v>
      </c>
      <c r="N1003" s="3" t="s">
        <v>554</v>
      </c>
      <c r="O1003" s="1" t="n">
        <v>842771</v>
      </c>
      <c r="P1003" s="1" t="n">
        <v>98.09</v>
      </c>
      <c r="Q1003" s="1" t="s">
        <v>20</v>
      </c>
      <c r="R1003" s="1" t="s">
        <v>27</v>
      </c>
      <c r="S1003" s="1" t="s">
        <v>28</v>
      </c>
      <c r="T1003" s="1" t="s">
        <v>29</v>
      </c>
    </row>
    <row r="1004" customFormat="false" ht="18.7" hidden="false" customHeight="true" outlineLevel="0" collapsed="false">
      <c r="A1004" s="1" t="n">
        <v>1003</v>
      </c>
      <c r="B1004" s="6" t="str">
        <f aca="false">HYPERLINK("https://mncourtfraud.com/file/MCRO_27-CR-20-23239_Order-Evaluation for Competency to Proceed (Rule 20.01)_2024-01-31_20240430090421.pdf","MCRO_27-CR-20-23239_Order-Evaluation for Competency to Proceed (Rule 20.01)_2024-01-31_20240430090421.pdf")</f>
        <v>MCRO_27-CR-20-23239_Order-Evaluation for Competency to Proceed (Rule 20.01)_2024-01-31_20240430090421.pdf</v>
      </c>
      <c r="C1004" s="1" t="n">
        <v>4</v>
      </c>
      <c r="D1004" s="1" t="n">
        <v>1</v>
      </c>
      <c r="E1004" s="1" t="n">
        <v>1</v>
      </c>
      <c r="F1004" s="3" t="s">
        <v>20</v>
      </c>
      <c r="G1004" s="3" t="s">
        <v>4175</v>
      </c>
      <c r="H1004" s="1" t="s">
        <v>22</v>
      </c>
      <c r="I1004" s="1" t="n">
        <v>20240430090421</v>
      </c>
      <c r="J1004" s="3" t="s">
        <v>4176</v>
      </c>
      <c r="K1004" s="3" t="s">
        <v>4177</v>
      </c>
      <c r="L1004" s="3" t="s">
        <v>4178</v>
      </c>
      <c r="M1004" s="3" t="n">
        <v>1130670</v>
      </c>
      <c r="N1004" s="3" t="s">
        <v>1128</v>
      </c>
      <c r="O1004" s="1" t="n">
        <v>1114284</v>
      </c>
      <c r="P1004" s="1" t="n">
        <v>98.55</v>
      </c>
      <c r="Q1004" s="1" t="s">
        <v>20</v>
      </c>
      <c r="R1004" s="1" t="s">
        <v>27</v>
      </c>
      <c r="S1004" s="1" t="s">
        <v>28</v>
      </c>
      <c r="T1004" s="1" t="s">
        <v>29</v>
      </c>
    </row>
    <row r="1005" customFormat="false" ht="18.7" hidden="false" customHeight="true" outlineLevel="0" collapsed="false">
      <c r="A1005" s="1" t="n">
        <v>1004</v>
      </c>
      <c r="B1005" s="6" t="str">
        <f aca="false">HYPERLINK("https://mncourtfraud.com/file/MCRO_27-CR-20-23239_Order for Conditional Release_2021-10-29_20240430090429.pdf","MCRO_27-CR-20-23239_Order for Conditional Release_2021-10-29_20240430090429.pdf")</f>
        <v>MCRO_27-CR-20-23239_Order for Conditional Release_2021-10-29_20240430090429.pdf</v>
      </c>
      <c r="C1005" s="1" t="n">
        <v>5</v>
      </c>
      <c r="D1005" s="1" t="n">
        <v>1</v>
      </c>
      <c r="E1005" s="1" t="n">
        <v>1</v>
      </c>
      <c r="F1005" s="3" t="s">
        <v>20</v>
      </c>
      <c r="G1005" s="3" t="s">
        <v>4179</v>
      </c>
      <c r="H1005" s="1" t="s">
        <v>22</v>
      </c>
      <c r="I1005" s="1" t="n">
        <v>20240430090429</v>
      </c>
      <c r="J1005" s="3" t="s">
        <v>4180</v>
      </c>
      <c r="K1005" s="3" t="s">
        <v>4181</v>
      </c>
      <c r="L1005" s="3" t="s">
        <v>4182</v>
      </c>
      <c r="M1005" s="3" t="n">
        <v>862670</v>
      </c>
      <c r="N1005" s="3" t="s">
        <v>4183</v>
      </c>
      <c r="O1005" s="1" t="n">
        <v>846284</v>
      </c>
      <c r="P1005" s="1" t="n">
        <v>98.1</v>
      </c>
      <c r="Q1005" s="1" t="s">
        <v>20</v>
      </c>
      <c r="R1005" s="1" t="s">
        <v>27</v>
      </c>
      <c r="S1005" s="1" t="s">
        <v>28</v>
      </c>
      <c r="T1005" s="1" t="s">
        <v>29</v>
      </c>
    </row>
    <row r="1006" customFormat="false" ht="18.7" hidden="false" customHeight="true" outlineLevel="0" collapsed="false">
      <c r="A1006" s="1" t="n">
        <v>1005</v>
      </c>
      <c r="B1006" s="6" t="str">
        <f aca="false">HYPERLINK("https://mncourtfraud.com/file/MCRO_27-CR-20-23239_Order-Other_2021-10-06_20240430090430.pdf","MCRO_27-CR-20-23239_Order-Other_2021-10-06_20240430090430.pdf")</f>
        <v>MCRO_27-CR-20-23239_Order-Other_2021-10-06_20240430090430.pdf</v>
      </c>
      <c r="C1006" s="1" t="n">
        <v>3</v>
      </c>
      <c r="D1006" s="1" t="n">
        <v>1</v>
      </c>
      <c r="E1006" s="1" t="n">
        <v>1</v>
      </c>
      <c r="F1006" s="3" t="s">
        <v>20</v>
      </c>
      <c r="G1006" s="3" t="s">
        <v>4184</v>
      </c>
      <c r="H1006" s="1" t="s">
        <v>22</v>
      </c>
      <c r="I1006" s="1" t="n">
        <v>20240430090430</v>
      </c>
      <c r="J1006" s="3" t="s">
        <v>4185</v>
      </c>
      <c r="K1006" s="3" t="s">
        <v>4186</v>
      </c>
      <c r="L1006" s="3" t="s">
        <v>4187</v>
      </c>
      <c r="M1006" s="3" t="n">
        <v>133852</v>
      </c>
      <c r="N1006" s="3" t="s">
        <v>1614</v>
      </c>
      <c r="O1006" s="1" t="n">
        <v>117466</v>
      </c>
      <c r="P1006" s="1" t="n">
        <v>87.76</v>
      </c>
      <c r="Q1006" s="1" t="s">
        <v>20</v>
      </c>
      <c r="R1006" s="1" t="s">
        <v>27</v>
      </c>
      <c r="S1006" s="1" t="s">
        <v>28</v>
      </c>
      <c r="T1006" s="1" t="s">
        <v>29</v>
      </c>
    </row>
    <row r="1007" customFormat="false" ht="18.7" hidden="false" customHeight="true" outlineLevel="0" collapsed="false">
      <c r="A1007" s="1" t="n">
        <v>1006</v>
      </c>
      <c r="B1007" s="6" t="str">
        <f aca="false">HYPERLINK("https://mncourtfraud.com/file/MCRO_27-CR-20-23239_Order Revoking Interim Conditions of Release_2020-11-19_20240430090439.pdf","MCRO_27-CR-20-23239_Order Revoking Interim Conditions of Release_2020-11-19_20240430090439.pdf")</f>
        <v>MCRO_27-CR-20-23239_Order Revoking Interim Conditions of Release_2020-11-19_20240430090439.pdf</v>
      </c>
      <c r="C1007" s="1" t="n">
        <v>3</v>
      </c>
      <c r="D1007" s="1" t="n">
        <v>1</v>
      </c>
      <c r="E1007" s="1" t="n">
        <v>1</v>
      </c>
      <c r="F1007" s="3" t="s">
        <v>20</v>
      </c>
      <c r="G1007" s="3" t="s">
        <v>4188</v>
      </c>
      <c r="H1007" s="1" t="s">
        <v>22</v>
      </c>
      <c r="I1007" s="1" t="n">
        <v>20240430090439</v>
      </c>
      <c r="J1007" s="3" t="s">
        <v>4189</v>
      </c>
      <c r="K1007" s="3" t="s">
        <v>4190</v>
      </c>
      <c r="L1007" s="3" t="s">
        <v>4191</v>
      </c>
      <c r="M1007" s="3" t="n">
        <v>211058</v>
      </c>
      <c r="N1007" s="3" t="s">
        <v>4192</v>
      </c>
      <c r="O1007" s="1" t="n">
        <v>194672</v>
      </c>
      <c r="P1007" s="1" t="n">
        <v>92.24</v>
      </c>
      <c r="Q1007" s="1" t="s">
        <v>20</v>
      </c>
      <c r="R1007" s="1" t="s">
        <v>27</v>
      </c>
      <c r="S1007" s="1" t="s">
        <v>28</v>
      </c>
      <c r="T1007" s="1" t="s">
        <v>29</v>
      </c>
    </row>
    <row r="1008" customFormat="false" ht="18.7" hidden="false" customHeight="true" outlineLevel="0" collapsed="false">
      <c r="A1008" s="1" t="n">
        <v>1007</v>
      </c>
      <c r="B1008" s="6" t="str">
        <f aca="false">HYPERLINK("https://mncourtfraud.com/file/MCRO_27-CR-20-23521_Demand or Request for Discovery_2020-11-10_20240430090525.pdf","MCRO_27-CR-20-23521_Demand or Request for Discovery_2020-11-10_20240430090525.pdf")</f>
        <v>MCRO_27-CR-20-23521_Demand or Request for Discovery_2020-11-10_20240430090525.pdf</v>
      </c>
      <c r="C1008" s="1" t="n">
        <v>3</v>
      </c>
      <c r="D1008" s="1" t="n">
        <v>1</v>
      </c>
      <c r="E1008" s="1" t="n">
        <v>1</v>
      </c>
      <c r="F1008" s="3" t="s">
        <v>20</v>
      </c>
      <c r="G1008" s="3" t="s">
        <v>4193</v>
      </c>
      <c r="H1008" s="1" t="s">
        <v>22</v>
      </c>
      <c r="I1008" s="1" t="n">
        <v>20240430090525</v>
      </c>
      <c r="J1008" s="3" t="s">
        <v>4194</v>
      </c>
      <c r="K1008" s="3" t="s">
        <v>4195</v>
      </c>
      <c r="L1008" s="3" t="s">
        <v>4196</v>
      </c>
      <c r="M1008" s="3" t="n">
        <v>341765</v>
      </c>
      <c r="N1008" s="3" t="s">
        <v>4197</v>
      </c>
      <c r="O1008" s="1" t="n">
        <v>325379</v>
      </c>
      <c r="P1008" s="1" t="n">
        <v>95.21</v>
      </c>
      <c r="Q1008" s="1" t="s">
        <v>20</v>
      </c>
      <c r="R1008" s="1" t="s">
        <v>27</v>
      </c>
      <c r="S1008" s="1" t="s">
        <v>28</v>
      </c>
      <c r="T1008" s="1" t="s">
        <v>29</v>
      </c>
    </row>
    <row r="1009" customFormat="false" ht="18.7" hidden="false" customHeight="true" outlineLevel="0" collapsed="false">
      <c r="A1009" s="1" t="n">
        <v>1008</v>
      </c>
      <c r="B1009" s="6" t="str">
        <f aca="false">HYPERLINK("https://mncourtfraud.com/file/MCRO_27-CR-20-23521_Dismissal by Prosecuting Attorney_2023-06-13_20240430090508.pdf","MCRO_27-CR-20-23521_Dismissal by Prosecuting Attorney_2023-06-13_20240430090508.pdf")</f>
        <v>MCRO_27-CR-20-23521_Dismissal by Prosecuting Attorney_2023-06-13_20240430090508.pdf</v>
      </c>
      <c r="C1009" s="1" t="n">
        <v>3</v>
      </c>
      <c r="D1009" s="1" t="n">
        <v>1</v>
      </c>
      <c r="E1009" s="1" t="n">
        <v>1</v>
      </c>
      <c r="F1009" s="3" t="s">
        <v>20</v>
      </c>
      <c r="G1009" s="3" t="s">
        <v>4198</v>
      </c>
      <c r="H1009" s="1" t="s">
        <v>22</v>
      </c>
      <c r="I1009" s="1" t="n">
        <v>20240430090508</v>
      </c>
      <c r="J1009" s="3" t="s">
        <v>4199</v>
      </c>
      <c r="K1009" s="3" t="s">
        <v>4200</v>
      </c>
      <c r="L1009" s="3" t="s">
        <v>4201</v>
      </c>
      <c r="M1009" s="3" t="n">
        <v>122189</v>
      </c>
      <c r="N1009" s="3" t="s">
        <v>736</v>
      </c>
      <c r="O1009" s="1" t="n">
        <v>105803</v>
      </c>
      <c r="P1009" s="1" t="n">
        <v>86.59</v>
      </c>
      <c r="Q1009" s="1" t="s">
        <v>20</v>
      </c>
      <c r="R1009" s="1" t="s">
        <v>27</v>
      </c>
      <c r="S1009" s="1" t="s">
        <v>28</v>
      </c>
      <c r="T1009" s="1" t="s">
        <v>29</v>
      </c>
    </row>
    <row r="1010" customFormat="false" ht="18.7" hidden="false" customHeight="true" outlineLevel="0" collapsed="false">
      <c r="A1010" s="1" t="n">
        <v>1009</v>
      </c>
      <c r="B1010" s="6" t="str">
        <f aca="false">HYPERLINK("https://mncourtfraud.com/file/MCRO_27-CR-20-23521_E-filed Comp-Order for Detention_2020-11-04_20240430090528.pdf","MCRO_27-CR-20-23521_E-filed Comp-Order for Detention_2020-11-04_20240430090528.pdf")</f>
        <v>MCRO_27-CR-20-23521_E-filed Comp-Order for Detention_2020-11-04_20240430090528.pdf</v>
      </c>
      <c r="C1010" s="1" t="n">
        <v>4</v>
      </c>
      <c r="D1010" s="1" t="n">
        <v>2</v>
      </c>
      <c r="E1010" s="1" t="n">
        <v>2</v>
      </c>
      <c r="F1010" s="3" t="s">
        <v>20</v>
      </c>
      <c r="G1010" s="3" t="s">
        <v>4202</v>
      </c>
      <c r="H1010" s="1" t="s">
        <v>22</v>
      </c>
      <c r="I1010" s="1" t="n">
        <v>20240430090528</v>
      </c>
      <c r="J1010" s="3" t="s">
        <v>4203</v>
      </c>
      <c r="K1010" s="3" t="s">
        <v>4204</v>
      </c>
      <c r="L1010" s="3" t="s">
        <v>4205</v>
      </c>
      <c r="M1010" s="3" t="n">
        <v>485349</v>
      </c>
      <c r="N1010" s="3" t="s">
        <v>1707</v>
      </c>
      <c r="O1010" s="1" t="n">
        <v>468963</v>
      </c>
      <c r="P1010" s="1" t="n">
        <v>96.62</v>
      </c>
      <c r="Q1010" s="1" t="s">
        <v>20</v>
      </c>
      <c r="R1010" s="1" t="s">
        <v>27</v>
      </c>
      <c r="S1010" s="1" t="s">
        <v>28</v>
      </c>
      <c r="T1010" s="1" t="s">
        <v>29</v>
      </c>
    </row>
    <row r="1011" customFormat="false" ht="18.7" hidden="false" customHeight="true" outlineLevel="0" collapsed="false">
      <c r="A1011" s="1" t="n">
        <v>1010</v>
      </c>
      <c r="B1011" s="6" t="str">
        <f aca="false">HYPERLINK("https://mncourtfraud.com/file/MCRO_27-CR-20-23521_Findings and Order_2022-12-13_20240430090510.pdf","MCRO_27-CR-20-23521_Findings and Order_2022-12-13_20240430090510.pdf")</f>
        <v>MCRO_27-CR-20-23521_Findings and Order_2022-12-13_20240430090510.pdf</v>
      </c>
      <c r="C1011" s="1" t="n">
        <v>5</v>
      </c>
      <c r="D1011" s="1" t="n">
        <v>1</v>
      </c>
      <c r="E1011" s="1" t="n">
        <v>1</v>
      </c>
      <c r="F1011" s="3" t="s">
        <v>20</v>
      </c>
      <c r="G1011" s="3" t="s">
        <v>4206</v>
      </c>
      <c r="H1011" s="1" t="s">
        <v>22</v>
      </c>
      <c r="I1011" s="1" t="n">
        <v>20240430090510</v>
      </c>
      <c r="J1011" s="3" t="s">
        <v>4207</v>
      </c>
      <c r="K1011" s="3" t="s">
        <v>4208</v>
      </c>
      <c r="L1011" s="3" t="s">
        <v>4209</v>
      </c>
      <c r="M1011" s="3" t="n">
        <v>290959</v>
      </c>
      <c r="N1011" s="3" t="s">
        <v>390</v>
      </c>
      <c r="O1011" s="1" t="n">
        <v>274573</v>
      </c>
      <c r="P1011" s="1" t="n">
        <v>94.37</v>
      </c>
      <c r="Q1011" s="1" t="s">
        <v>20</v>
      </c>
      <c r="R1011" s="1" t="s">
        <v>27</v>
      </c>
      <c r="S1011" s="1" t="s">
        <v>28</v>
      </c>
      <c r="T1011" s="1" t="s">
        <v>29</v>
      </c>
    </row>
    <row r="1012" customFormat="false" ht="18.7" hidden="false" customHeight="true" outlineLevel="0" collapsed="false">
      <c r="A1012" s="1" t="n">
        <v>1011</v>
      </c>
      <c r="B1012" s="6" t="str">
        <f aca="false">HYPERLINK("https://mncourtfraud.com/file/MCRO_27-CR-20-23521_Notice of Case Reassignment_2021-03-30_20240430090520.pdf","MCRO_27-CR-20-23521_Notice of Case Reassignment_2021-03-30_20240430090520.pdf")</f>
        <v>MCRO_27-CR-20-23521_Notice of Case Reassignment_2021-03-30_20240430090520.pdf</v>
      </c>
      <c r="C1012" s="1" t="n">
        <v>4</v>
      </c>
      <c r="D1012" s="1" t="n">
        <v>1</v>
      </c>
      <c r="E1012" s="1" t="n">
        <v>1</v>
      </c>
      <c r="F1012" s="3" t="s">
        <v>20</v>
      </c>
      <c r="G1012" s="3" t="s">
        <v>4210</v>
      </c>
      <c r="H1012" s="1" t="s">
        <v>22</v>
      </c>
      <c r="I1012" s="1" t="n">
        <v>20240430090520</v>
      </c>
      <c r="J1012" s="3" t="s">
        <v>4211</v>
      </c>
      <c r="K1012" s="3" t="s">
        <v>4212</v>
      </c>
      <c r="L1012" s="3" t="s">
        <v>4213</v>
      </c>
      <c r="M1012" s="3" t="n">
        <v>101243</v>
      </c>
      <c r="N1012" s="3" t="s">
        <v>456</v>
      </c>
      <c r="O1012" s="1" t="n">
        <v>84857</v>
      </c>
      <c r="P1012" s="1" t="n">
        <v>83.82</v>
      </c>
      <c r="Q1012" s="1" t="s">
        <v>20</v>
      </c>
      <c r="R1012" s="1" t="s">
        <v>27</v>
      </c>
      <c r="S1012" s="1" t="s">
        <v>28</v>
      </c>
      <c r="T1012" s="1" t="s">
        <v>29</v>
      </c>
    </row>
    <row r="1013" customFormat="false" ht="18.7" hidden="false" customHeight="true" outlineLevel="0" collapsed="false">
      <c r="A1013" s="1" t="n">
        <v>1012</v>
      </c>
      <c r="B1013" s="6" t="str">
        <f aca="false">HYPERLINK("https://mncourtfraud.com/file/MCRO_27-CR-20-23521_Notice of Case Reassignment_2022-04-01_20240430090515.pdf","MCRO_27-CR-20-23521_Notice of Case Reassignment_2022-04-01_20240430090515.pdf")</f>
        <v>MCRO_27-CR-20-23521_Notice of Case Reassignment_2022-04-01_20240430090515.pdf</v>
      </c>
      <c r="C1013" s="1" t="n">
        <v>4</v>
      </c>
      <c r="D1013" s="1" t="n">
        <v>1</v>
      </c>
      <c r="E1013" s="1" t="n">
        <v>1</v>
      </c>
      <c r="F1013" s="3" t="s">
        <v>20</v>
      </c>
      <c r="G1013" s="3" t="s">
        <v>4214</v>
      </c>
      <c r="H1013" s="1" t="s">
        <v>22</v>
      </c>
      <c r="I1013" s="1" t="n">
        <v>20240430090515</v>
      </c>
      <c r="J1013" s="3" t="s">
        <v>4215</v>
      </c>
      <c r="K1013" s="3" t="s">
        <v>4216</v>
      </c>
      <c r="L1013" s="3" t="s">
        <v>4217</v>
      </c>
      <c r="M1013" s="3" t="n">
        <v>96889</v>
      </c>
      <c r="N1013" s="3" t="s">
        <v>456</v>
      </c>
      <c r="O1013" s="1" t="n">
        <v>80503</v>
      </c>
      <c r="P1013" s="1" t="n">
        <v>83.09</v>
      </c>
      <c r="Q1013" s="1" t="s">
        <v>20</v>
      </c>
      <c r="R1013" s="1" t="s">
        <v>27</v>
      </c>
      <c r="S1013" s="1" t="s">
        <v>28</v>
      </c>
      <c r="T1013" s="1" t="s">
        <v>29</v>
      </c>
    </row>
    <row r="1014" customFormat="false" ht="18.7" hidden="false" customHeight="true" outlineLevel="0" collapsed="false">
      <c r="A1014" s="1" t="n">
        <v>1013</v>
      </c>
      <c r="B1014" s="6" t="str">
        <f aca="false">HYPERLINK("https://mncourtfraud.com/file/MCRO_27-CR-20-23521_Notice of Case Reassignment_2023-01-13_20240430090508.pdf","MCRO_27-CR-20-23521_Notice of Case Reassignment_2023-01-13_20240430090508.pdf")</f>
        <v>MCRO_27-CR-20-23521_Notice of Case Reassignment_2023-01-13_20240430090508.pdf</v>
      </c>
      <c r="C1014" s="1" t="n">
        <v>4</v>
      </c>
      <c r="D1014" s="1" t="n">
        <v>1</v>
      </c>
      <c r="E1014" s="1" t="n">
        <v>1</v>
      </c>
      <c r="F1014" s="3" t="s">
        <v>20</v>
      </c>
      <c r="G1014" s="3" t="s">
        <v>4218</v>
      </c>
      <c r="H1014" s="1" t="s">
        <v>22</v>
      </c>
      <c r="I1014" s="1" t="n">
        <v>20240430090508</v>
      </c>
      <c r="J1014" s="3" t="s">
        <v>4219</v>
      </c>
      <c r="K1014" s="3" t="s">
        <v>4220</v>
      </c>
      <c r="L1014" s="3" t="s">
        <v>4221</v>
      </c>
      <c r="M1014" s="3" t="n">
        <v>308811</v>
      </c>
      <c r="N1014" s="3" t="s">
        <v>158</v>
      </c>
      <c r="O1014" s="1" t="n">
        <v>292425</v>
      </c>
      <c r="P1014" s="1" t="n">
        <v>94.69</v>
      </c>
      <c r="Q1014" s="1" t="s">
        <v>20</v>
      </c>
      <c r="R1014" s="1" t="s">
        <v>27</v>
      </c>
      <c r="S1014" s="1" t="s">
        <v>28</v>
      </c>
      <c r="T1014" s="1" t="s">
        <v>29</v>
      </c>
    </row>
    <row r="1015" customFormat="false" ht="18.7" hidden="false" customHeight="true" outlineLevel="0" collapsed="false">
      <c r="A1015" s="1" t="n">
        <v>1014</v>
      </c>
      <c r="B1015" s="6" t="str">
        <f aca="false">HYPERLINK("https://mncourtfraud.com/file/MCRO_27-CR-20-23521_Notice of Hearing_2020-11-05_20240430090526.pdf","MCRO_27-CR-20-23521_Notice of Hearing_2020-11-05_20240430090526.pdf")</f>
        <v>MCRO_27-CR-20-23521_Notice of Hearing_2020-11-05_20240430090526.pdf</v>
      </c>
      <c r="C1015" s="1" t="n">
        <v>4</v>
      </c>
      <c r="D1015" s="1" t="n">
        <v>1</v>
      </c>
      <c r="E1015" s="1" t="n">
        <v>1</v>
      </c>
      <c r="F1015" s="3" t="s">
        <v>20</v>
      </c>
      <c r="G1015" s="3" t="s">
        <v>4222</v>
      </c>
      <c r="H1015" s="1" t="s">
        <v>22</v>
      </c>
      <c r="I1015" s="1" t="n">
        <v>20240430090526</v>
      </c>
      <c r="J1015" s="3" t="s">
        <v>4194</v>
      </c>
      <c r="K1015" s="3" t="s">
        <v>4195</v>
      </c>
      <c r="L1015" s="3" t="s">
        <v>4223</v>
      </c>
      <c r="M1015" s="3" t="n">
        <v>423476</v>
      </c>
      <c r="N1015" s="3" t="s">
        <v>137</v>
      </c>
      <c r="O1015" s="1" t="n">
        <v>407090</v>
      </c>
      <c r="P1015" s="1" t="n">
        <v>96.13</v>
      </c>
      <c r="Q1015" s="1" t="s">
        <v>20</v>
      </c>
      <c r="R1015" s="1" t="s">
        <v>27</v>
      </c>
      <c r="S1015" s="1" t="s">
        <v>28</v>
      </c>
      <c r="T1015" s="1" t="s">
        <v>29</v>
      </c>
    </row>
    <row r="1016" customFormat="false" ht="18.7" hidden="false" customHeight="true" outlineLevel="0" collapsed="false">
      <c r="A1016" s="1" t="n">
        <v>1015</v>
      </c>
      <c r="B1016" s="6" t="str">
        <f aca="false">HYPERLINK("https://mncourtfraud.com/file/MCRO_27-CR-20-23521_Notice of Remote Hearing with Instructions_2020-11-24_20240430090523.pdf","MCRO_27-CR-20-23521_Notice of Remote Hearing with Instructions_2020-11-24_20240430090523.pdf")</f>
        <v>MCRO_27-CR-20-23521_Notice of Remote Hearing with Instructions_2020-11-24_20240430090523.pdf</v>
      </c>
      <c r="C1016" s="1" t="n">
        <v>4</v>
      </c>
      <c r="D1016" s="1" t="n">
        <v>1</v>
      </c>
      <c r="E1016" s="1" t="n">
        <v>1</v>
      </c>
      <c r="F1016" s="3" t="s">
        <v>20</v>
      </c>
      <c r="G1016" s="3" t="s">
        <v>4224</v>
      </c>
      <c r="H1016" s="1" t="s">
        <v>22</v>
      </c>
      <c r="I1016" s="1" t="n">
        <v>20240430090523</v>
      </c>
      <c r="J1016" s="3" t="s">
        <v>4225</v>
      </c>
      <c r="K1016" s="3" t="s">
        <v>4226</v>
      </c>
      <c r="L1016" s="3" t="s">
        <v>4227</v>
      </c>
      <c r="M1016" s="3" t="n">
        <v>155711</v>
      </c>
      <c r="N1016" s="3" t="s">
        <v>1065</v>
      </c>
      <c r="O1016" s="1" t="n">
        <v>139325</v>
      </c>
      <c r="P1016" s="1" t="n">
        <v>89.48</v>
      </c>
      <c r="Q1016" s="1" t="s">
        <v>20</v>
      </c>
      <c r="R1016" s="1" t="s">
        <v>27</v>
      </c>
      <c r="S1016" s="1" t="s">
        <v>28</v>
      </c>
      <c r="T1016" s="1" t="s">
        <v>29</v>
      </c>
    </row>
    <row r="1017" customFormat="false" ht="18.7" hidden="false" customHeight="true" outlineLevel="0" collapsed="false">
      <c r="A1017" s="1" t="n">
        <v>1016</v>
      </c>
      <c r="B1017" s="6" t="str">
        <f aca="false">HYPERLINK("https://mncourtfraud.com/file/MCRO_27-CR-20-23521_Notice of Remote Hearing with Instructions_2020-12-09_20240430090522.pdf","MCRO_27-CR-20-23521_Notice of Remote Hearing with Instructions_2020-12-09_20240430090522.pdf")</f>
        <v>MCRO_27-CR-20-23521_Notice of Remote Hearing with Instructions_2020-12-09_20240430090522.pdf</v>
      </c>
      <c r="C1017" s="1" t="n">
        <v>4</v>
      </c>
      <c r="D1017" s="1" t="n">
        <v>1</v>
      </c>
      <c r="E1017" s="1" t="n">
        <v>1</v>
      </c>
      <c r="F1017" s="3" t="s">
        <v>20</v>
      </c>
      <c r="G1017" s="3" t="s">
        <v>4228</v>
      </c>
      <c r="H1017" s="1" t="s">
        <v>22</v>
      </c>
      <c r="I1017" s="1" t="n">
        <v>20240430090522</v>
      </c>
      <c r="J1017" s="3" t="s">
        <v>4229</v>
      </c>
      <c r="K1017" s="3" t="s">
        <v>4230</v>
      </c>
      <c r="L1017" s="3" t="s">
        <v>4231</v>
      </c>
      <c r="M1017" s="3" t="n">
        <v>140477</v>
      </c>
      <c r="N1017" s="3" t="s">
        <v>1065</v>
      </c>
      <c r="O1017" s="1" t="n">
        <v>124091</v>
      </c>
      <c r="P1017" s="1" t="n">
        <v>88.34</v>
      </c>
      <c r="Q1017" s="1" t="s">
        <v>20</v>
      </c>
      <c r="R1017" s="1" t="s">
        <v>27</v>
      </c>
      <c r="S1017" s="1" t="s">
        <v>28</v>
      </c>
      <c r="T1017" s="1" t="s">
        <v>29</v>
      </c>
    </row>
    <row r="1018" customFormat="false" ht="18.7" hidden="false" customHeight="true" outlineLevel="0" collapsed="false">
      <c r="A1018" s="1" t="n">
        <v>1017</v>
      </c>
      <c r="B1018" s="6" t="str">
        <f aca="false">HYPERLINK("https://mncourtfraud.com/file/MCRO_27-CR-20-23521_Notice of Remote Hearing with Instructions_2021-01-06_20240430090521.pdf","MCRO_27-CR-20-23521_Notice of Remote Hearing with Instructions_2021-01-06_20240430090521.pdf")</f>
        <v>MCRO_27-CR-20-23521_Notice of Remote Hearing with Instructions_2021-01-06_20240430090521.pdf</v>
      </c>
      <c r="C1018" s="1" t="n">
        <v>4</v>
      </c>
      <c r="D1018" s="1" t="n">
        <v>1</v>
      </c>
      <c r="E1018" s="1" t="n">
        <v>1</v>
      </c>
      <c r="F1018" s="3" t="s">
        <v>20</v>
      </c>
      <c r="G1018" s="3" t="s">
        <v>4232</v>
      </c>
      <c r="H1018" s="1" t="s">
        <v>22</v>
      </c>
      <c r="I1018" s="1" t="n">
        <v>20240430090521</v>
      </c>
      <c r="J1018" s="3" t="s">
        <v>4233</v>
      </c>
      <c r="K1018" s="3" t="s">
        <v>4234</v>
      </c>
      <c r="L1018" s="3" t="s">
        <v>4235</v>
      </c>
      <c r="M1018" s="3" t="n">
        <v>162573</v>
      </c>
      <c r="N1018" s="3" t="s">
        <v>1065</v>
      </c>
      <c r="O1018" s="1" t="n">
        <v>146187</v>
      </c>
      <c r="P1018" s="1" t="n">
        <v>89.92</v>
      </c>
      <c r="Q1018" s="1" t="s">
        <v>20</v>
      </c>
      <c r="R1018" s="1" t="s">
        <v>27</v>
      </c>
      <c r="S1018" s="1" t="s">
        <v>28</v>
      </c>
      <c r="T1018" s="1" t="s">
        <v>29</v>
      </c>
    </row>
    <row r="1019" customFormat="false" ht="18.7" hidden="false" customHeight="true" outlineLevel="0" collapsed="false">
      <c r="A1019" s="1" t="n">
        <v>1018</v>
      </c>
      <c r="B1019" s="6" t="str">
        <f aca="false">HYPERLINK("https://mncourtfraud.com/file/MCRO_27-CR-20-23521_Notice of Remote Hearing with Instructions_2021-05-19_20240430090519.pdf","MCRO_27-CR-20-23521_Notice of Remote Hearing with Instructions_2021-05-19_20240430090519.pdf")</f>
        <v>MCRO_27-CR-20-23521_Notice of Remote Hearing with Instructions_2021-05-19_20240430090519.pdf</v>
      </c>
      <c r="C1019" s="1" t="n">
        <v>4</v>
      </c>
      <c r="D1019" s="1" t="n">
        <v>1</v>
      </c>
      <c r="E1019" s="1" t="n">
        <v>1</v>
      </c>
      <c r="F1019" s="3" t="s">
        <v>20</v>
      </c>
      <c r="G1019" s="3" t="s">
        <v>4236</v>
      </c>
      <c r="H1019" s="1" t="s">
        <v>22</v>
      </c>
      <c r="I1019" s="1" t="n">
        <v>20240430090519</v>
      </c>
      <c r="J1019" s="3" t="s">
        <v>4237</v>
      </c>
      <c r="K1019" s="3" t="s">
        <v>4238</v>
      </c>
      <c r="L1019" s="3" t="s">
        <v>4239</v>
      </c>
      <c r="M1019" s="3" t="n">
        <v>140561</v>
      </c>
      <c r="N1019" s="3" t="s">
        <v>1065</v>
      </c>
      <c r="O1019" s="1" t="n">
        <v>124175</v>
      </c>
      <c r="P1019" s="1" t="n">
        <v>88.34</v>
      </c>
      <c r="Q1019" s="1" t="s">
        <v>20</v>
      </c>
      <c r="R1019" s="1" t="s">
        <v>27</v>
      </c>
      <c r="S1019" s="1" t="s">
        <v>28</v>
      </c>
      <c r="T1019" s="1" t="s">
        <v>29</v>
      </c>
    </row>
    <row r="1020" customFormat="false" ht="18.7" hidden="false" customHeight="true" outlineLevel="0" collapsed="false">
      <c r="A1020" s="1" t="n">
        <v>1019</v>
      </c>
      <c r="B1020" s="6" t="str">
        <f aca="false">HYPERLINK("https://mncourtfraud.com/file/MCRO_27-CR-20-23521_Notice of Remote Hearing with Instructions_2021-06-29_20240430090518.pdf","MCRO_27-CR-20-23521_Notice of Remote Hearing with Instructions_2021-06-29_20240430090518.pdf")</f>
        <v>MCRO_27-CR-20-23521_Notice of Remote Hearing with Instructions_2021-06-29_20240430090518.pdf</v>
      </c>
      <c r="C1020" s="1" t="n">
        <v>4</v>
      </c>
      <c r="D1020" s="1" t="n">
        <v>1</v>
      </c>
      <c r="E1020" s="1" t="n">
        <v>1</v>
      </c>
      <c r="F1020" s="3" t="s">
        <v>20</v>
      </c>
      <c r="G1020" s="3" t="s">
        <v>4240</v>
      </c>
      <c r="H1020" s="1" t="s">
        <v>22</v>
      </c>
      <c r="I1020" s="1" t="n">
        <v>20240430090518</v>
      </c>
      <c r="J1020" s="3" t="s">
        <v>4241</v>
      </c>
      <c r="K1020" s="3" t="s">
        <v>4242</v>
      </c>
      <c r="L1020" s="3" t="s">
        <v>4243</v>
      </c>
      <c r="M1020" s="3" t="n">
        <v>162182</v>
      </c>
      <c r="N1020" s="3" t="s">
        <v>1065</v>
      </c>
      <c r="O1020" s="1" t="n">
        <v>145796</v>
      </c>
      <c r="P1020" s="1" t="n">
        <v>89.9</v>
      </c>
      <c r="Q1020" s="1" t="s">
        <v>20</v>
      </c>
      <c r="R1020" s="1" t="s">
        <v>27</v>
      </c>
      <c r="S1020" s="1" t="s">
        <v>28</v>
      </c>
      <c r="T1020" s="1" t="s">
        <v>29</v>
      </c>
    </row>
    <row r="1021" customFormat="false" ht="18.7" hidden="false" customHeight="true" outlineLevel="0" collapsed="false">
      <c r="A1021" s="1" t="n">
        <v>1020</v>
      </c>
      <c r="B1021" s="6" t="str">
        <f aca="false">HYPERLINK("https://mncourtfraud.com/file/MCRO_27-CR-20-23521_Notice of Remote Hearing with Instructions_2021-08-18_20240430090517.pdf","MCRO_27-CR-20-23521_Notice of Remote Hearing with Instructions_2021-08-18_20240430090517.pdf")</f>
        <v>MCRO_27-CR-20-23521_Notice of Remote Hearing with Instructions_2021-08-18_20240430090517.pdf</v>
      </c>
      <c r="C1021" s="1" t="n">
        <v>4</v>
      </c>
      <c r="D1021" s="1" t="n">
        <v>1</v>
      </c>
      <c r="E1021" s="1" t="n">
        <v>1</v>
      </c>
      <c r="F1021" s="3" t="s">
        <v>20</v>
      </c>
      <c r="G1021" s="3" t="s">
        <v>4244</v>
      </c>
      <c r="H1021" s="1" t="s">
        <v>22</v>
      </c>
      <c r="I1021" s="1" t="n">
        <v>20240430090517</v>
      </c>
      <c r="J1021" s="3" t="s">
        <v>4245</v>
      </c>
      <c r="K1021" s="3" t="s">
        <v>4246</v>
      </c>
      <c r="L1021" s="3" t="s">
        <v>4247</v>
      </c>
      <c r="M1021" s="3" t="n">
        <v>836398</v>
      </c>
      <c r="N1021" s="3" t="s">
        <v>1065</v>
      </c>
      <c r="O1021" s="1" t="n">
        <v>820012</v>
      </c>
      <c r="P1021" s="1" t="n">
        <v>98.04</v>
      </c>
      <c r="Q1021" s="1" t="s">
        <v>20</v>
      </c>
      <c r="R1021" s="1" t="s">
        <v>27</v>
      </c>
      <c r="S1021" s="1" t="s">
        <v>28</v>
      </c>
      <c r="T1021" s="1" t="s">
        <v>29</v>
      </c>
    </row>
    <row r="1022" customFormat="false" ht="18.7" hidden="false" customHeight="true" outlineLevel="0" collapsed="false">
      <c r="A1022" s="1" t="n">
        <v>1021</v>
      </c>
      <c r="B1022" s="6" t="str">
        <f aca="false">HYPERLINK("https://mncourtfraud.com/file/MCRO_27-CR-20-23521_Order-Evaluation for Competency to Proceed (Rule 20.01)_2022-11-09_20240430090512.pdf","MCRO_27-CR-20-23521_Order-Evaluation for Competency to Proceed (Rule 20.01)_2022-11-09_20240430090512.pdf")</f>
        <v>MCRO_27-CR-20-23521_Order-Evaluation for Competency to Proceed (Rule 20.01)_2022-11-09_20240430090512.pdf</v>
      </c>
      <c r="C1022" s="1" t="n">
        <v>5</v>
      </c>
      <c r="D1022" s="1" t="n">
        <v>2</v>
      </c>
      <c r="E1022" s="1" t="n">
        <v>2</v>
      </c>
      <c r="F1022" s="3" t="s">
        <v>20</v>
      </c>
      <c r="G1022" s="3" t="s">
        <v>4248</v>
      </c>
      <c r="H1022" s="1" t="s">
        <v>22</v>
      </c>
      <c r="I1022" s="1" t="n">
        <v>20240430090512</v>
      </c>
      <c r="J1022" s="3" t="s">
        <v>4249</v>
      </c>
      <c r="K1022" s="3" t="s">
        <v>4250</v>
      </c>
      <c r="L1022" s="3" t="s">
        <v>4251</v>
      </c>
      <c r="M1022" s="3" t="n">
        <v>842770</v>
      </c>
      <c r="N1022" s="3" t="s">
        <v>801</v>
      </c>
      <c r="O1022" s="1" t="n">
        <v>826384</v>
      </c>
      <c r="P1022" s="1" t="n">
        <v>98.06</v>
      </c>
      <c r="Q1022" s="1" t="s">
        <v>20</v>
      </c>
      <c r="R1022" s="1" t="s">
        <v>27</v>
      </c>
      <c r="S1022" s="1" t="s">
        <v>28</v>
      </c>
      <c r="T1022" s="1" t="s">
        <v>29</v>
      </c>
    </row>
    <row r="1023" customFormat="false" ht="18.7" hidden="false" customHeight="true" outlineLevel="0" collapsed="false">
      <c r="A1023" s="1" t="n">
        <v>1022</v>
      </c>
      <c r="B1023" s="6" t="str">
        <f aca="false">HYPERLINK("https://mncourtfraud.com/file/MCRO_27-CR-20-23521_Order for Conditional Release_2020-11-05_20240430090527.pdf","MCRO_27-CR-20-23521_Order for Conditional Release_2020-11-05_20240430090527.pdf")</f>
        <v>MCRO_27-CR-20-23521_Order for Conditional Release_2020-11-05_20240430090527.pdf</v>
      </c>
      <c r="C1023" s="1" t="n">
        <v>4</v>
      </c>
      <c r="D1023" s="1" t="n">
        <v>1</v>
      </c>
      <c r="E1023" s="1" t="n">
        <v>1</v>
      </c>
      <c r="F1023" s="3" t="s">
        <v>20</v>
      </c>
      <c r="G1023" s="3" t="s">
        <v>4252</v>
      </c>
      <c r="H1023" s="1" t="s">
        <v>22</v>
      </c>
      <c r="I1023" s="1" t="n">
        <v>20240430090527</v>
      </c>
      <c r="J1023" s="3" t="s">
        <v>4253</v>
      </c>
      <c r="K1023" s="3" t="s">
        <v>4254</v>
      </c>
      <c r="L1023" s="3" t="s">
        <v>4255</v>
      </c>
      <c r="M1023" s="3" t="n">
        <v>859354</v>
      </c>
      <c r="N1023" s="3" t="s">
        <v>137</v>
      </c>
      <c r="O1023" s="1" t="n">
        <v>842968</v>
      </c>
      <c r="P1023" s="1" t="n">
        <v>98.09</v>
      </c>
      <c r="Q1023" s="1" t="s">
        <v>20</v>
      </c>
      <c r="R1023" s="1" t="s">
        <v>27</v>
      </c>
      <c r="S1023" s="1" t="s">
        <v>28</v>
      </c>
      <c r="T1023" s="1" t="s">
        <v>29</v>
      </c>
    </row>
    <row r="1024" customFormat="false" ht="18.7" hidden="false" customHeight="true" outlineLevel="0" collapsed="false">
      <c r="A1024" s="1" t="n">
        <v>1023</v>
      </c>
      <c r="B1024" s="6" t="str">
        <f aca="false">HYPERLINK("https://mncourtfraud.com/file/MCRO_27-CR-20-23521_Order for Conditional Release_2021-08-18_20240430090516.pdf","MCRO_27-CR-20-23521_Order for Conditional Release_2021-08-18_20240430090516.pdf")</f>
        <v>MCRO_27-CR-20-23521_Order for Conditional Release_2021-08-18_20240430090516.pdf</v>
      </c>
      <c r="C1024" s="1" t="n">
        <v>4</v>
      </c>
      <c r="D1024" s="1" t="n">
        <v>1</v>
      </c>
      <c r="E1024" s="1" t="n">
        <v>1</v>
      </c>
      <c r="F1024" s="3" t="s">
        <v>20</v>
      </c>
      <c r="G1024" s="3" t="s">
        <v>4256</v>
      </c>
      <c r="H1024" s="1" t="s">
        <v>22</v>
      </c>
      <c r="I1024" s="1" t="n">
        <v>20240430090516</v>
      </c>
      <c r="J1024" s="3" t="s">
        <v>4257</v>
      </c>
      <c r="K1024" s="3" t="s">
        <v>4258</v>
      </c>
      <c r="L1024" s="3" t="s">
        <v>4259</v>
      </c>
      <c r="M1024" s="3" t="n">
        <v>794845</v>
      </c>
      <c r="N1024" s="3" t="s">
        <v>456</v>
      </c>
      <c r="O1024" s="1" t="n">
        <v>778459</v>
      </c>
      <c r="P1024" s="1" t="n">
        <v>97.94</v>
      </c>
      <c r="Q1024" s="1" t="s">
        <v>20</v>
      </c>
      <c r="R1024" s="1" t="s">
        <v>27</v>
      </c>
      <c r="S1024" s="1" t="s">
        <v>28</v>
      </c>
      <c r="T1024" s="1" t="s">
        <v>29</v>
      </c>
    </row>
    <row r="1025" customFormat="false" ht="18.7" hidden="false" customHeight="true" outlineLevel="0" collapsed="false">
      <c r="A1025" s="1" t="n">
        <v>1024</v>
      </c>
      <c r="B1025" s="6" t="str">
        <f aca="false">HYPERLINK("https://mncourtfraud.com/file/MCRO_27-CR-20-23521_Order for Conditional Release_2022-10-31_20240430090514.pdf","MCRO_27-CR-20-23521_Order for Conditional Release_2022-10-31_20240430090514.pdf")</f>
        <v>MCRO_27-CR-20-23521_Order for Conditional Release_2022-10-31_20240430090514.pdf</v>
      </c>
      <c r="C1025" s="1" t="n">
        <v>4</v>
      </c>
      <c r="D1025" s="1" t="n">
        <v>1</v>
      </c>
      <c r="E1025" s="1" t="n">
        <v>1</v>
      </c>
      <c r="F1025" s="3" t="s">
        <v>20</v>
      </c>
      <c r="G1025" s="3" t="s">
        <v>4260</v>
      </c>
      <c r="H1025" s="1" t="s">
        <v>22</v>
      </c>
      <c r="I1025" s="1" t="n">
        <v>20240430090514</v>
      </c>
      <c r="J1025" s="3" t="s">
        <v>4261</v>
      </c>
      <c r="K1025" s="3" t="s">
        <v>4262</v>
      </c>
      <c r="L1025" s="3" t="s">
        <v>4263</v>
      </c>
      <c r="M1025" s="3" t="n">
        <v>109282</v>
      </c>
      <c r="N1025" s="3" t="s">
        <v>435</v>
      </c>
      <c r="O1025" s="1" t="n">
        <v>92896</v>
      </c>
      <c r="P1025" s="1" t="n">
        <v>85.01</v>
      </c>
      <c r="Q1025" s="1" t="s">
        <v>20</v>
      </c>
      <c r="R1025" s="1" t="s">
        <v>27</v>
      </c>
      <c r="S1025" s="1" t="s">
        <v>28</v>
      </c>
      <c r="T1025" s="1" t="s">
        <v>29</v>
      </c>
    </row>
    <row r="1026" customFormat="false" ht="18.7" hidden="false" customHeight="true" outlineLevel="0" collapsed="false">
      <c r="A1026" s="1" t="n">
        <v>1025</v>
      </c>
      <c r="B1026" s="6" t="str">
        <f aca="false">HYPERLINK("https://mncourtfraud.com/file/MCRO_27-CR-20-23521_Order for Conditional Release_2023-02-14_20240430090508.pdf","MCRO_27-CR-20-23521_Order for Conditional Release_2023-02-14_20240430090508.pdf")</f>
        <v>MCRO_27-CR-20-23521_Order for Conditional Release_2023-02-14_20240430090508.pdf</v>
      </c>
      <c r="C1026" s="1" t="n">
        <v>9</v>
      </c>
      <c r="D1026" s="1" t="n">
        <v>3</v>
      </c>
      <c r="E1026" s="1" t="n">
        <v>3</v>
      </c>
      <c r="F1026" s="3" t="s">
        <v>27</v>
      </c>
      <c r="G1026" s="3" t="s">
        <v>4264</v>
      </c>
      <c r="H1026" s="1" t="s">
        <v>22</v>
      </c>
      <c r="I1026" s="1" t="n">
        <v>20240430090508</v>
      </c>
      <c r="J1026" s="3" t="s">
        <v>4199</v>
      </c>
      <c r="K1026" s="3" t="s">
        <v>4200</v>
      </c>
      <c r="L1026" s="3" t="s">
        <v>4265</v>
      </c>
      <c r="M1026" s="3" t="n">
        <v>902644</v>
      </c>
      <c r="N1026" s="3" t="s">
        <v>3832</v>
      </c>
      <c r="O1026" s="1" t="n">
        <v>886258</v>
      </c>
      <c r="P1026" s="1" t="n">
        <v>98.18</v>
      </c>
      <c r="Q1026" s="1" t="s">
        <v>20</v>
      </c>
      <c r="R1026" s="1" t="s">
        <v>27</v>
      </c>
      <c r="S1026" s="1" t="s">
        <v>28</v>
      </c>
      <c r="T1026" s="1" t="s">
        <v>29</v>
      </c>
    </row>
    <row r="1027" customFormat="false" ht="18.7" hidden="false" customHeight="true" outlineLevel="0" collapsed="false">
      <c r="A1027" s="1" t="n">
        <v>1026</v>
      </c>
      <c r="B1027" s="6" t="str">
        <f aca="false">HYPERLINK("https://mncourtfraud.com/file/MCRO_27-CR-20-23521_Other Document_2022-10-31_20240430090513.pdf","MCRO_27-CR-20-23521_Other Document_2022-10-31_20240430090513.pdf")</f>
        <v>MCRO_27-CR-20-23521_Other Document_2022-10-31_20240430090513.pdf</v>
      </c>
      <c r="C1027" s="1" t="n">
        <v>4</v>
      </c>
      <c r="D1027" s="1" t="n">
        <v>1</v>
      </c>
      <c r="E1027" s="1" t="n">
        <v>1</v>
      </c>
      <c r="F1027" s="3" t="s">
        <v>20</v>
      </c>
      <c r="G1027" s="3" t="s">
        <v>4266</v>
      </c>
      <c r="H1027" s="1" t="s">
        <v>22</v>
      </c>
      <c r="I1027" s="1" t="n">
        <v>20240430090513</v>
      </c>
      <c r="J1027" s="3" t="s">
        <v>4267</v>
      </c>
      <c r="K1027" s="3" t="s">
        <v>4268</v>
      </c>
      <c r="L1027" s="3" t="s">
        <v>4269</v>
      </c>
      <c r="M1027" s="3" t="n">
        <v>98453</v>
      </c>
      <c r="N1027" s="3" t="s">
        <v>435</v>
      </c>
      <c r="O1027" s="1" t="n">
        <v>82067</v>
      </c>
      <c r="P1027" s="1" t="n">
        <v>83.36</v>
      </c>
      <c r="Q1027" s="1" t="s">
        <v>20</v>
      </c>
      <c r="R1027" s="1" t="s">
        <v>27</v>
      </c>
      <c r="S1027" s="1" t="s">
        <v>28</v>
      </c>
      <c r="T1027" s="1" t="s">
        <v>29</v>
      </c>
    </row>
    <row r="1028" customFormat="false" ht="18.7" hidden="false" customHeight="true" outlineLevel="0" collapsed="false">
      <c r="A1028" s="1" t="n">
        <v>1027</v>
      </c>
      <c r="B1028" s="6" t="str">
        <f aca="false">HYPERLINK("https://mncourtfraud.com/file/MCRO_27-CR-20-23521_Other Document_2022-11-09_20240430090511.pdf","MCRO_27-CR-20-23521_Other Document_2022-11-09_20240430090511.pdf")</f>
        <v>MCRO_27-CR-20-23521_Other Document_2022-11-09_20240430090511.pdf</v>
      </c>
      <c r="C1028" s="1" t="n">
        <v>4</v>
      </c>
      <c r="D1028" s="1" t="n">
        <v>1</v>
      </c>
      <c r="E1028" s="1" t="n">
        <v>1</v>
      </c>
      <c r="F1028" s="3" t="s">
        <v>20</v>
      </c>
      <c r="G1028" s="3" t="s">
        <v>4270</v>
      </c>
      <c r="H1028" s="1" t="s">
        <v>22</v>
      </c>
      <c r="I1028" s="1" t="n">
        <v>20240430090511</v>
      </c>
      <c r="J1028" s="3" t="s">
        <v>4271</v>
      </c>
      <c r="K1028" s="3" t="s">
        <v>4272</v>
      </c>
      <c r="L1028" s="3" t="s">
        <v>4273</v>
      </c>
      <c r="M1028" s="3" t="n">
        <v>758871</v>
      </c>
      <c r="N1028" s="3" t="s">
        <v>2342</v>
      </c>
      <c r="O1028" s="1" t="n">
        <v>742485</v>
      </c>
      <c r="P1028" s="1" t="n">
        <v>97.84</v>
      </c>
      <c r="Q1028" s="1" t="s">
        <v>20</v>
      </c>
      <c r="R1028" s="1" t="s">
        <v>27</v>
      </c>
      <c r="S1028" s="1" t="s">
        <v>28</v>
      </c>
      <c r="T1028" s="1" t="s">
        <v>29</v>
      </c>
    </row>
    <row r="1029" customFormat="false" ht="18.7" hidden="false" customHeight="true" outlineLevel="0" collapsed="false">
      <c r="A1029" s="1" t="n">
        <v>1028</v>
      </c>
      <c r="B1029" s="6" t="str">
        <f aca="false">HYPERLINK("https://mncourtfraud.com/file/MCRO_27-CR-20-26577_Amended Order_2024-01-10_20240430090600.pdf","MCRO_27-CR-20-26577_Amended Order_2024-01-10_20240430090600.pdf")</f>
        <v>MCRO_27-CR-20-26577_Amended Order_2024-01-10_20240430090600.pdf</v>
      </c>
      <c r="C1029" s="1" t="n">
        <v>6</v>
      </c>
      <c r="D1029" s="1" t="n">
        <v>3</v>
      </c>
      <c r="E1029" s="1" t="n">
        <v>3</v>
      </c>
      <c r="F1029" s="3" t="s">
        <v>20</v>
      </c>
      <c r="G1029" s="3" t="s">
        <v>4274</v>
      </c>
      <c r="H1029" s="1" t="s">
        <v>22</v>
      </c>
      <c r="I1029" s="1" t="n">
        <v>20240430090600</v>
      </c>
      <c r="J1029" s="3" t="s">
        <v>4275</v>
      </c>
      <c r="K1029" s="3" t="s">
        <v>4276</v>
      </c>
      <c r="L1029" s="3" t="s">
        <v>4277</v>
      </c>
      <c r="M1029" s="3" t="n">
        <v>259694</v>
      </c>
      <c r="N1029" s="3" t="s">
        <v>4278</v>
      </c>
      <c r="O1029" s="1" t="n">
        <v>243308</v>
      </c>
      <c r="P1029" s="1" t="n">
        <v>93.69</v>
      </c>
      <c r="Q1029" s="1" t="s">
        <v>20</v>
      </c>
      <c r="R1029" s="1" t="s">
        <v>27</v>
      </c>
      <c r="S1029" s="1" t="s">
        <v>28</v>
      </c>
      <c r="T1029" s="1" t="s">
        <v>29</v>
      </c>
    </row>
    <row r="1030" customFormat="false" ht="18.7" hidden="false" customHeight="true" outlineLevel="0" collapsed="false">
      <c r="A1030" s="1" t="n">
        <v>1029</v>
      </c>
      <c r="B1030" s="6" t="str">
        <f aca="false">HYPERLINK("https://mncourtfraud.com/file/MCRO_27-CR-20-26577_Amended Order_2024-01-12_20240430090558.pdf","MCRO_27-CR-20-26577_Amended Order_2024-01-12_20240430090558.pdf")</f>
        <v>MCRO_27-CR-20-26577_Amended Order_2024-01-12_20240430090558.pdf</v>
      </c>
      <c r="C1030" s="1" t="n">
        <v>6</v>
      </c>
      <c r="D1030" s="1" t="n">
        <v>4</v>
      </c>
      <c r="E1030" s="1" t="n">
        <v>4</v>
      </c>
      <c r="F1030" s="3" t="s">
        <v>20</v>
      </c>
      <c r="G1030" s="3" t="s">
        <v>4279</v>
      </c>
      <c r="H1030" s="1" t="s">
        <v>22</v>
      </c>
      <c r="I1030" s="1" t="n">
        <v>20240430090558</v>
      </c>
      <c r="J1030" s="3" t="s">
        <v>4280</v>
      </c>
      <c r="K1030" s="3" t="s">
        <v>4281</v>
      </c>
      <c r="L1030" s="3" t="s">
        <v>4282</v>
      </c>
      <c r="M1030" s="3" t="n">
        <v>333252</v>
      </c>
      <c r="N1030" s="3" t="s">
        <v>1475</v>
      </c>
      <c r="O1030" s="1" t="n">
        <v>316866</v>
      </c>
      <c r="P1030" s="1" t="n">
        <v>95.08</v>
      </c>
      <c r="Q1030" s="1" t="s">
        <v>20</v>
      </c>
      <c r="R1030" s="1" t="s">
        <v>27</v>
      </c>
      <c r="S1030" s="1" t="s">
        <v>28</v>
      </c>
      <c r="T1030" s="1" t="s">
        <v>29</v>
      </c>
    </row>
    <row r="1031" customFormat="false" ht="18.7" hidden="false" customHeight="true" outlineLevel="0" collapsed="false">
      <c r="A1031" s="1" t="n">
        <v>1030</v>
      </c>
      <c r="B1031" s="6" t="str">
        <f aca="false">HYPERLINK("https://mncourtfraud.com/file/MCRO_27-CR-20-26577_Amended Order_2024-01-19_20240430090556.pdf","MCRO_27-CR-20-26577_Amended Order_2024-01-19_20240430090556.pdf")</f>
        <v>MCRO_27-CR-20-26577_Amended Order_2024-01-19_20240430090556.pdf</v>
      </c>
      <c r="C1031" s="1" t="n">
        <v>9</v>
      </c>
      <c r="D1031" s="1" t="n">
        <v>5</v>
      </c>
      <c r="E1031" s="1" t="n">
        <v>5</v>
      </c>
      <c r="F1031" s="3" t="s">
        <v>20</v>
      </c>
      <c r="G1031" s="3" t="s">
        <v>4283</v>
      </c>
      <c r="H1031" s="1" t="s">
        <v>22</v>
      </c>
      <c r="I1031" s="1" t="n">
        <v>20240430090556</v>
      </c>
      <c r="J1031" s="3" t="s">
        <v>4284</v>
      </c>
      <c r="K1031" s="3" t="s">
        <v>4285</v>
      </c>
      <c r="L1031" s="3" t="s">
        <v>4286</v>
      </c>
      <c r="M1031" s="3" t="n">
        <v>487410</v>
      </c>
      <c r="N1031" s="3" t="s">
        <v>4287</v>
      </c>
      <c r="O1031" s="1" t="n">
        <v>471024</v>
      </c>
      <c r="P1031" s="1" t="n">
        <v>96.64</v>
      </c>
      <c r="Q1031" s="1" t="s">
        <v>20</v>
      </c>
      <c r="R1031" s="1" t="s">
        <v>27</v>
      </c>
      <c r="S1031" s="1" t="s">
        <v>28</v>
      </c>
      <c r="T1031" s="1" t="s">
        <v>29</v>
      </c>
    </row>
    <row r="1032" customFormat="false" ht="18.7" hidden="false" customHeight="true" outlineLevel="0" collapsed="false">
      <c r="A1032" s="1" t="n">
        <v>1031</v>
      </c>
      <c r="B1032" s="6" t="str">
        <f aca="false">HYPERLINK("https://mncourtfraud.com/file/MCRO_27-CR-20-26577_Briefs_2021-04-29_20240430090630.pdf","MCRO_27-CR-20-26577_Briefs_2021-04-29_20240430090630.pdf")</f>
        <v>MCRO_27-CR-20-26577_Briefs_2021-04-29_20240430090630.pdf</v>
      </c>
      <c r="C1032" s="1" t="n">
        <v>3</v>
      </c>
      <c r="D1032" s="1" t="n">
        <v>1</v>
      </c>
      <c r="E1032" s="1" t="n">
        <v>1</v>
      </c>
      <c r="F1032" s="3" t="s">
        <v>20</v>
      </c>
      <c r="G1032" s="3" t="s">
        <v>4288</v>
      </c>
      <c r="H1032" s="1" t="s">
        <v>22</v>
      </c>
      <c r="I1032" s="1" t="n">
        <v>20240430090630</v>
      </c>
      <c r="J1032" s="3" t="s">
        <v>4289</v>
      </c>
      <c r="K1032" s="3" t="s">
        <v>4290</v>
      </c>
      <c r="L1032" s="3" t="s">
        <v>4291</v>
      </c>
      <c r="M1032" s="3" t="n">
        <v>402683</v>
      </c>
      <c r="N1032" s="3" t="s">
        <v>4292</v>
      </c>
      <c r="O1032" s="1" t="n">
        <v>386297</v>
      </c>
      <c r="P1032" s="1" t="n">
        <v>95.93</v>
      </c>
      <c r="Q1032" s="1" t="s">
        <v>20</v>
      </c>
      <c r="R1032" s="1" t="s">
        <v>27</v>
      </c>
      <c r="S1032" s="1" t="s">
        <v>28</v>
      </c>
      <c r="T1032" s="1" t="s">
        <v>29</v>
      </c>
    </row>
    <row r="1033" customFormat="false" ht="18.7" hidden="false" customHeight="true" outlineLevel="0" collapsed="false">
      <c r="A1033" s="1" t="n">
        <v>1032</v>
      </c>
      <c r="B1033" s="6" t="str">
        <f aca="false">HYPERLINK("https://mncourtfraud.com/file/MCRO_27-CR-20-26577_Correspondence_2023-01-20_20240430090609.pdf","MCRO_27-CR-20-26577_Correspondence_2023-01-20_20240430090609.pdf")</f>
        <v>MCRO_27-CR-20-26577_Correspondence_2023-01-20_20240430090609.pdf</v>
      </c>
      <c r="C1033" s="1" t="n">
        <v>5</v>
      </c>
      <c r="D1033" s="1" t="n">
        <v>4</v>
      </c>
      <c r="E1033" s="1" t="n">
        <v>4</v>
      </c>
      <c r="F1033" s="3" t="s">
        <v>20</v>
      </c>
      <c r="G1033" s="3" t="s">
        <v>4293</v>
      </c>
      <c r="H1033" s="1" t="s">
        <v>22</v>
      </c>
      <c r="I1033" s="1" t="n">
        <v>20240430090609</v>
      </c>
      <c r="J1033" s="3" t="s">
        <v>4294</v>
      </c>
      <c r="K1033" s="3" t="s">
        <v>4295</v>
      </c>
      <c r="L1033" s="3" t="s">
        <v>4296</v>
      </c>
      <c r="M1033" s="3" t="n">
        <v>306405</v>
      </c>
      <c r="N1033" s="3" t="s">
        <v>4297</v>
      </c>
      <c r="O1033" s="1" t="n">
        <v>290019</v>
      </c>
      <c r="P1033" s="1" t="n">
        <v>94.65</v>
      </c>
      <c r="Q1033" s="1" t="s">
        <v>20</v>
      </c>
      <c r="R1033" s="1" t="s">
        <v>27</v>
      </c>
      <c r="S1033" s="1" t="s">
        <v>28</v>
      </c>
      <c r="T1033" s="1" t="s">
        <v>29</v>
      </c>
    </row>
    <row r="1034" customFormat="false" ht="18.7" hidden="false" customHeight="true" outlineLevel="0" collapsed="false">
      <c r="A1034" s="1" t="n">
        <v>1033</v>
      </c>
      <c r="B1034" s="6" t="str">
        <f aca="false">HYPERLINK("https://mncourtfraud.com/file/MCRO_27-CR-20-26577_Correspondence for Judicial Approval_2022-10-26_20240430090613.pdf","MCRO_27-CR-20-26577_Correspondence for Judicial Approval_2022-10-26_20240430090613.pdf")</f>
        <v>MCRO_27-CR-20-26577_Correspondence for Judicial Approval_2022-10-26_20240430090613.pdf</v>
      </c>
      <c r="C1034" s="1" t="n">
        <v>3</v>
      </c>
      <c r="D1034" s="1" t="n">
        <v>1</v>
      </c>
      <c r="E1034" s="1" t="n">
        <v>1</v>
      </c>
      <c r="F1034" s="3" t="s">
        <v>20</v>
      </c>
      <c r="G1034" s="3" t="s">
        <v>4298</v>
      </c>
      <c r="H1034" s="1" t="s">
        <v>22</v>
      </c>
      <c r="I1034" s="1" t="n">
        <v>20240430090613</v>
      </c>
      <c r="J1034" s="3" t="s">
        <v>4299</v>
      </c>
      <c r="K1034" s="3" t="s">
        <v>4300</v>
      </c>
      <c r="L1034" s="3" t="s">
        <v>4301</v>
      </c>
      <c r="M1034" s="3" t="n">
        <v>210767</v>
      </c>
      <c r="N1034" s="3" t="s">
        <v>2416</v>
      </c>
      <c r="O1034" s="1" t="n">
        <v>194381</v>
      </c>
      <c r="P1034" s="1" t="n">
        <v>92.23</v>
      </c>
      <c r="Q1034" s="1" t="s">
        <v>20</v>
      </c>
      <c r="R1034" s="1" t="s">
        <v>27</v>
      </c>
      <c r="S1034" s="1" t="s">
        <v>28</v>
      </c>
      <c r="T1034" s="1" t="s">
        <v>29</v>
      </c>
    </row>
    <row r="1035" customFormat="false" ht="18.7" hidden="false" customHeight="true" outlineLevel="0" collapsed="false">
      <c r="A1035" s="1" t="n">
        <v>1034</v>
      </c>
      <c r="B1035" s="6" t="str">
        <f aca="false">HYPERLINK("https://mncourtfraud.com/file/MCRO_27-CR-20-26577_Demand or Request for Discovery_2020-12-16_20240430090635.pdf","MCRO_27-CR-20-26577_Demand or Request for Discovery_2020-12-16_20240430090635.pdf")</f>
        <v>MCRO_27-CR-20-26577_Demand or Request for Discovery_2020-12-16_20240430090635.pdf</v>
      </c>
      <c r="C1035" s="1" t="n">
        <v>3</v>
      </c>
      <c r="D1035" s="1" t="n">
        <v>1</v>
      </c>
      <c r="E1035" s="1" t="n">
        <v>1</v>
      </c>
      <c r="F1035" s="3" t="s">
        <v>20</v>
      </c>
      <c r="G1035" s="3" t="s">
        <v>4302</v>
      </c>
      <c r="H1035" s="1" t="s">
        <v>22</v>
      </c>
      <c r="I1035" s="1" t="n">
        <v>20240430090635</v>
      </c>
      <c r="J1035" s="3" t="s">
        <v>4303</v>
      </c>
      <c r="K1035" s="3" t="s">
        <v>4304</v>
      </c>
      <c r="L1035" s="3" t="s">
        <v>4305</v>
      </c>
      <c r="M1035" s="3" t="n">
        <v>420681</v>
      </c>
      <c r="N1035" s="3" t="s">
        <v>4306</v>
      </c>
      <c r="O1035" s="1" t="n">
        <v>404295</v>
      </c>
      <c r="P1035" s="1" t="n">
        <v>96.1</v>
      </c>
      <c r="Q1035" s="1" t="s">
        <v>20</v>
      </c>
      <c r="R1035" s="1" t="s">
        <v>27</v>
      </c>
      <c r="S1035" s="1" t="s">
        <v>28</v>
      </c>
      <c r="T1035" s="1" t="s">
        <v>29</v>
      </c>
    </row>
    <row r="1036" customFormat="false" ht="18.7" hidden="false" customHeight="true" outlineLevel="0" collapsed="false">
      <c r="A1036" s="1" t="n">
        <v>1035</v>
      </c>
      <c r="B1036" s="6" t="str">
        <f aca="false">HYPERLINK("https://mncourtfraud.com/file/MCRO_27-CR-20-26577_E-filed Comp-Order for Detention_2020-12-14_20240430090636.pdf","MCRO_27-CR-20-26577_E-filed Comp-Order for Detention_2020-12-14_20240430090636.pdf")</f>
        <v>MCRO_27-CR-20-26577_E-filed Comp-Order for Detention_2020-12-14_20240430090636.pdf</v>
      </c>
      <c r="C1036" s="1" t="n">
        <v>4</v>
      </c>
      <c r="D1036" s="1" t="n">
        <v>2</v>
      </c>
      <c r="E1036" s="1" t="n">
        <v>2</v>
      </c>
      <c r="F1036" s="3" t="s">
        <v>20</v>
      </c>
      <c r="G1036" s="3" t="s">
        <v>4307</v>
      </c>
      <c r="H1036" s="1" t="s">
        <v>22</v>
      </c>
      <c r="I1036" s="1" t="n">
        <v>20240430090636</v>
      </c>
      <c r="J1036" s="3" t="s">
        <v>4308</v>
      </c>
      <c r="K1036" s="3" t="s">
        <v>4309</v>
      </c>
      <c r="L1036" s="3" t="s">
        <v>4310</v>
      </c>
      <c r="M1036" s="3" t="n">
        <v>663303</v>
      </c>
      <c r="N1036" s="3" t="s">
        <v>4311</v>
      </c>
      <c r="O1036" s="1" t="n">
        <v>646917</v>
      </c>
      <c r="P1036" s="1" t="n">
        <v>97.53</v>
      </c>
      <c r="Q1036" s="1" t="s">
        <v>20</v>
      </c>
      <c r="R1036" s="1" t="s">
        <v>27</v>
      </c>
      <c r="S1036" s="1" t="s">
        <v>28</v>
      </c>
      <c r="T1036" s="1" t="s">
        <v>29</v>
      </c>
    </row>
    <row r="1037" customFormat="false" ht="18.7" hidden="false" customHeight="true" outlineLevel="0" collapsed="false">
      <c r="A1037" s="1" t="n">
        <v>1036</v>
      </c>
      <c r="B1037" s="6" t="str">
        <f aca="false">HYPERLINK("https://mncourtfraud.com/file/MCRO_27-CR-20-26577_Findings and Order_2022-01-04_20240430090624.pdf","MCRO_27-CR-20-26577_Findings and Order_2022-01-04_20240430090624.pdf")</f>
        <v>MCRO_27-CR-20-26577_Findings and Order_2022-01-04_20240430090624.pdf</v>
      </c>
      <c r="C1037" s="1" t="n">
        <v>5</v>
      </c>
      <c r="D1037" s="1" t="n">
        <v>1</v>
      </c>
      <c r="E1037" s="1" t="n">
        <v>1</v>
      </c>
      <c r="F1037" s="3" t="s">
        <v>20</v>
      </c>
      <c r="G1037" s="3" t="s">
        <v>4312</v>
      </c>
      <c r="H1037" s="1" t="s">
        <v>22</v>
      </c>
      <c r="I1037" s="1" t="n">
        <v>20240430090624</v>
      </c>
      <c r="J1037" s="3" t="s">
        <v>4313</v>
      </c>
      <c r="K1037" s="3" t="s">
        <v>4314</v>
      </c>
      <c r="L1037" s="3" t="s">
        <v>4315</v>
      </c>
      <c r="M1037" s="3" t="n">
        <v>264018</v>
      </c>
      <c r="N1037" s="3" t="s">
        <v>3842</v>
      </c>
      <c r="O1037" s="1" t="n">
        <v>247632</v>
      </c>
      <c r="P1037" s="1" t="n">
        <v>93.79</v>
      </c>
      <c r="Q1037" s="1" t="s">
        <v>20</v>
      </c>
      <c r="R1037" s="1" t="s">
        <v>27</v>
      </c>
      <c r="S1037" s="1" t="s">
        <v>28</v>
      </c>
      <c r="T1037" s="1" t="s">
        <v>29</v>
      </c>
    </row>
    <row r="1038" customFormat="false" ht="18.7" hidden="false" customHeight="true" outlineLevel="0" collapsed="false">
      <c r="A1038" s="1" t="n">
        <v>1037</v>
      </c>
      <c r="B1038" s="6" t="str">
        <f aca="false">HYPERLINK("https://mncourtfraud.com/file/MCRO_27-CR-20-26577_Findings and Order_2022-11-08_20240430090610.pdf","MCRO_27-CR-20-26577_Findings and Order_2022-11-08_20240430090610.pdf")</f>
        <v>MCRO_27-CR-20-26577_Findings and Order_2022-11-08_20240430090610.pdf</v>
      </c>
      <c r="C1038" s="1" t="n">
        <v>5</v>
      </c>
      <c r="D1038" s="1" t="n">
        <v>1</v>
      </c>
      <c r="E1038" s="1" t="n">
        <v>1</v>
      </c>
      <c r="F1038" s="3" t="s">
        <v>20</v>
      </c>
      <c r="G1038" s="3" t="s">
        <v>4316</v>
      </c>
      <c r="H1038" s="1" t="s">
        <v>22</v>
      </c>
      <c r="I1038" s="1" t="n">
        <v>20240430090610</v>
      </c>
      <c r="J1038" s="3" t="s">
        <v>4317</v>
      </c>
      <c r="K1038" s="3" t="s">
        <v>4318</v>
      </c>
      <c r="L1038" s="3" t="s">
        <v>4319</v>
      </c>
      <c r="M1038" s="3" t="n">
        <v>266718</v>
      </c>
      <c r="N1038" s="3" t="s">
        <v>4320</v>
      </c>
      <c r="O1038" s="1" t="n">
        <v>250332</v>
      </c>
      <c r="P1038" s="1" t="n">
        <v>93.86</v>
      </c>
      <c r="Q1038" s="1" t="s">
        <v>20</v>
      </c>
      <c r="R1038" s="1" t="s">
        <v>27</v>
      </c>
      <c r="S1038" s="1" t="s">
        <v>28</v>
      </c>
      <c r="T1038" s="1" t="s">
        <v>29</v>
      </c>
    </row>
    <row r="1039" customFormat="false" ht="18.7" hidden="false" customHeight="true" outlineLevel="0" collapsed="false">
      <c r="A1039" s="1" t="n">
        <v>1038</v>
      </c>
      <c r="B1039" s="6" t="str">
        <f aca="false">HYPERLINK("https://mncourtfraud.com/file/MCRO_27-CR-20-26577_Memorandum_2021-05-21_20240430090628.pdf","MCRO_27-CR-20-26577_Memorandum_2021-05-21_20240430090628.pdf")</f>
        <v>MCRO_27-CR-20-26577_Memorandum_2021-05-21_20240430090628.pdf</v>
      </c>
      <c r="C1039" s="1" t="n">
        <v>3</v>
      </c>
      <c r="D1039" s="1" t="n">
        <v>1</v>
      </c>
      <c r="E1039" s="1" t="n">
        <v>1</v>
      </c>
      <c r="F1039" s="3" t="s">
        <v>20</v>
      </c>
      <c r="G1039" s="3" t="s">
        <v>4321</v>
      </c>
      <c r="H1039" s="1" t="s">
        <v>22</v>
      </c>
      <c r="I1039" s="1" t="n">
        <v>20240430090628</v>
      </c>
      <c r="J1039" s="3" t="s">
        <v>4322</v>
      </c>
      <c r="K1039" s="3" t="s">
        <v>4323</v>
      </c>
      <c r="L1039" s="3" t="s">
        <v>4324</v>
      </c>
      <c r="M1039" s="3" t="n">
        <v>395989</v>
      </c>
      <c r="N1039" s="3" t="s">
        <v>722</v>
      </c>
      <c r="O1039" s="1" t="n">
        <v>379603</v>
      </c>
      <c r="P1039" s="1" t="n">
        <v>95.86</v>
      </c>
      <c r="Q1039" s="1" t="s">
        <v>20</v>
      </c>
      <c r="R1039" s="1" t="s">
        <v>27</v>
      </c>
      <c r="S1039" s="1" t="s">
        <v>28</v>
      </c>
      <c r="T1039" s="1" t="s">
        <v>29</v>
      </c>
    </row>
    <row r="1040" customFormat="false" ht="18.7" hidden="false" customHeight="true" outlineLevel="0" collapsed="false">
      <c r="A1040" s="1" t="n">
        <v>1039</v>
      </c>
      <c r="B1040" s="6" t="str">
        <f aca="false">HYPERLINK("https://mncourtfraud.com/file/MCRO_27-CR-20-26577_Motion_2021-04-29_20240430090630.pdf","MCRO_27-CR-20-26577_Motion_2021-04-29_20240430090630.pdf")</f>
        <v>MCRO_27-CR-20-26577_Motion_2021-04-29_20240430090630.pdf</v>
      </c>
      <c r="C1040" s="1" t="n">
        <v>3</v>
      </c>
      <c r="D1040" s="1" t="n">
        <v>1</v>
      </c>
      <c r="E1040" s="1" t="n">
        <v>1</v>
      </c>
      <c r="F1040" s="3" t="s">
        <v>20</v>
      </c>
      <c r="G1040" s="3" t="s">
        <v>4325</v>
      </c>
      <c r="H1040" s="1" t="s">
        <v>22</v>
      </c>
      <c r="I1040" s="1" t="n">
        <v>20240430090630</v>
      </c>
      <c r="J1040" s="3" t="s">
        <v>4289</v>
      </c>
      <c r="K1040" s="3" t="s">
        <v>4290</v>
      </c>
      <c r="L1040" s="3" t="s">
        <v>4326</v>
      </c>
      <c r="M1040" s="3" t="n">
        <v>345984</v>
      </c>
      <c r="N1040" s="3" t="s">
        <v>535</v>
      </c>
      <c r="O1040" s="1" t="n">
        <v>329598</v>
      </c>
      <c r="P1040" s="1" t="n">
        <v>95.26</v>
      </c>
      <c r="Q1040" s="1" t="s">
        <v>20</v>
      </c>
      <c r="R1040" s="1" t="s">
        <v>27</v>
      </c>
      <c r="S1040" s="1" t="s">
        <v>28</v>
      </c>
      <c r="T1040" s="1" t="s">
        <v>29</v>
      </c>
    </row>
    <row r="1041" customFormat="false" ht="18.7" hidden="false" customHeight="true" outlineLevel="0" collapsed="false">
      <c r="A1041" s="1" t="n">
        <v>1040</v>
      </c>
      <c r="B1041" s="6" t="str">
        <f aca="false">HYPERLINK("https://mncourtfraud.com/file/MCRO_27-CR-20-26577_Notice of Hearing_2022-03-17_20240430090623.pdf","MCRO_27-CR-20-26577_Notice of Hearing_2022-03-17_20240430090623.pdf")</f>
        <v>MCRO_27-CR-20-26577_Notice of Hearing_2022-03-17_20240430090623.pdf</v>
      </c>
      <c r="C1041" s="1" t="n">
        <v>5</v>
      </c>
      <c r="D1041" s="1" t="n">
        <v>1</v>
      </c>
      <c r="E1041" s="1" t="n">
        <v>1</v>
      </c>
      <c r="F1041" s="3" t="s">
        <v>20</v>
      </c>
      <c r="G1041" s="3" t="s">
        <v>4327</v>
      </c>
      <c r="H1041" s="1" t="s">
        <v>22</v>
      </c>
      <c r="I1041" s="1" t="n">
        <v>20240430090623</v>
      </c>
      <c r="J1041" s="3" t="s">
        <v>4328</v>
      </c>
      <c r="K1041" s="3" t="s">
        <v>4329</v>
      </c>
      <c r="L1041" s="3" t="s">
        <v>4330</v>
      </c>
      <c r="M1041" s="3" t="n">
        <v>183760</v>
      </c>
      <c r="N1041" s="3" t="s">
        <v>3385</v>
      </c>
      <c r="O1041" s="1" t="n">
        <v>167374</v>
      </c>
      <c r="P1041" s="1" t="n">
        <v>91.08</v>
      </c>
      <c r="Q1041" s="1" t="s">
        <v>20</v>
      </c>
      <c r="R1041" s="1" t="s">
        <v>27</v>
      </c>
      <c r="S1041" s="1" t="s">
        <v>28</v>
      </c>
      <c r="T1041" s="1" t="s">
        <v>29</v>
      </c>
    </row>
    <row r="1042" customFormat="false" ht="18.7" hidden="false" customHeight="true" outlineLevel="0" collapsed="false">
      <c r="A1042" s="1" t="n">
        <v>1041</v>
      </c>
      <c r="B1042" s="6" t="str">
        <f aca="false">HYPERLINK("https://mncourtfraud.com/file/MCRO_27-CR-20-26577_Notice of Hearing_2022-07-12_20240430090617.pdf","MCRO_27-CR-20-26577_Notice of Hearing_2022-07-12_20240430090617.pdf")</f>
        <v>MCRO_27-CR-20-26577_Notice of Hearing_2022-07-12_20240430090617.pdf</v>
      </c>
      <c r="C1042" s="1" t="n">
        <v>6</v>
      </c>
      <c r="D1042" s="1" t="n">
        <v>1</v>
      </c>
      <c r="E1042" s="1" t="n">
        <v>1</v>
      </c>
      <c r="F1042" s="3" t="s">
        <v>20</v>
      </c>
      <c r="G1042" s="3" t="s">
        <v>4331</v>
      </c>
      <c r="H1042" s="1" t="s">
        <v>22</v>
      </c>
      <c r="I1042" s="1" t="n">
        <v>20240430090617</v>
      </c>
      <c r="J1042" s="3" t="s">
        <v>4332</v>
      </c>
      <c r="K1042" s="3" t="s">
        <v>4333</v>
      </c>
      <c r="L1042" s="3" t="s">
        <v>4334</v>
      </c>
      <c r="M1042" s="3" t="n">
        <v>797374</v>
      </c>
      <c r="N1042" s="3" t="s">
        <v>4335</v>
      </c>
      <c r="O1042" s="1" t="n">
        <v>780988</v>
      </c>
      <c r="P1042" s="1" t="n">
        <v>97.95</v>
      </c>
      <c r="Q1042" s="1" t="s">
        <v>20</v>
      </c>
      <c r="R1042" s="1" t="s">
        <v>27</v>
      </c>
      <c r="S1042" s="1" t="s">
        <v>28</v>
      </c>
      <c r="T1042" s="1" t="s">
        <v>29</v>
      </c>
    </row>
    <row r="1043" customFormat="false" ht="18.7" hidden="false" customHeight="true" outlineLevel="0" collapsed="false">
      <c r="A1043" s="1" t="n">
        <v>1042</v>
      </c>
      <c r="B1043" s="6" t="str">
        <f aca="false">HYPERLINK("https://mncourtfraud.com/file/MCRO_27-CR-20-26577_Notice of Hearing_2023-11-03_20240430090604.pdf","MCRO_27-CR-20-26577_Notice of Hearing_2023-11-03_20240430090604.pdf")</f>
        <v>MCRO_27-CR-20-26577_Notice of Hearing_2023-11-03_20240430090604.pdf</v>
      </c>
      <c r="C1043" s="1" t="n">
        <v>5</v>
      </c>
      <c r="D1043" s="1" t="n">
        <v>1</v>
      </c>
      <c r="E1043" s="1" t="n">
        <v>1</v>
      </c>
      <c r="F1043" s="3" t="s">
        <v>20</v>
      </c>
      <c r="G1043" s="3" t="s">
        <v>4336</v>
      </c>
      <c r="H1043" s="1" t="s">
        <v>22</v>
      </c>
      <c r="I1043" s="1" t="n">
        <v>20240430090604</v>
      </c>
      <c r="J1043" s="3" t="s">
        <v>4337</v>
      </c>
      <c r="K1043" s="3" t="s">
        <v>4338</v>
      </c>
      <c r="L1043" s="3" t="s">
        <v>4339</v>
      </c>
      <c r="M1043" s="3" t="n">
        <v>738350</v>
      </c>
      <c r="N1043" s="3" t="s">
        <v>4340</v>
      </c>
      <c r="O1043" s="1" t="n">
        <v>721964</v>
      </c>
      <c r="P1043" s="1" t="n">
        <v>97.78</v>
      </c>
      <c r="Q1043" s="1" t="s">
        <v>20</v>
      </c>
      <c r="R1043" s="1" t="s">
        <v>27</v>
      </c>
      <c r="S1043" s="1" t="s">
        <v>28</v>
      </c>
      <c r="T1043" s="1" t="s">
        <v>29</v>
      </c>
    </row>
    <row r="1044" customFormat="false" ht="18.7" hidden="false" customHeight="true" outlineLevel="0" collapsed="false">
      <c r="A1044" s="1" t="n">
        <v>1043</v>
      </c>
      <c r="B1044" s="6" t="str">
        <f aca="false">HYPERLINK("https://mncourtfraud.com/file/MCRO_27-CR-20-26577_Notice of Hearing_2023-12-21_20240430090602.pdf","MCRO_27-CR-20-26577_Notice of Hearing_2023-12-21_20240430090602.pdf")</f>
        <v>MCRO_27-CR-20-26577_Notice of Hearing_2023-12-21_20240430090602.pdf</v>
      </c>
      <c r="C1044" s="1" t="n">
        <v>5</v>
      </c>
      <c r="D1044" s="1" t="n">
        <v>1</v>
      </c>
      <c r="E1044" s="1" t="n">
        <v>1</v>
      </c>
      <c r="F1044" s="3" t="s">
        <v>20</v>
      </c>
      <c r="G1044" s="3" t="s">
        <v>4341</v>
      </c>
      <c r="H1044" s="1" t="s">
        <v>22</v>
      </c>
      <c r="I1044" s="1" t="n">
        <v>20240430090602</v>
      </c>
      <c r="J1044" s="3" t="s">
        <v>4342</v>
      </c>
      <c r="K1044" s="3" t="s">
        <v>4343</v>
      </c>
      <c r="L1044" s="3" t="s">
        <v>4344</v>
      </c>
      <c r="M1044" s="3" t="n">
        <v>739471</v>
      </c>
      <c r="N1044" s="3" t="s">
        <v>722</v>
      </c>
      <c r="O1044" s="1" t="n">
        <v>723085</v>
      </c>
      <c r="P1044" s="1" t="n">
        <v>97.78</v>
      </c>
      <c r="Q1044" s="1" t="s">
        <v>20</v>
      </c>
      <c r="R1044" s="1" t="s">
        <v>27</v>
      </c>
      <c r="S1044" s="1" t="s">
        <v>28</v>
      </c>
      <c r="T1044" s="1" t="s">
        <v>29</v>
      </c>
    </row>
    <row r="1045" customFormat="false" ht="18.7" hidden="false" customHeight="true" outlineLevel="0" collapsed="false">
      <c r="A1045" s="1" t="n">
        <v>1044</v>
      </c>
      <c r="B1045" s="6" t="str">
        <f aca="false">HYPERLINK("https://mncourtfraud.com/file/MCRO_27-CR-20-26577_Notice of Hearing_2024-03-15_20240430090553.pdf","MCRO_27-CR-20-26577_Notice of Hearing_2024-03-15_20240430090553.pdf")</f>
        <v>MCRO_27-CR-20-26577_Notice of Hearing_2024-03-15_20240430090553.pdf</v>
      </c>
      <c r="C1045" s="1" t="n">
        <v>5</v>
      </c>
      <c r="D1045" s="1" t="n">
        <v>1</v>
      </c>
      <c r="E1045" s="1" t="n">
        <v>1</v>
      </c>
      <c r="F1045" s="3" t="s">
        <v>20</v>
      </c>
      <c r="G1045" s="3" t="s">
        <v>4345</v>
      </c>
      <c r="H1045" s="1" t="s">
        <v>22</v>
      </c>
      <c r="I1045" s="1" t="n">
        <v>20240430090553</v>
      </c>
      <c r="J1045" s="3" t="s">
        <v>4346</v>
      </c>
      <c r="K1045" s="3" t="s">
        <v>4347</v>
      </c>
      <c r="L1045" s="3" t="s">
        <v>4348</v>
      </c>
      <c r="M1045" s="3" t="n">
        <v>739063</v>
      </c>
      <c r="N1045" s="3" t="s">
        <v>2768</v>
      </c>
      <c r="O1045" s="1" t="n">
        <v>722677</v>
      </c>
      <c r="P1045" s="1" t="n">
        <v>97.78</v>
      </c>
      <c r="Q1045" s="1" t="s">
        <v>20</v>
      </c>
      <c r="R1045" s="1" t="s">
        <v>27</v>
      </c>
      <c r="S1045" s="1" t="s">
        <v>28</v>
      </c>
      <c r="T1045" s="1" t="s">
        <v>29</v>
      </c>
    </row>
    <row r="1046" customFormat="false" ht="18.7" hidden="false" customHeight="true" outlineLevel="0" collapsed="false">
      <c r="A1046" s="1" t="n">
        <v>1045</v>
      </c>
      <c r="B1046" s="6" t="str">
        <f aca="false">HYPERLINK("https://mncourtfraud.com/file/MCRO_27-CR-20-26577_Notice of Hearing_2024-04-11_20240430090551.pdf","MCRO_27-CR-20-26577_Notice of Hearing_2024-04-11_20240430090551.pdf")</f>
        <v>MCRO_27-CR-20-26577_Notice of Hearing_2024-04-11_20240430090551.pdf</v>
      </c>
      <c r="C1046" s="1" t="n">
        <v>4</v>
      </c>
      <c r="D1046" s="1" t="n">
        <v>1</v>
      </c>
      <c r="E1046" s="1" t="n">
        <v>1</v>
      </c>
      <c r="F1046" s="3" t="s">
        <v>20</v>
      </c>
      <c r="G1046" s="3" t="s">
        <v>4349</v>
      </c>
      <c r="H1046" s="1" t="s">
        <v>22</v>
      </c>
      <c r="I1046" s="1" t="n">
        <v>20240430090551</v>
      </c>
      <c r="J1046" s="3" t="s">
        <v>4350</v>
      </c>
      <c r="K1046" s="3" t="s">
        <v>4351</v>
      </c>
      <c r="L1046" s="3" t="s">
        <v>4352</v>
      </c>
      <c r="M1046" s="3" t="n">
        <v>460234</v>
      </c>
      <c r="N1046" s="3" t="s">
        <v>158</v>
      </c>
      <c r="O1046" s="1" t="n">
        <v>443848</v>
      </c>
      <c r="P1046" s="1" t="n">
        <v>96.44</v>
      </c>
      <c r="Q1046" s="1" t="s">
        <v>20</v>
      </c>
      <c r="R1046" s="1" t="s">
        <v>27</v>
      </c>
      <c r="S1046" s="1" t="s">
        <v>28</v>
      </c>
      <c r="T1046" s="1" t="s">
        <v>29</v>
      </c>
    </row>
    <row r="1047" customFormat="false" ht="18.7" hidden="false" customHeight="true" outlineLevel="0" collapsed="false">
      <c r="A1047" s="1" t="n">
        <v>1046</v>
      </c>
      <c r="B1047" s="6" t="str">
        <f aca="false">HYPERLINK("https://mncourtfraud.com/file/MCRO_27-CR-20-26577_Notice of Remote Hearing with Instructions_2021-03-04_20240430090632.pdf","MCRO_27-CR-20-26577_Notice of Remote Hearing with Instructions_2021-03-04_20240430090632.pdf")</f>
        <v>MCRO_27-CR-20-26577_Notice of Remote Hearing with Instructions_2021-03-04_20240430090632.pdf</v>
      </c>
      <c r="C1047" s="1" t="n">
        <v>4</v>
      </c>
      <c r="D1047" s="1" t="n">
        <v>1</v>
      </c>
      <c r="E1047" s="1" t="n">
        <v>1</v>
      </c>
      <c r="F1047" s="3" t="s">
        <v>20</v>
      </c>
      <c r="G1047" s="3" t="s">
        <v>4353</v>
      </c>
      <c r="H1047" s="1" t="s">
        <v>22</v>
      </c>
      <c r="I1047" s="1" t="n">
        <v>20240430090632</v>
      </c>
      <c r="J1047" s="3" t="s">
        <v>4354</v>
      </c>
      <c r="K1047" s="3" t="s">
        <v>4355</v>
      </c>
      <c r="L1047" s="3" t="s">
        <v>4356</v>
      </c>
      <c r="M1047" s="3" t="n">
        <v>508547</v>
      </c>
      <c r="N1047" s="3" t="s">
        <v>4357</v>
      </c>
      <c r="O1047" s="1" t="n">
        <v>492161</v>
      </c>
      <c r="P1047" s="1" t="n">
        <v>96.78</v>
      </c>
      <c r="Q1047" s="1" t="s">
        <v>20</v>
      </c>
      <c r="R1047" s="1" t="s">
        <v>27</v>
      </c>
      <c r="S1047" s="1" t="s">
        <v>28</v>
      </c>
      <c r="T1047" s="1" t="s">
        <v>29</v>
      </c>
    </row>
    <row r="1048" customFormat="false" ht="18.7" hidden="false" customHeight="true" outlineLevel="0" collapsed="false">
      <c r="A1048" s="1" t="n">
        <v>1047</v>
      </c>
      <c r="B1048" s="6" t="str">
        <f aca="false">HYPERLINK("https://mncourtfraud.com/file/MCRO_27-CR-20-26577_Notice of Remote Hearing with Instructions_2021-12-01_20240430090625.pdf","MCRO_27-CR-20-26577_Notice of Remote Hearing with Instructions_2021-12-01_20240430090625.pdf")</f>
        <v>MCRO_27-CR-20-26577_Notice of Remote Hearing with Instructions_2021-12-01_20240430090625.pdf</v>
      </c>
      <c r="C1048" s="1" t="n">
        <v>4</v>
      </c>
      <c r="D1048" s="1" t="n">
        <v>1</v>
      </c>
      <c r="E1048" s="1" t="n">
        <v>1</v>
      </c>
      <c r="F1048" s="3" t="s">
        <v>20</v>
      </c>
      <c r="G1048" s="3" t="s">
        <v>4358</v>
      </c>
      <c r="H1048" s="1" t="s">
        <v>22</v>
      </c>
      <c r="I1048" s="1" t="n">
        <v>20240430090625</v>
      </c>
      <c r="J1048" s="3" t="s">
        <v>4359</v>
      </c>
      <c r="K1048" s="3" t="s">
        <v>4360</v>
      </c>
      <c r="L1048" s="3" t="s">
        <v>4361</v>
      </c>
      <c r="M1048" s="3" t="n">
        <v>152115</v>
      </c>
      <c r="N1048" s="3" t="s">
        <v>347</v>
      </c>
      <c r="O1048" s="1" t="n">
        <v>135729</v>
      </c>
      <c r="P1048" s="1" t="n">
        <v>89.23</v>
      </c>
      <c r="Q1048" s="1" t="s">
        <v>20</v>
      </c>
      <c r="R1048" s="1" t="s">
        <v>27</v>
      </c>
      <c r="S1048" s="1" t="s">
        <v>28</v>
      </c>
      <c r="T1048" s="1" t="s">
        <v>29</v>
      </c>
    </row>
    <row r="1049" customFormat="false" ht="18.7" hidden="false" customHeight="true" outlineLevel="0" collapsed="false">
      <c r="A1049" s="1" t="n">
        <v>1048</v>
      </c>
      <c r="B1049" s="6" t="str">
        <f aca="false">HYPERLINK("https://mncourtfraud.com/file/MCRO_27-CR-20-26577_Notice of Remote Hearing with Instructions_2022-10-04_20240430090614.pdf","MCRO_27-CR-20-26577_Notice of Remote Hearing with Instructions_2022-10-04_20240430090614.pdf")</f>
        <v>MCRO_27-CR-20-26577_Notice of Remote Hearing with Instructions_2022-10-04_20240430090614.pdf</v>
      </c>
      <c r="C1049" s="1" t="n">
        <v>5</v>
      </c>
      <c r="D1049" s="1" t="n">
        <v>1</v>
      </c>
      <c r="E1049" s="1" t="n">
        <v>1</v>
      </c>
      <c r="F1049" s="3" t="s">
        <v>20</v>
      </c>
      <c r="G1049" s="3" t="s">
        <v>4362</v>
      </c>
      <c r="H1049" s="1" t="s">
        <v>22</v>
      </c>
      <c r="I1049" s="1" t="n">
        <v>20240430090614</v>
      </c>
      <c r="J1049" s="3" t="s">
        <v>4363</v>
      </c>
      <c r="K1049" s="3" t="s">
        <v>4364</v>
      </c>
      <c r="L1049" s="3" t="s">
        <v>4365</v>
      </c>
      <c r="M1049" s="3" t="n">
        <v>310668</v>
      </c>
      <c r="N1049" s="3" t="s">
        <v>751</v>
      </c>
      <c r="O1049" s="1" t="n">
        <v>294282</v>
      </c>
      <c r="P1049" s="1" t="n">
        <v>94.73</v>
      </c>
      <c r="Q1049" s="1" t="s">
        <v>20</v>
      </c>
      <c r="R1049" s="1" t="s">
        <v>27</v>
      </c>
      <c r="S1049" s="1" t="s">
        <v>28</v>
      </c>
      <c r="T1049" s="1" t="s">
        <v>29</v>
      </c>
    </row>
    <row r="1050" customFormat="false" ht="18.7" hidden="false" customHeight="true" outlineLevel="0" collapsed="false">
      <c r="A1050" s="1" t="n">
        <v>1049</v>
      </c>
      <c r="B1050" s="6" t="str">
        <f aca="false">HYPERLINK("https://mncourtfraud.com/file/MCRO_27-CR-20-26577_Notice of Remote Hearing with Instructions_2023-06-28_20240430090607.pdf","MCRO_27-CR-20-26577_Notice of Remote Hearing with Instructions_2023-06-28_20240430090607.pdf")</f>
        <v>MCRO_27-CR-20-26577_Notice of Remote Hearing with Instructions_2023-06-28_20240430090607.pdf</v>
      </c>
      <c r="C1050" s="1" t="n">
        <v>5</v>
      </c>
      <c r="D1050" s="1" t="n">
        <v>1</v>
      </c>
      <c r="E1050" s="1" t="n">
        <v>1</v>
      </c>
      <c r="F1050" s="3" t="s">
        <v>20</v>
      </c>
      <c r="G1050" s="3" t="s">
        <v>4366</v>
      </c>
      <c r="H1050" s="1" t="s">
        <v>22</v>
      </c>
      <c r="I1050" s="1" t="n">
        <v>20240430090607</v>
      </c>
      <c r="J1050" s="3" t="s">
        <v>4367</v>
      </c>
      <c r="K1050" s="3" t="s">
        <v>4368</v>
      </c>
      <c r="L1050" s="3" t="s">
        <v>4369</v>
      </c>
      <c r="M1050" s="3" t="n">
        <v>844537</v>
      </c>
      <c r="N1050" s="3" t="s">
        <v>3164</v>
      </c>
      <c r="O1050" s="1" t="n">
        <v>828151</v>
      </c>
      <c r="P1050" s="1" t="n">
        <v>98.06</v>
      </c>
      <c r="Q1050" s="1" t="s">
        <v>20</v>
      </c>
      <c r="R1050" s="1" t="s">
        <v>27</v>
      </c>
      <c r="S1050" s="1" t="s">
        <v>28</v>
      </c>
      <c r="T1050" s="1" t="s">
        <v>29</v>
      </c>
    </row>
    <row r="1051" customFormat="false" ht="18.7" hidden="false" customHeight="true" outlineLevel="0" collapsed="false">
      <c r="A1051" s="1" t="n">
        <v>1050</v>
      </c>
      <c r="B1051" s="6" t="str">
        <f aca="false">HYPERLINK("https://mncourtfraud.com/file/MCRO_27-CR-20-26577_Notice of Remote Hearing with Instructions_2024-01-19_20240430090558.pdf","MCRO_27-CR-20-26577_Notice of Remote Hearing with Instructions_2024-01-19_20240430090558.pdf")</f>
        <v>MCRO_27-CR-20-26577_Notice of Remote Hearing with Instructions_2024-01-19_20240430090558.pdf</v>
      </c>
      <c r="C1051" s="1" t="n">
        <v>5</v>
      </c>
      <c r="D1051" s="1" t="n">
        <v>1</v>
      </c>
      <c r="E1051" s="1" t="n">
        <v>1</v>
      </c>
      <c r="F1051" s="3" t="s">
        <v>20</v>
      </c>
      <c r="G1051" s="3" t="s">
        <v>4370</v>
      </c>
      <c r="H1051" s="1" t="s">
        <v>22</v>
      </c>
      <c r="I1051" s="1" t="n">
        <v>20240430090558</v>
      </c>
      <c r="J1051" s="3" t="s">
        <v>4371</v>
      </c>
      <c r="K1051" s="3" t="s">
        <v>4372</v>
      </c>
      <c r="L1051" s="3" t="s">
        <v>4373</v>
      </c>
      <c r="M1051" s="3" t="n">
        <v>846088</v>
      </c>
      <c r="N1051" s="3" t="s">
        <v>3068</v>
      </c>
      <c r="O1051" s="1" t="n">
        <v>829702</v>
      </c>
      <c r="P1051" s="1" t="n">
        <v>98.06</v>
      </c>
      <c r="Q1051" s="1" t="s">
        <v>20</v>
      </c>
      <c r="R1051" s="1" t="s">
        <v>27</v>
      </c>
      <c r="S1051" s="1" t="s">
        <v>28</v>
      </c>
      <c r="T1051" s="1" t="s">
        <v>29</v>
      </c>
    </row>
    <row r="1052" customFormat="false" ht="18.7" hidden="false" customHeight="true" outlineLevel="0" collapsed="false">
      <c r="A1052" s="1" t="n">
        <v>1051</v>
      </c>
      <c r="B1052" s="6" t="str">
        <f aca="false">HYPERLINK("https://mncourtfraud.com/file/MCRO_27-CR-20-26577_Notice to Remove Judicial Officer_2020-12-17_20240430090634.pdf","MCRO_27-CR-20-26577_Notice to Remove Judicial Officer_2020-12-17_20240430090634.pdf")</f>
        <v>MCRO_27-CR-20-26577_Notice to Remove Judicial Officer_2020-12-17_20240430090634.pdf</v>
      </c>
      <c r="C1052" s="1" t="n">
        <v>3</v>
      </c>
      <c r="D1052" s="1" t="n">
        <v>1</v>
      </c>
      <c r="E1052" s="1" t="n">
        <v>1</v>
      </c>
      <c r="F1052" s="3" t="s">
        <v>20</v>
      </c>
      <c r="G1052" s="3" t="s">
        <v>4374</v>
      </c>
      <c r="H1052" s="1" t="s">
        <v>22</v>
      </c>
      <c r="I1052" s="1" t="n">
        <v>20240430090634</v>
      </c>
      <c r="J1052" s="3" t="s">
        <v>4375</v>
      </c>
      <c r="K1052" s="3" t="s">
        <v>4376</v>
      </c>
      <c r="L1052" s="3" t="s">
        <v>4377</v>
      </c>
      <c r="M1052" s="3" t="n">
        <v>101526</v>
      </c>
      <c r="N1052" s="3" t="s">
        <v>2342</v>
      </c>
      <c r="O1052" s="1" t="n">
        <v>85140</v>
      </c>
      <c r="P1052" s="1" t="n">
        <v>83.86</v>
      </c>
      <c r="Q1052" s="1" t="s">
        <v>20</v>
      </c>
      <c r="R1052" s="1" t="s">
        <v>27</v>
      </c>
      <c r="S1052" s="1" t="s">
        <v>28</v>
      </c>
      <c r="T1052" s="1" t="s">
        <v>29</v>
      </c>
    </row>
    <row r="1053" customFormat="false" ht="18.7" hidden="false" customHeight="true" outlineLevel="0" collapsed="false">
      <c r="A1053" s="1" t="n">
        <v>1052</v>
      </c>
      <c r="B1053" s="6" t="str">
        <f aca="false">HYPERLINK("https://mncourtfraud.com/file/MCRO_27-CR-20-26577_Order Denying Motion_2021-06-25_20240430090627.pdf","MCRO_27-CR-20-26577_Order Denying Motion_2021-06-25_20240430090627.pdf")</f>
        <v>MCRO_27-CR-20-26577_Order Denying Motion_2021-06-25_20240430090627.pdf</v>
      </c>
      <c r="C1053" s="1" t="n">
        <v>5</v>
      </c>
      <c r="D1053" s="1" t="n">
        <v>8</v>
      </c>
      <c r="E1053" s="1" t="n">
        <v>8</v>
      </c>
      <c r="F1053" s="3" t="s">
        <v>20</v>
      </c>
      <c r="G1053" s="3" t="s">
        <v>4378</v>
      </c>
      <c r="H1053" s="1" t="s">
        <v>22</v>
      </c>
      <c r="I1053" s="1" t="n">
        <v>20240430090627</v>
      </c>
      <c r="J1053" s="3" t="s">
        <v>4379</v>
      </c>
      <c r="K1053" s="3" t="s">
        <v>4380</v>
      </c>
      <c r="L1053" s="3" t="s">
        <v>4381</v>
      </c>
      <c r="M1053" s="3" t="n">
        <v>489787</v>
      </c>
      <c r="N1053" s="3" t="s">
        <v>4382</v>
      </c>
      <c r="O1053" s="1" t="n">
        <v>473401</v>
      </c>
      <c r="P1053" s="1" t="n">
        <v>96.65</v>
      </c>
      <c r="Q1053" s="1" t="s">
        <v>20</v>
      </c>
      <c r="R1053" s="1" t="s">
        <v>27</v>
      </c>
      <c r="S1053" s="1" t="s">
        <v>28</v>
      </c>
      <c r="T1053" s="1" t="s">
        <v>29</v>
      </c>
    </row>
    <row r="1054" customFormat="false" ht="18.7" hidden="false" customHeight="true" outlineLevel="0" collapsed="false">
      <c r="A1054" s="1" t="n">
        <v>1053</v>
      </c>
      <c r="B1054" s="6" t="str">
        <f aca="false">HYPERLINK("https://mncourtfraud.com/file/MCRO_27-CR-20-26577_Order-Evaluation for Competency to Proceed (Rule 20.01)_2021-10-29_20240430090626.pdf","MCRO_27-CR-20-26577_Order-Evaluation for Competency to Proceed (Rule 20.01)_2021-10-29_20240430090626.pdf")</f>
        <v>MCRO_27-CR-20-26577_Order-Evaluation for Competency to Proceed (Rule 20.01)_2021-10-29_20240430090626.pdf</v>
      </c>
      <c r="C1054" s="1" t="n">
        <v>4</v>
      </c>
      <c r="D1054" s="1" t="n">
        <v>1</v>
      </c>
      <c r="E1054" s="1" t="n">
        <v>1</v>
      </c>
      <c r="F1054" s="3" t="s">
        <v>20</v>
      </c>
      <c r="G1054" s="3" t="s">
        <v>4383</v>
      </c>
      <c r="H1054" s="1" t="s">
        <v>22</v>
      </c>
      <c r="I1054" s="1" t="n">
        <v>20240430090626</v>
      </c>
      <c r="J1054" s="3" t="s">
        <v>4384</v>
      </c>
      <c r="K1054" s="3" t="s">
        <v>4385</v>
      </c>
      <c r="L1054" s="3" t="s">
        <v>4386</v>
      </c>
      <c r="M1054" s="3" t="n">
        <v>411201</v>
      </c>
      <c r="N1054" s="3" t="s">
        <v>3673</v>
      </c>
      <c r="O1054" s="1" t="n">
        <v>394815</v>
      </c>
      <c r="P1054" s="1" t="n">
        <v>96.02</v>
      </c>
      <c r="Q1054" s="1" t="s">
        <v>20</v>
      </c>
      <c r="R1054" s="1" t="s">
        <v>27</v>
      </c>
      <c r="S1054" s="1" t="s">
        <v>28</v>
      </c>
      <c r="T1054" s="1" t="s">
        <v>29</v>
      </c>
    </row>
    <row r="1055" customFormat="false" ht="18.7" hidden="false" customHeight="true" outlineLevel="0" collapsed="false">
      <c r="A1055" s="1" t="n">
        <v>1054</v>
      </c>
      <c r="B1055" s="6" t="str">
        <f aca="false">HYPERLINK("https://mncourtfraud.com/file/MCRO_27-CR-20-26577_Order-Evaluation for Competency to Proceed (Rule 20.01)_2022-04-19_20240430090621.pdf","MCRO_27-CR-20-26577_Order-Evaluation for Competency to Proceed (Rule 20.01)_2022-04-19_20240430090621.pdf")</f>
        <v>MCRO_27-CR-20-26577_Order-Evaluation for Competency to Proceed (Rule 20.01)_2022-04-19_20240430090621.pdf</v>
      </c>
      <c r="C1055" s="1" t="n">
        <v>3</v>
      </c>
      <c r="D1055" s="1" t="n">
        <v>1</v>
      </c>
      <c r="E1055" s="1" t="n">
        <v>1</v>
      </c>
      <c r="F1055" s="3" t="s">
        <v>20</v>
      </c>
      <c r="G1055" s="3" t="s">
        <v>4387</v>
      </c>
      <c r="H1055" s="1" t="s">
        <v>22</v>
      </c>
      <c r="I1055" s="1" t="n">
        <v>20240430090621</v>
      </c>
      <c r="J1055" s="3" t="s">
        <v>4388</v>
      </c>
      <c r="K1055" s="3" t="s">
        <v>4389</v>
      </c>
      <c r="L1055" s="3" t="s">
        <v>4390</v>
      </c>
      <c r="M1055" s="3" t="n">
        <v>236701</v>
      </c>
      <c r="N1055" s="3" t="s">
        <v>1009</v>
      </c>
      <c r="O1055" s="1" t="n">
        <v>220315</v>
      </c>
      <c r="P1055" s="1" t="n">
        <v>93.08</v>
      </c>
      <c r="Q1055" s="1" t="s">
        <v>20</v>
      </c>
      <c r="R1055" s="1" t="s">
        <v>27</v>
      </c>
      <c r="S1055" s="1" t="s">
        <v>28</v>
      </c>
      <c r="T1055" s="1" t="s">
        <v>29</v>
      </c>
    </row>
    <row r="1056" customFormat="false" ht="18.7" hidden="false" customHeight="true" outlineLevel="0" collapsed="false">
      <c r="A1056" s="1" t="n">
        <v>1055</v>
      </c>
      <c r="B1056" s="6" t="str">
        <f aca="false">HYPERLINK("https://mncourtfraud.com/file/MCRO_27-CR-20-26577_Order-Evaluation for Competency to Proceed (Rule 20.01)_2023-02-16_20240430090608.pdf","MCRO_27-CR-20-26577_Order-Evaluation for Competency to Proceed (Rule 20.01)_2023-02-16_20240430090608.pdf")</f>
        <v>MCRO_27-CR-20-26577_Order-Evaluation for Competency to Proceed (Rule 20.01)_2023-02-16_20240430090608.pdf</v>
      </c>
      <c r="C1056" s="1" t="n">
        <v>6</v>
      </c>
      <c r="D1056" s="1" t="n">
        <v>2</v>
      </c>
      <c r="E1056" s="1" t="n">
        <v>2</v>
      </c>
      <c r="F1056" s="3" t="s">
        <v>27</v>
      </c>
      <c r="G1056" s="3" t="s">
        <v>4391</v>
      </c>
      <c r="H1056" s="1" t="s">
        <v>22</v>
      </c>
      <c r="I1056" s="1" t="n">
        <v>20240430090608</v>
      </c>
      <c r="J1056" s="3" t="s">
        <v>4392</v>
      </c>
      <c r="K1056" s="3" t="s">
        <v>4393</v>
      </c>
      <c r="L1056" s="3" t="s">
        <v>4394</v>
      </c>
      <c r="M1056" s="3" t="n">
        <v>873547</v>
      </c>
      <c r="N1056" s="3" t="s">
        <v>810</v>
      </c>
      <c r="O1056" s="1" t="n">
        <v>857161</v>
      </c>
      <c r="P1056" s="1" t="n">
        <v>98.12</v>
      </c>
      <c r="Q1056" s="1" t="s">
        <v>20</v>
      </c>
      <c r="R1056" s="1" t="s">
        <v>27</v>
      </c>
      <c r="S1056" s="1" t="s">
        <v>28</v>
      </c>
      <c r="T1056" s="1" t="s">
        <v>29</v>
      </c>
    </row>
    <row r="1057" customFormat="false" ht="18.7" hidden="false" customHeight="true" outlineLevel="0" collapsed="false">
      <c r="A1057" s="1" t="n">
        <v>1056</v>
      </c>
      <c r="B1057" s="6" t="str">
        <f aca="false">HYPERLINK("https://mncourtfraud.com/file/MCRO_27-CR-20-26577_Order-Evaluation for Competency to Proceed (Rule 20.01)_2024-01-19_20240430090555.pdf","MCRO_27-CR-20-26577_Order-Evaluation for Competency to Proceed (Rule 20.01)_2024-01-19_20240430090555.pdf")</f>
        <v>MCRO_27-CR-20-26577_Order-Evaluation for Competency to Proceed (Rule 20.01)_2024-01-19_20240430090555.pdf</v>
      </c>
      <c r="C1057" s="1" t="n">
        <v>6</v>
      </c>
      <c r="D1057" s="1" t="n">
        <v>2</v>
      </c>
      <c r="E1057" s="1" t="n">
        <v>2</v>
      </c>
      <c r="F1057" s="3" t="s">
        <v>20</v>
      </c>
      <c r="G1057" s="3" t="s">
        <v>4395</v>
      </c>
      <c r="H1057" s="1" t="s">
        <v>22</v>
      </c>
      <c r="I1057" s="1" t="n">
        <v>20240430090555</v>
      </c>
      <c r="J1057" s="3" t="s">
        <v>4396</v>
      </c>
      <c r="K1057" s="3" t="s">
        <v>4397</v>
      </c>
      <c r="L1057" s="3" t="s">
        <v>4398</v>
      </c>
      <c r="M1057" s="3" t="n">
        <v>878393</v>
      </c>
      <c r="N1057" s="3" t="s">
        <v>4399</v>
      </c>
      <c r="O1057" s="1" t="n">
        <v>862007</v>
      </c>
      <c r="P1057" s="1" t="n">
        <v>98.13</v>
      </c>
      <c r="Q1057" s="1" t="s">
        <v>20</v>
      </c>
      <c r="R1057" s="1" t="s">
        <v>27</v>
      </c>
      <c r="S1057" s="1" t="s">
        <v>28</v>
      </c>
      <c r="T1057" s="1" t="s">
        <v>29</v>
      </c>
    </row>
    <row r="1058" customFormat="false" ht="18.7" hidden="false" customHeight="true" outlineLevel="0" collapsed="false">
      <c r="A1058" s="1" t="n">
        <v>1057</v>
      </c>
      <c r="B1058" s="6" t="str">
        <f aca="false">HYPERLINK("https://mncourtfraud.com/file/MCRO_27-CR-20-26577_Order for Conditional Release_2022-11-08_20240430090611.pdf","MCRO_27-CR-20-26577_Order for Conditional Release_2022-11-08_20240430090611.pdf")</f>
        <v>MCRO_27-CR-20-26577_Order for Conditional Release_2022-11-08_20240430090611.pdf</v>
      </c>
      <c r="C1058" s="1" t="n">
        <v>5</v>
      </c>
      <c r="D1058" s="1" t="n">
        <v>1</v>
      </c>
      <c r="E1058" s="1" t="n">
        <v>1</v>
      </c>
      <c r="F1058" s="3" t="s">
        <v>20</v>
      </c>
      <c r="G1058" s="3" t="s">
        <v>4400</v>
      </c>
      <c r="H1058" s="1" t="s">
        <v>22</v>
      </c>
      <c r="I1058" s="1" t="n">
        <v>20240430090611</v>
      </c>
      <c r="J1058" s="3" t="s">
        <v>4401</v>
      </c>
      <c r="K1058" s="3" t="s">
        <v>4402</v>
      </c>
      <c r="L1058" s="3" t="s">
        <v>4403</v>
      </c>
      <c r="M1058" s="3" t="n">
        <v>340487</v>
      </c>
      <c r="N1058" s="3" t="s">
        <v>39</v>
      </c>
      <c r="O1058" s="1" t="n">
        <v>324101</v>
      </c>
      <c r="P1058" s="1" t="n">
        <v>95.19</v>
      </c>
      <c r="Q1058" s="1" t="s">
        <v>20</v>
      </c>
      <c r="R1058" s="1" t="s">
        <v>27</v>
      </c>
      <c r="S1058" s="1" t="s">
        <v>28</v>
      </c>
      <c r="T1058" s="1" t="s">
        <v>29</v>
      </c>
    </row>
    <row r="1059" customFormat="false" ht="18.7" hidden="false" customHeight="true" outlineLevel="0" collapsed="false">
      <c r="A1059" s="1" t="n">
        <v>1058</v>
      </c>
      <c r="B1059" s="6" t="str">
        <f aca="false">HYPERLINK("https://mncourtfraud.com/file/MCRO_27-CR-20-26577_Order-Other_2022-06-15_20240430090619.pdf","MCRO_27-CR-20-26577_Order-Other_2022-06-15_20240430090619.pdf")</f>
        <v>MCRO_27-CR-20-26577_Order-Other_2022-06-15_20240430090619.pdf</v>
      </c>
      <c r="C1059" s="1" t="n">
        <v>3</v>
      </c>
      <c r="D1059" s="1" t="n">
        <v>1</v>
      </c>
      <c r="E1059" s="1" t="n">
        <v>1</v>
      </c>
      <c r="F1059" s="3" t="s">
        <v>20</v>
      </c>
      <c r="G1059" s="3" t="s">
        <v>4404</v>
      </c>
      <c r="H1059" s="1" t="s">
        <v>22</v>
      </c>
      <c r="I1059" s="1" t="n">
        <v>20240430090619</v>
      </c>
      <c r="J1059" s="3" t="s">
        <v>4405</v>
      </c>
      <c r="K1059" s="3" t="s">
        <v>4406</v>
      </c>
      <c r="L1059" s="3" t="s">
        <v>4407</v>
      </c>
      <c r="M1059" s="3" t="n">
        <v>206579</v>
      </c>
      <c r="N1059" s="3" t="s">
        <v>192</v>
      </c>
      <c r="O1059" s="1" t="n">
        <v>190193</v>
      </c>
      <c r="P1059" s="1" t="n">
        <v>92.07</v>
      </c>
      <c r="Q1059" s="1" t="s">
        <v>20</v>
      </c>
      <c r="R1059" s="1" t="s">
        <v>27</v>
      </c>
      <c r="S1059" s="1" t="s">
        <v>28</v>
      </c>
      <c r="T1059" s="1" t="s">
        <v>29</v>
      </c>
    </row>
    <row r="1060" customFormat="false" ht="18.7" hidden="false" customHeight="true" outlineLevel="0" collapsed="false">
      <c r="A1060" s="1" t="n">
        <v>1059</v>
      </c>
      <c r="B1060" s="6" t="str">
        <f aca="false">HYPERLINK("https://mncourtfraud.com/file/MCRO_27-CR-20-26577_Order to Transport_2022-06-15_20240430090620.pdf","MCRO_27-CR-20-26577_Order to Transport_2022-06-15_20240430090620.pdf")</f>
        <v>MCRO_27-CR-20-26577_Order to Transport_2022-06-15_20240430090620.pdf</v>
      </c>
      <c r="C1060" s="1" t="n">
        <v>3</v>
      </c>
      <c r="D1060" s="1" t="n">
        <v>1</v>
      </c>
      <c r="E1060" s="1" t="n">
        <v>1</v>
      </c>
      <c r="F1060" s="3" t="s">
        <v>20</v>
      </c>
      <c r="G1060" s="3" t="s">
        <v>4408</v>
      </c>
      <c r="H1060" s="1" t="s">
        <v>22</v>
      </c>
      <c r="I1060" s="1" t="n">
        <v>20240430090620</v>
      </c>
      <c r="J1060" s="3" t="s">
        <v>4409</v>
      </c>
      <c r="K1060" s="3" t="s">
        <v>4410</v>
      </c>
      <c r="L1060" s="3" t="s">
        <v>4411</v>
      </c>
      <c r="M1060" s="3" t="n">
        <v>130552</v>
      </c>
      <c r="N1060" s="3" t="s">
        <v>1569</v>
      </c>
      <c r="O1060" s="1" t="n">
        <v>114166</v>
      </c>
      <c r="P1060" s="1" t="n">
        <v>87.45</v>
      </c>
      <c r="Q1060" s="1" t="s">
        <v>20</v>
      </c>
      <c r="R1060" s="1" t="s">
        <v>27</v>
      </c>
      <c r="S1060" s="1" t="s">
        <v>28</v>
      </c>
      <c r="T1060" s="1" t="s">
        <v>29</v>
      </c>
    </row>
    <row r="1061" customFormat="false" ht="18.7" hidden="false" customHeight="true" outlineLevel="0" collapsed="false">
      <c r="A1061" s="1" t="n">
        <v>1060</v>
      </c>
      <c r="B1061" s="6" t="str">
        <f aca="false">HYPERLINK("https://mncourtfraud.com/file/MCRO_27-CR-20-26577_Order to Transport_2022-06-22_20240430090618.pdf","MCRO_27-CR-20-26577_Order to Transport_2022-06-22_20240430090618.pdf")</f>
        <v>MCRO_27-CR-20-26577_Order to Transport_2022-06-22_20240430090618.pdf</v>
      </c>
      <c r="C1061" s="1" t="n">
        <v>3</v>
      </c>
      <c r="D1061" s="1" t="n">
        <v>1</v>
      </c>
      <c r="E1061" s="1" t="n">
        <v>1</v>
      </c>
      <c r="F1061" s="3" t="s">
        <v>20</v>
      </c>
      <c r="G1061" s="3" t="s">
        <v>4412</v>
      </c>
      <c r="H1061" s="1" t="s">
        <v>22</v>
      </c>
      <c r="I1061" s="1" t="n">
        <v>20240430090618</v>
      </c>
      <c r="J1061" s="3" t="s">
        <v>4413</v>
      </c>
      <c r="K1061" s="3" t="s">
        <v>4414</v>
      </c>
      <c r="L1061" s="3" t="s">
        <v>4415</v>
      </c>
      <c r="M1061" s="3" t="n">
        <v>143064</v>
      </c>
      <c r="N1061" s="3" t="s">
        <v>931</v>
      </c>
      <c r="O1061" s="1" t="n">
        <v>126678</v>
      </c>
      <c r="P1061" s="1" t="n">
        <v>88.55</v>
      </c>
      <c r="Q1061" s="1" t="s">
        <v>20</v>
      </c>
      <c r="R1061" s="1" t="s">
        <v>27</v>
      </c>
      <c r="S1061" s="1" t="s">
        <v>28</v>
      </c>
      <c r="T1061" s="1" t="s">
        <v>29</v>
      </c>
    </row>
    <row r="1062" customFormat="false" ht="18.7" hidden="false" customHeight="true" outlineLevel="0" collapsed="false">
      <c r="A1062" s="1" t="n">
        <v>1061</v>
      </c>
      <c r="B1062" s="6" t="str">
        <f aca="false">HYPERLINK("https://mncourtfraud.com/file/MCRO_27-CR-20-26577_Other Document_2021-03-04_20240430090633.pdf","MCRO_27-CR-20-26577_Other Document_2021-03-04_20240430090633.pdf")</f>
        <v>MCRO_27-CR-20-26577_Other Document_2021-03-04_20240430090633.pdf</v>
      </c>
      <c r="C1062" s="1" t="n">
        <v>5</v>
      </c>
      <c r="D1062" s="1" t="n">
        <v>1</v>
      </c>
      <c r="E1062" s="1" t="n">
        <v>1</v>
      </c>
      <c r="F1062" s="3" t="s">
        <v>20</v>
      </c>
      <c r="G1062" s="3" t="s">
        <v>4416</v>
      </c>
      <c r="H1062" s="1" t="s">
        <v>22</v>
      </c>
      <c r="I1062" s="1" t="n">
        <v>20240430090633</v>
      </c>
      <c r="J1062" s="3" t="s">
        <v>4417</v>
      </c>
      <c r="K1062" s="3" t="s">
        <v>4418</v>
      </c>
      <c r="L1062" s="3" t="s">
        <v>4419</v>
      </c>
      <c r="M1062" s="3" t="n">
        <v>656381</v>
      </c>
      <c r="N1062" s="3" t="s">
        <v>3699</v>
      </c>
      <c r="O1062" s="1" t="n">
        <v>639995</v>
      </c>
      <c r="P1062" s="1" t="n">
        <v>97.5</v>
      </c>
      <c r="Q1062" s="1" t="s">
        <v>20</v>
      </c>
      <c r="R1062" s="1" t="s">
        <v>27</v>
      </c>
      <c r="S1062" s="1" t="s">
        <v>28</v>
      </c>
      <c r="T1062" s="1" t="s">
        <v>29</v>
      </c>
    </row>
    <row r="1063" customFormat="false" ht="18.7" hidden="false" customHeight="true" outlineLevel="0" collapsed="false">
      <c r="A1063" s="1" t="n">
        <v>1062</v>
      </c>
      <c r="B1063" s="6" t="str">
        <f aca="false">HYPERLINK("https://mncourtfraud.com/file/MCRO_27-CR-20-26577_Proposed Order or Document_2022-10-26_20240430090612.pdf","MCRO_27-CR-20-26577_Proposed Order or Document_2022-10-26_20240430090612.pdf")</f>
        <v>MCRO_27-CR-20-26577_Proposed Order or Document_2022-10-26_20240430090612.pdf</v>
      </c>
      <c r="C1063" s="1" t="n">
        <v>3</v>
      </c>
      <c r="D1063" s="1" t="n">
        <v>1</v>
      </c>
      <c r="E1063" s="1" t="n">
        <v>1</v>
      </c>
      <c r="F1063" s="3" t="s">
        <v>20</v>
      </c>
      <c r="G1063" s="3" t="s">
        <v>4420</v>
      </c>
      <c r="H1063" s="1" t="s">
        <v>22</v>
      </c>
      <c r="I1063" s="1" t="n">
        <v>20240430090612</v>
      </c>
      <c r="J1063" s="3" t="s">
        <v>4421</v>
      </c>
      <c r="K1063" s="3" t="s">
        <v>4422</v>
      </c>
      <c r="L1063" s="3" t="s">
        <v>4423</v>
      </c>
      <c r="M1063" s="3" t="n">
        <v>176614</v>
      </c>
      <c r="N1063" s="3" t="s">
        <v>4424</v>
      </c>
      <c r="O1063" s="1" t="n">
        <v>160228</v>
      </c>
      <c r="P1063" s="1" t="n">
        <v>90.72</v>
      </c>
      <c r="Q1063" s="1" t="s">
        <v>20</v>
      </c>
      <c r="R1063" s="1" t="s">
        <v>27</v>
      </c>
      <c r="S1063" s="1" t="s">
        <v>28</v>
      </c>
      <c r="T1063" s="1" t="s">
        <v>29</v>
      </c>
    </row>
    <row r="1064" customFormat="false" ht="18.7" hidden="false" customHeight="true" outlineLevel="0" collapsed="false">
      <c r="A1064" s="1" t="n">
        <v>1063</v>
      </c>
      <c r="B1064" s="6" t="str">
        <f aca="false">HYPERLINK("https://mncourtfraud.com/file/MCRO_27-CR-20-26577_Prosecutor's Notice or Request for Hearing_2023-08-22_20240430090605.pdf","MCRO_27-CR-20-26577_Prosecutor's Notice or Request for Hearing_2023-08-22_20240430090605.pdf")</f>
        <v>MCRO_27-CR-20-26577_Prosecutor's Notice or Request for Hearing_2023-08-22_20240430090605.pdf</v>
      </c>
      <c r="C1064" s="1" t="n">
        <v>4</v>
      </c>
      <c r="D1064" s="1" t="n">
        <v>1</v>
      </c>
      <c r="E1064" s="1" t="n">
        <v>1</v>
      </c>
      <c r="F1064" s="3" t="s">
        <v>20</v>
      </c>
      <c r="G1064" s="3" t="s">
        <v>4425</v>
      </c>
      <c r="H1064" s="1" t="s">
        <v>22</v>
      </c>
      <c r="I1064" s="1" t="n">
        <v>20240430090605</v>
      </c>
      <c r="J1064" s="3" t="s">
        <v>4426</v>
      </c>
      <c r="K1064" s="3" t="s">
        <v>4427</v>
      </c>
      <c r="L1064" s="3" t="s">
        <v>4428</v>
      </c>
      <c r="M1064" s="3" t="n">
        <v>160632</v>
      </c>
      <c r="N1064" s="3" t="s">
        <v>104</v>
      </c>
      <c r="O1064" s="1" t="n">
        <v>144246</v>
      </c>
      <c r="P1064" s="1" t="n">
        <v>89.8</v>
      </c>
      <c r="Q1064" s="1" t="s">
        <v>20</v>
      </c>
      <c r="R1064" s="1" t="s">
        <v>27</v>
      </c>
      <c r="S1064" s="1" t="s">
        <v>28</v>
      </c>
      <c r="T1064" s="1" t="s">
        <v>29</v>
      </c>
    </row>
    <row r="1065" customFormat="false" ht="18.7" hidden="false" customHeight="true" outlineLevel="0" collapsed="false">
      <c r="A1065" s="1" t="n">
        <v>1064</v>
      </c>
      <c r="B1065" s="6" t="str">
        <f aca="false">HYPERLINK("https://mncourtfraud.com/file/MCRO_27-CR-20-26577_Returned Mail_2022-03-17_20240430090623.pdf","MCRO_27-CR-20-26577_Returned Mail_2022-03-17_20240430090623.pdf")</f>
        <v>MCRO_27-CR-20-26577_Returned Mail_2022-03-17_20240430090623.pdf</v>
      </c>
      <c r="C1065" s="1" t="n">
        <v>3</v>
      </c>
      <c r="D1065" s="1" t="n">
        <v>1</v>
      </c>
      <c r="E1065" s="1" t="n">
        <v>1</v>
      </c>
      <c r="F1065" s="3" t="s">
        <v>20</v>
      </c>
      <c r="G1065" s="3" t="s">
        <v>4429</v>
      </c>
      <c r="H1065" s="1" t="s">
        <v>22</v>
      </c>
      <c r="I1065" s="1" t="n">
        <v>20240430090623</v>
      </c>
      <c r="J1065" s="3" t="s">
        <v>4430</v>
      </c>
      <c r="K1065" s="3" t="s">
        <v>4431</v>
      </c>
      <c r="L1065" s="3" t="s">
        <v>4432</v>
      </c>
      <c r="M1065" s="3" t="n">
        <v>108802</v>
      </c>
      <c r="N1065" s="3" t="s">
        <v>4433</v>
      </c>
      <c r="O1065" s="1" t="n">
        <v>92416</v>
      </c>
      <c r="P1065" s="1" t="n">
        <v>84.94</v>
      </c>
      <c r="Q1065" s="1" t="s">
        <v>20</v>
      </c>
      <c r="R1065" s="1" t="s">
        <v>27</v>
      </c>
      <c r="S1065" s="1" t="s">
        <v>28</v>
      </c>
      <c r="T1065" s="1" t="s">
        <v>29</v>
      </c>
    </row>
    <row r="1066" customFormat="false" ht="18.7" hidden="false" customHeight="true" outlineLevel="0" collapsed="false">
      <c r="A1066" s="1" t="n">
        <v>1065</v>
      </c>
      <c r="B1066" s="6" t="str">
        <f aca="false">HYPERLINK("https://mncourtfraud.com/file/MCRO_27-CR-20-26577_Returned Mail_2022-07-22_20240430090616.pdf","MCRO_27-CR-20-26577_Returned Mail_2022-07-22_20240430090616.pdf")</f>
        <v>MCRO_27-CR-20-26577_Returned Mail_2022-07-22_20240430090616.pdf</v>
      </c>
      <c r="C1066" s="1" t="n">
        <v>4</v>
      </c>
      <c r="D1066" s="1" t="n">
        <v>1</v>
      </c>
      <c r="E1066" s="1" t="n">
        <v>1</v>
      </c>
      <c r="F1066" s="3" t="s">
        <v>20</v>
      </c>
      <c r="G1066" s="3" t="s">
        <v>4434</v>
      </c>
      <c r="H1066" s="1" t="s">
        <v>22</v>
      </c>
      <c r="I1066" s="1" t="n">
        <v>20240430090616</v>
      </c>
      <c r="J1066" s="3" t="s">
        <v>4435</v>
      </c>
      <c r="K1066" s="3" t="s">
        <v>4436</v>
      </c>
      <c r="L1066" s="3" t="s">
        <v>4437</v>
      </c>
      <c r="M1066" s="3" t="n">
        <v>348548</v>
      </c>
      <c r="N1066" s="3" t="s">
        <v>456</v>
      </c>
      <c r="O1066" s="1" t="n">
        <v>332162</v>
      </c>
      <c r="P1066" s="1" t="n">
        <v>95.3</v>
      </c>
      <c r="Q1066" s="1" t="s">
        <v>20</v>
      </c>
      <c r="R1066" s="1" t="s">
        <v>27</v>
      </c>
      <c r="S1066" s="1" t="s">
        <v>28</v>
      </c>
      <c r="T1066" s="1" t="s">
        <v>29</v>
      </c>
    </row>
    <row r="1067" customFormat="false" ht="18.7" hidden="false" customHeight="true" outlineLevel="0" collapsed="false">
      <c r="A1067" s="1" t="n">
        <v>1066</v>
      </c>
      <c r="B1067" s="6" t="str">
        <f aca="false">HYPERLINK("https://mncourtfraud.com/file/MCRO_27-CR-20-26577_Returned Mail_2023-07-06_20240430090606.pdf","MCRO_27-CR-20-26577_Returned Mail_2023-07-06_20240430090606.pdf")</f>
        <v>MCRO_27-CR-20-26577_Returned Mail_2023-07-06_20240430090606.pdf</v>
      </c>
      <c r="C1067" s="1" t="n">
        <v>4</v>
      </c>
      <c r="D1067" s="1" t="n">
        <v>1</v>
      </c>
      <c r="E1067" s="1" t="n">
        <v>1</v>
      </c>
      <c r="F1067" s="3" t="s">
        <v>20</v>
      </c>
      <c r="G1067" s="3" t="s">
        <v>4438</v>
      </c>
      <c r="H1067" s="1" t="s">
        <v>22</v>
      </c>
      <c r="I1067" s="1" t="n">
        <v>20240430090606</v>
      </c>
      <c r="J1067" s="3" t="s">
        <v>4439</v>
      </c>
      <c r="K1067" s="3" t="s">
        <v>4440</v>
      </c>
      <c r="L1067" s="3" t="s">
        <v>4441</v>
      </c>
      <c r="M1067" s="3" t="n">
        <v>172915</v>
      </c>
      <c r="N1067" s="3" t="s">
        <v>347</v>
      </c>
      <c r="O1067" s="1" t="n">
        <v>156529</v>
      </c>
      <c r="P1067" s="1" t="n">
        <v>90.52</v>
      </c>
      <c r="Q1067" s="1" t="s">
        <v>20</v>
      </c>
      <c r="R1067" s="1" t="s">
        <v>27</v>
      </c>
      <c r="S1067" s="1" t="s">
        <v>28</v>
      </c>
      <c r="T1067" s="1" t="s">
        <v>29</v>
      </c>
    </row>
    <row r="1068" customFormat="false" ht="18.7" hidden="false" customHeight="true" outlineLevel="0" collapsed="false">
      <c r="A1068" s="1" t="n">
        <v>1067</v>
      </c>
      <c r="B1068" s="6" t="str">
        <f aca="false">HYPERLINK("https://mncourtfraud.com/file/MCRO_27-CR-20-26577_Returned Mail_2023-11-14_20240430090603.pdf","MCRO_27-CR-20-26577_Returned Mail_2023-11-14_20240430090603.pdf")</f>
        <v>MCRO_27-CR-20-26577_Returned Mail_2023-11-14_20240430090603.pdf</v>
      </c>
      <c r="C1068" s="1" t="n">
        <v>4</v>
      </c>
      <c r="D1068" s="1" t="n">
        <v>1</v>
      </c>
      <c r="E1068" s="1" t="n">
        <v>1</v>
      </c>
      <c r="F1068" s="3" t="s">
        <v>20</v>
      </c>
      <c r="G1068" s="3" t="s">
        <v>4442</v>
      </c>
      <c r="H1068" s="1" t="s">
        <v>22</v>
      </c>
      <c r="I1068" s="1" t="n">
        <v>20240430090603</v>
      </c>
      <c r="J1068" s="3" t="s">
        <v>4443</v>
      </c>
      <c r="K1068" s="3" t="s">
        <v>4444</v>
      </c>
      <c r="L1068" s="3" t="s">
        <v>4445</v>
      </c>
      <c r="M1068" s="3" t="n">
        <v>756015</v>
      </c>
      <c r="N1068" s="3" t="s">
        <v>1128</v>
      </c>
      <c r="O1068" s="1" t="n">
        <v>739629</v>
      </c>
      <c r="P1068" s="1" t="n">
        <v>97.83</v>
      </c>
      <c r="Q1068" s="1" t="s">
        <v>20</v>
      </c>
      <c r="R1068" s="1" t="s">
        <v>27</v>
      </c>
      <c r="S1068" s="1" t="s">
        <v>28</v>
      </c>
      <c r="T1068" s="1" t="s">
        <v>29</v>
      </c>
    </row>
    <row r="1069" customFormat="false" ht="18.7" hidden="false" customHeight="true" outlineLevel="0" collapsed="false">
      <c r="A1069" s="1" t="n">
        <v>1068</v>
      </c>
      <c r="B1069" s="6" t="str">
        <f aca="false">HYPERLINK("https://mncourtfraud.com/file/MCRO_27-CR-20-26577_Returned Mail_2023-12-27_20240430090601.pdf","MCRO_27-CR-20-26577_Returned Mail_2023-12-27_20240430090601.pdf")</f>
        <v>MCRO_27-CR-20-26577_Returned Mail_2023-12-27_20240430090601.pdf</v>
      </c>
      <c r="C1069" s="1" t="n">
        <v>4</v>
      </c>
      <c r="D1069" s="1" t="n">
        <v>1</v>
      </c>
      <c r="E1069" s="1" t="n">
        <v>1</v>
      </c>
      <c r="F1069" s="3" t="s">
        <v>20</v>
      </c>
      <c r="G1069" s="3" t="s">
        <v>4446</v>
      </c>
      <c r="H1069" s="1" t="s">
        <v>22</v>
      </c>
      <c r="I1069" s="1" t="n">
        <v>20240430090601</v>
      </c>
      <c r="J1069" s="3" t="s">
        <v>4447</v>
      </c>
      <c r="K1069" s="3" t="s">
        <v>4448</v>
      </c>
      <c r="L1069" s="3" t="s">
        <v>4449</v>
      </c>
      <c r="M1069" s="3" t="n">
        <v>282088</v>
      </c>
      <c r="N1069" s="3" t="s">
        <v>158</v>
      </c>
      <c r="O1069" s="1" t="n">
        <v>265702</v>
      </c>
      <c r="P1069" s="1" t="n">
        <v>94.19</v>
      </c>
      <c r="Q1069" s="1" t="s">
        <v>20</v>
      </c>
      <c r="R1069" s="1" t="s">
        <v>27</v>
      </c>
      <c r="S1069" s="1" t="s">
        <v>28</v>
      </c>
      <c r="T1069" s="1" t="s">
        <v>29</v>
      </c>
    </row>
    <row r="1070" customFormat="false" ht="18.7" hidden="false" customHeight="true" outlineLevel="0" collapsed="false">
      <c r="A1070" s="1" t="n">
        <v>1069</v>
      </c>
      <c r="B1070" s="6" t="str">
        <f aca="false">HYPERLINK("https://mncourtfraud.com/file/MCRO_27-CR-20-26577_Returned Mail_2024-01-25_20240430090554.pdf","MCRO_27-CR-20-26577_Returned Mail_2024-01-25_20240430090554.pdf")</f>
        <v>MCRO_27-CR-20-26577_Returned Mail_2024-01-25_20240430090554.pdf</v>
      </c>
      <c r="C1070" s="1" t="n">
        <v>4</v>
      </c>
      <c r="D1070" s="1" t="n">
        <v>1</v>
      </c>
      <c r="E1070" s="1" t="n">
        <v>1</v>
      </c>
      <c r="F1070" s="3" t="s">
        <v>20</v>
      </c>
      <c r="G1070" s="3" t="s">
        <v>4450</v>
      </c>
      <c r="H1070" s="1" t="s">
        <v>22</v>
      </c>
      <c r="I1070" s="1" t="n">
        <v>20240430090554</v>
      </c>
      <c r="J1070" s="3" t="s">
        <v>4451</v>
      </c>
      <c r="K1070" s="3" t="s">
        <v>4452</v>
      </c>
      <c r="L1070" s="3" t="s">
        <v>4453</v>
      </c>
      <c r="M1070" s="3" t="n">
        <v>286016</v>
      </c>
      <c r="N1070" s="3" t="s">
        <v>158</v>
      </c>
      <c r="O1070" s="1" t="n">
        <v>269630</v>
      </c>
      <c r="P1070" s="1" t="n">
        <v>94.27</v>
      </c>
      <c r="Q1070" s="1" t="s">
        <v>20</v>
      </c>
      <c r="R1070" s="1" t="s">
        <v>27</v>
      </c>
      <c r="S1070" s="1" t="s">
        <v>28</v>
      </c>
      <c r="T1070" s="1" t="s">
        <v>29</v>
      </c>
    </row>
    <row r="1071" customFormat="false" ht="18.7" hidden="false" customHeight="true" outlineLevel="0" collapsed="false">
      <c r="A1071" s="1" t="n">
        <v>1070</v>
      </c>
      <c r="B1071" s="6" t="str">
        <f aca="false">HYPERLINK("https://mncourtfraud.com/file/MCRO_27-CR-20-26577_Returned Mail_2024-03-19_20240430090552.pdf","MCRO_27-CR-20-26577_Returned Mail_2024-03-19_20240430090552.pdf")</f>
        <v>MCRO_27-CR-20-26577_Returned Mail_2024-03-19_20240430090552.pdf</v>
      </c>
      <c r="C1071" s="1" t="n">
        <v>4</v>
      </c>
      <c r="D1071" s="1" t="n">
        <v>1</v>
      </c>
      <c r="E1071" s="1" t="n">
        <v>1</v>
      </c>
      <c r="F1071" s="3" t="s">
        <v>20</v>
      </c>
      <c r="G1071" s="3" t="s">
        <v>4454</v>
      </c>
      <c r="H1071" s="1" t="s">
        <v>22</v>
      </c>
      <c r="I1071" s="1" t="n">
        <v>20240430090552</v>
      </c>
      <c r="J1071" s="3" t="s">
        <v>4455</v>
      </c>
      <c r="K1071" s="3" t="s">
        <v>4456</v>
      </c>
      <c r="L1071" s="3" t="s">
        <v>4457</v>
      </c>
      <c r="M1071" s="3" t="n">
        <v>111791</v>
      </c>
      <c r="N1071" s="3" t="s">
        <v>1159</v>
      </c>
      <c r="O1071" s="1" t="n">
        <v>95405</v>
      </c>
      <c r="P1071" s="1" t="n">
        <v>85.34</v>
      </c>
      <c r="Q1071" s="1" t="s">
        <v>20</v>
      </c>
      <c r="R1071" s="1" t="s">
        <v>27</v>
      </c>
      <c r="S1071" s="1" t="s">
        <v>28</v>
      </c>
      <c r="T1071" s="1" t="s">
        <v>29</v>
      </c>
    </row>
    <row r="1072" customFormat="false" ht="18.7" hidden="false" customHeight="true" outlineLevel="0" collapsed="false">
      <c r="A1072" s="1" t="n">
        <v>1071</v>
      </c>
      <c r="B1072" s="6" t="str">
        <f aca="false">HYPERLINK("https://mncourtfraud.com/file/MCRO_27-CR-20-27550_Correspondence_2023-02-03_20240430090708.pdf","MCRO_27-CR-20-27550_Correspondence_2023-02-03_20240430090708.pdf")</f>
        <v>MCRO_27-CR-20-27550_Correspondence_2023-02-03_20240430090708.pdf</v>
      </c>
      <c r="C1072" s="1" t="n">
        <v>4</v>
      </c>
      <c r="D1072" s="1" t="n">
        <v>1</v>
      </c>
      <c r="E1072" s="1" t="n">
        <v>1</v>
      </c>
      <c r="F1072" s="3" t="s">
        <v>20</v>
      </c>
      <c r="G1072" s="3" t="s">
        <v>4458</v>
      </c>
      <c r="H1072" s="1" t="s">
        <v>22</v>
      </c>
      <c r="I1072" s="1" t="n">
        <v>20240430090708</v>
      </c>
      <c r="J1072" s="3" t="s">
        <v>4459</v>
      </c>
      <c r="K1072" s="3" t="s">
        <v>4460</v>
      </c>
      <c r="L1072" s="3" t="s">
        <v>4461</v>
      </c>
      <c r="M1072" s="3" t="n">
        <v>170328</v>
      </c>
      <c r="N1072" s="3" t="s">
        <v>104</v>
      </c>
      <c r="O1072" s="1" t="n">
        <v>153942</v>
      </c>
      <c r="P1072" s="1" t="n">
        <v>90.38</v>
      </c>
      <c r="Q1072" s="1" t="s">
        <v>20</v>
      </c>
      <c r="R1072" s="1" t="s">
        <v>27</v>
      </c>
      <c r="S1072" s="1" t="s">
        <v>28</v>
      </c>
      <c r="T1072" s="1" t="s">
        <v>29</v>
      </c>
    </row>
    <row r="1073" customFormat="false" ht="18.7" hidden="false" customHeight="true" outlineLevel="0" collapsed="false">
      <c r="A1073" s="1" t="n">
        <v>1072</v>
      </c>
      <c r="B1073" s="6" t="str">
        <f aca="false">HYPERLINK("https://mncourtfraud.com/file/MCRO_27-CR-20-27550_Demand or Request for Discovery_2020-12-30_20240430090723.pdf","MCRO_27-CR-20-27550_Demand or Request for Discovery_2020-12-30_20240430090723.pdf")</f>
        <v>MCRO_27-CR-20-27550_Demand or Request for Discovery_2020-12-30_20240430090723.pdf</v>
      </c>
      <c r="C1073" s="1" t="n">
        <v>3</v>
      </c>
      <c r="D1073" s="1" t="n">
        <v>1</v>
      </c>
      <c r="E1073" s="1" t="n">
        <v>1</v>
      </c>
      <c r="F1073" s="3" t="s">
        <v>20</v>
      </c>
      <c r="G1073" s="3" t="s">
        <v>4462</v>
      </c>
      <c r="H1073" s="1" t="s">
        <v>22</v>
      </c>
      <c r="I1073" s="1" t="n">
        <v>20240430090723</v>
      </c>
      <c r="J1073" s="3" t="s">
        <v>4463</v>
      </c>
      <c r="K1073" s="3" t="s">
        <v>4464</v>
      </c>
      <c r="L1073" s="3" t="s">
        <v>4465</v>
      </c>
      <c r="M1073" s="3" t="n">
        <v>421090</v>
      </c>
      <c r="N1073" s="3" t="s">
        <v>4306</v>
      </c>
      <c r="O1073" s="1" t="n">
        <v>404704</v>
      </c>
      <c r="P1073" s="1" t="n">
        <v>96.11</v>
      </c>
      <c r="Q1073" s="1" t="s">
        <v>20</v>
      </c>
      <c r="R1073" s="1" t="s">
        <v>27</v>
      </c>
      <c r="S1073" s="1" t="s">
        <v>28</v>
      </c>
      <c r="T1073" s="1" t="s">
        <v>29</v>
      </c>
    </row>
    <row r="1074" customFormat="false" ht="18.7" hidden="false" customHeight="true" outlineLevel="0" collapsed="false">
      <c r="A1074" s="1" t="n">
        <v>1073</v>
      </c>
      <c r="B1074" s="6" t="str">
        <f aca="false">HYPERLINK("https://mncourtfraud.com/file/MCRO_27-CR-20-27550_E-filed Comp-Order for Detention_2020-12-28_20240430090725.pdf","MCRO_27-CR-20-27550_E-filed Comp-Order for Detention_2020-12-28_20240430090725.pdf")</f>
        <v>MCRO_27-CR-20-27550_E-filed Comp-Order for Detention_2020-12-28_20240430090725.pdf</v>
      </c>
      <c r="C1074" s="1" t="n">
        <v>4</v>
      </c>
      <c r="D1074" s="1" t="n">
        <v>2</v>
      </c>
      <c r="E1074" s="1" t="n">
        <v>2</v>
      </c>
      <c r="F1074" s="3" t="s">
        <v>20</v>
      </c>
      <c r="G1074" s="3" t="s">
        <v>4466</v>
      </c>
      <c r="H1074" s="1" t="s">
        <v>22</v>
      </c>
      <c r="I1074" s="1" t="n">
        <v>20240430090725</v>
      </c>
      <c r="J1074" s="3" t="s">
        <v>4467</v>
      </c>
      <c r="K1074" s="3" t="s">
        <v>4468</v>
      </c>
      <c r="L1074" s="3" t="s">
        <v>4469</v>
      </c>
      <c r="M1074" s="3" t="n">
        <v>499113</v>
      </c>
      <c r="N1074" s="3" t="s">
        <v>4470</v>
      </c>
      <c r="O1074" s="1" t="n">
        <v>482727</v>
      </c>
      <c r="P1074" s="1" t="n">
        <v>96.72</v>
      </c>
      <c r="Q1074" s="1" t="s">
        <v>20</v>
      </c>
      <c r="R1074" s="1" t="s">
        <v>27</v>
      </c>
      <c r="S1074" s="1" t="s">
        <v>28</v>
      </c>
      <c r="T1074" s="1" t="s">
        <v>29</v>
      </c>
    </row>
    <row r="1075" customFormat="false" ht="18.7" hidden="false" customHeight="true" outlineLevel="0" collapsed="false">
      <c r="A1075" s="1" t="n">
        <v>1074</v>
      </c>
      <c r="B1075" s="6" t="str">
        <f aca="false">HYPERLINK("https://mncourtfraud.com/file/MCRO_27-CR-20-27550_Findings and Order_2021-04-06_20240430090717.pdf","MCRO_27-CR-20-27550_Findings and Order_2021-04-06_20240430090717.pdf")</f>
        <v>MCRO_27-CR-20-27550_Findings and Order_2021-04-06_20240430090717.pdf</v>
      </c>
      <c r="C1075" s="1" t="n">
        <v>5</v>
      </c>
      <c r="D1075" s="1" t="n">
        <v>2</v>
      </c>
      <c r="E1075" s="1" t="n">
        <v>2</v>
      </c>
      <c r="F1075" s="3" t="s">
        <v>27</v>
      </c>
      <c r="G1075" s="3" t="s">
        <v>4471</v>
      </c>
      <c r="H1075" s="1" t="s">
        <v>22</v>
      </c>
      <c r="I1075" s="1" t="n">
        <v>20240430090717</v>
      </c>
      <c r="J1075" s="3" t="s">
        <v>4472</v>
      </c>
      <c r="K1075" s="3" t="s">
        <v>4473</v>
      </c>
      <c r="L1075" s="3" t="s">
        <v>4474</v>
      </c>
      <c r="M1075" s="3" t="n">
        <v>324404</v>
      </c>
      <c r="N1075" s="3" t="s">
        <v>385</v>
      </c>
      <c r="O1075" s="1" t="n">
        <v>308018</v>
      </c>
      <c r="P1075" s="1" t="n">
        <v>94.95</v>
      </c>
      <c r="Q1075" s="1" t="s">
        <v>20</v>
      </c>
      <c r="R1075" s="1" t="s">
        <v>27</v>
      </c>
      <c r="S1075" s="1" t="s">
        <v>28</v>
      </c>
      <c r="T1075" s="1" t="s">
        <v>29</v>
      </c>
    </row>
    <row r="1076" customFormat="false" ht="18.7" hidden="false" customHeight="true" outlineLevel="0" collapsed="false">
      <c r="A1076" s="1" t="n">
        <v>1075</v>
      </c>
      <c r="B1076" s="6" t="str">
        <f aca="false">HYPERLINK("https://mncourtfraud.com/file/MCRO_27-CR-20-27550_Findings and Order_2022-08-16_20240430090710.pdf","MCRO_27-CR-20-27550_Findings and Order_2022-08-16_20240430090710.pdf")</f>
        <v>MCRO_27-CR-20-27550_Findings and Order_2022-08-16_20240430090710.pdf</v>
      </c>
      <c r="C1076" s="1" t="n">
        <v>4</v>
      </c>
      <c r="D1076" s="1" t="n">
        <v>2</v>
      </c>
      <c r="E1076" s="1" t="n">
        <v>2</v>
      </c>
      <c r="F1076" s="3" t="s">
        <v>20</v>
      </c>
      <c r="G1076" s="3" t="s">
        <v>4475</v>
      </c>
      <c r="H1076" s="1" t="s">
        <v>22</v>
      </c>
      <c r="I1076" s="1" t="n">
        <v>20240430090710</v>
      </c>
      <c r="J1076" s="3" t="s">
        <v>4476</v>
      </c>
      <c r="K1076" s="3" t="s">
        <v>4477</v>
      </c>
      <c r="L1076" s="3" t="s">
        <v>4478</v>
      </c>
      <c r="M1076" s="3" t="n">
        <v>329076</v>
      </c>
      <c r="N1076" s="3" t="s">
        <v>4122</v>
      </c>
      <c r="O1076" s="1" t="n">
        <v>312690</v>
      </c>
      <c r="P1076" s="1" t="n">
        <v>95.02</v>
      </c>
      <c r="Q1076" s="1" t="s">
        <v>20</v>
      </c>
      <c r="R1076" s="1" t="s">
        <v>27</v>
      </c>
      <c r="S1076" s="1" t="s">
        <v>28</v>
      </c>
      <c r="T1076" s="1" t="s">
        <v>29</v>
      </c>
    </row>
    <row r="1077" customFormat="false" ht="18.7" hidden="false" customHeight="true" outlineLevel="0" collapsed="false">
      <c r="A1077" s="1" t="n">
        <v>1076</v>
      </c>
      <c r="B1077" s="6" t="str">
        <f aca="false">HYPERLINK("https://mncourtfraud.com/file/MCRO_27-CR-20-27550_Notice of Case Reassignment_2021-03-30_20240430090719.pdf","MCRO_27-CR-20-27550_Notice of Case Reassignment_2021-03-30_20240430090719.pdf")</f>
        <v>MCRO_27-CR-20-27550_Notice of Case Reassignment_2021-03-30_20240430090719.pdf</v>
      </c>
      <c r="C1077" s="1" t="n">
        <v>4</v>
      </c>
      <c r="D1077" s="1" t="n">
        <v>1</v>
      </c>
      <c r="E1077" s="1" t="n">
        <v>1</v>
      </c>
      <c r="F1077" s="3" t="s">
        <v>20</v>
      </c>
      <c r="G1077" s="3" t="s">
        <v>4479</v>
      </c>
      <c r="H1077" s="1" t="s">
        <v>22</v>
      </c>
      <c r="I1077" s="1" t="n">
        <v>20240430090719</v>
      </c>
      <c r="J1077" s="3" t="s">
        <v>4480</v>
      </c>
      <c r="K1077" s="3" t="s">
        <v>4481</v>
      </c>
      <c r="L1077" s="3" t="s">
        <v>4482</v>
      </c>
      <c r="M1077" s="3" t="n">
        <v>102095</v>
      </c>
      <c r="N1077" s="3" t="s">
        <v>456</v>
      </c>
      <c r="O1077" s="1" t="n">
        <v>85709</v>
      </c>
      <c r="P1077" s="1" t="n">
        <v>83.95</v>
      </c>
      <c r="Q1077" s="1" t="s">
        <v>20</v>
      </c>
      <c r="R1077" s="1" t="s">
        <v>27</v>
      </c>
      <c r="S1077" s="1" t="s">
        <v>28</v>
      </c>
      <c r="T1077" s="1" t="s">
        <v>29</v>
      </c>
    </row>
    <row r="1078" customFormat="false" ht="18.7" hidden="false" customHeight="true" outlineLevel="0" collapsed="false">
      <c r="A1078" s="1" t="n">
        <v>1077</v>
      </c>
      <c r="B1078" s="6" t="str">
        <f aca="false">HYPERLINK("https://mncourtfraud.com/file/MCRO_27-CR-20-27550_Notice of Case Reassignment_2021-03-30_20240430090720.pdf","MCRO_27-CR-20-27550_Notice of Case Reassignment_2021-03-30_20240430090720.pdf")</f>
        <v>MCRO_27-CR-20-27550_Notice of Case Reassignment_2021-03-30_20240430090720.pdf</v>
      </c>
      <c r="C1078" s="1" t="n">
        <v>4</v>
      </c>
      <c r="D1078" s="1" t="n">
        <v>1</v>
      </c>
      <c r="E1078" s="1" t="n">
        <v>1</v>
      </c>
      <c r="F1078" s="3" t="s">
        <v>20</v>
      </c>
      <c r="G1078" s="3" t="s">
        <v>4483</v>
      </c>
      <c r="H1078" s="1" t="s">
        <v>22</v>
      </c>
      <c r="I1078" s="1" t="n">
        <v>20240430090720</v>
      </c>
      <c r="J1078" s="3" t="s">
        <v>4484</v>
      </c>
      <c r="K1078" s="3" t="s">
        <v>4485</v>
      </c>
      <c r="L1078" s="3" t="s">
        <v>4486</v>
      </c>
      <c r="M1078" s="3" t="n">
        <v>101899</v>
      </c>
      <c r="N1078" s="3" t="s">
        <v>456</v>
      </c>
      <c r="O1078" s="1" t="n">
        <v>85513</v>
      </c>
      <c r="P1078" s="1" t="n">
        <v>83.92</v>
      </c>
      <c r="Q1078" s="1" t="s">
        <v>20</v>
      </c>
      <c r="R1078" s="1" t="s">
        <v>27</v>
      </c>
      <c r="S1078" s="1" t="s">
        <v>28</v>
      </c>
      <c r="T1078" s="1" t="s">
        <v>29</v>
      </c>
    </row>
    <row r="1079" customFormat="false" ht="18.7" hidden="false" customHeight="true" outlineLevel="0" collapsed="false">
      <c r="A1079" s="1" t="n">
        <v>1078</v>
      </c>
      <c r="B1079" s="6" t="str">
        <f aca="false">HYPERLINK("https://mncourtfraud.com/file/MCRO_27-CR-20-27550_Notice of Intent to Prosecute_2021-04-05_20240430090718.pdf","MCRO_27-CR-20-27550_Notice of Intent to Prosecute_2021-04-05_20240430090718.pdf")</f>
        <v>MCRO_27-CR-20-27550_Notice of Intent to Prosecute_2021-04-05_20240430090718.pdf</v>
      </c>
      <c r="C1079" s="1" t="n">
        <v>4</v>
      </c>
      <c r="D1079" s="1" t="n">
        <v>1</v>
      </c>
      <c r="E1079" s="1" t="n">
        <v>1</v>
      </c>
      <c r="F1079" s="3" t="s">
        <v>20</v>
      </c>
      <c r="G1079" s="3" t="s">
        <v>4487</v>
      </c>
      <c r="H1079" s="1" t="s">
        <v>22</v>
      </c>
      <c r="I1079" s="1" t="n">
        <v>20240430090718</v>
      </c>
      <c r="J1079" s="3" t="s">
        <v>4488</v>
      </c>
      <c r="K1079" s="3" t="s">
        <v>4489</v>
      </c>
      <c r="L1079" s="3" t="s">
        <v>4490</v>
      </c>
      <c r="M1079" s="3" t="n">
        <v>334481</v>
      </c>
      <c r="N1079" s="3" t="s">
        <v>913</v>
      </c>
      <c r="O1079" s="1" t="n">
        <v>318095</v>
      </c>
      <c r="P1079" s="1" t="n">
        <v>95.1</v>
      </c>
      <c r="Q1079" s="1" t="s">
        <v>20</v>
      </c>
      <c r="R1079" s="1" t="s">
        <v>27</v>
      </c>
      <c r="S1079" s="1" t="s">
        <v>28</v>
      </c>
      <c r="T1079" s="1" t="s">
        <v>29</v>
      </c>
    </row>
    <row r="1080" customFormat="false" ht="18.7" hidden="false" customHeight="true" outlineLevel="0" collapsed="false">
      <c r="A1080" s="1" t="n">
        <v>1079</v>
      </c>
      <c r="B1080" s="6" t="str">
        <f aca="false">HYPERLINK("https://mncourtfraud.com/file/MCRO_27-CR-20-27550_Notice of Intent to Prosecute_2021-12-10_20240430090712.pdf","MCRO_27-CR-20-27550_Notice of Intent to Prosecute_2021-12-10_20240430090712.pdf")</f>
        <v>MCRO_27-CR-20-27550_Notice of Intent to Prosecute_2021-12-10_20240430090712.pdf</v>
      </c>
      <c r="C1080" s="1" t="n">
        <v>4</v>
      </c>
      <c r="D1080" s="1" t="n">
        <v>1</v>
      </c>
      <c r="E1080" s="1" t="n">
        <v>1</v>
      </c>
      <c r="F1080" s="3" t="s">
        <v>20</v>
      </c>
      <c r="G1080" s="3" t="s">
        <v>4491</v>
      </c>
      <c r="H1080" s="1" t="s">
        <v>22</v>
      </c>
      <c r="I1080" s="1" t="n">
        <v>20240430090712</v>
      </c>
      <c r="J1080" s="3" t="s">
        <v>4492</v>
      </c>
      <c r="K1080" s="3" t="s">
        <v>4493</v>
      </c>
      <c r="L1080" s="3" t="s">
        <v>4494</v>
      </c>
      <c r="M1080" s="3" t="n">
        <v>487726</v>
      </c>
      <c r="N1080" s="3" t="s">
        <v>3103</v>
      </c>
      <c r="O1080" s="1" t="n">
        <v>471340</v>
      </c>
      <c r="P1080" s="1" t="n">
        <v>96.64</v>
      </c>
      <c r="Q1080" s="1" t="s">
        <v>20</v>
      </c>
      <c r="R1080" s="1" t="s">
        <v>27</v>
      </c>
      <c r="S1080" s="1" t="s">
        <v>28</v>
      </c>
      <c r="T1080" s="1" t="s">
        <v>29</v>
      </c>
    </row>
    <row r="1081" customFormat="false" ht="18.7" hidden="false" customHeight="true" outlineLevel="0" collapsed="false">
      <c r="A1081" s="1" t="n">
        <v>1080</v>
      </c>
      <c r="B1081" s="6" t="str">
        <f aca="false">HYPERLINK("https://mncourtfraud.com/file/MCRO_27-CR-20-27550_Notice of Remote Hearing with Instructions_2020-12-29_20240430090724.pdf","MCRO_27-CR-20-27550_Notice of Remote Hearing with Instructions_2020-12-29_20240430090724.pdf")</f>
        <v>MCRO_27-CR-20-27550_Notice of Remote Hearing with Instructions_2020-12-29_20240430090724.pdf</v>
      </c>
      <c r="C1081" s="1" t="n">
        <v>4</v>
      </c>
      <c r="D1081" s="1" t="n">
        <v>1</v>
      </c>
      <c r="E1081" s="1" t="n">
        <v>1</v>
      </c>
      <c r="F1081" s="3" t="s">
        <v>20</v>
      </c>
      <c r="G1081" s="3" t="s">
        <v>4495</v>
      </c>
      <c r="H1081" s="1" t="s">
        <v>22</v>
      </c>
      <c r="I1081" s="1" t="n">
        <v>20240430090724</v>
      </c>
      <c r="J1081" s="3" t="s">
        <v>4496</v>
      </c>
      <c r="K1081" s="3" t="s">
        <v>4497</v>
      </c>
      <c r="L1081" s="3" t="s">
        <v>4498</v>
      </c>
      <c r="M1081" s="3" t="n">
        <v>157083</v>
      </c>
      <c r="N1081" s="3" t="s">
        <v>1065</v>
      </c>
      <c r="O1081" s="1" t="n">
        <v>140697</v>
      </c>
      <c r="P1081" s="1" t="n">
        <v>89.57</v>
      </c>
      <c r="Q1081" s="1" t="s">
        <v>20</v>
      </c>
      <c r="R1081" s="1" t="s">
        <v>27</v>
      </c>
      <c r="S1081" s="1" t="s">
        <v>28</v>
      </c>
      <c r="T1081" s="1" t="s">
        <v>29</v>
      </c>
    </row>
    <row r="1082" customFormat="false" ht="18.7" hidden="false" customHeight="true" outlineLevel="0" collapsed="false">
      <c r="A1082" s="1" t="n">
        <v>1081</v>
      </c>
      <c r="B1082" s="6" t="str">
        <f aca="false">HYPERLINK("https://mncourtfraud.com/file/MCRO_27-CR-20-27550_Notice of Remote Hearing with Instructions_2023-08-25_20240430090705.pdf","MCRO_27-CR-20-27550_Notice of Remote Hearing with Instructions_2023-08-25_20240430090705.pdf")</f>
        <v>MCRO_27-CR-20-27550_Notice of Remote Hearing with Instructions_2023-08-25_20240430090705.pdf</v>
      </c>
      <c r="C1082" s="1" t="n">
        <v>4</v>
      </c>
      <c r="D1082" s="1" t="n">
        <v>1</v>
      </c>
      <c r="E1082" s="1" t="n">
        <v>1</v>
      </c>
      <c r="F1082" s="3" t="s">
        <v>20</v>
      </c>
      <c r="G1082" s="3" t="s">
        <v>4499</v>
      </c>
      <c r="H1082" s="1" t="s">
        <v>22</v>
      </c>
      <c r="I1082" s="1" t="n">
        <v>20240430090705</v>
      </c>
      <c r="J1082" s="3" t="s">
        <v>4500</v>
      </c>
      <c r="K1082" s="3" t="s">
        <v>4501</v>
      </c>
      <c r="L1082" s="3" t="s">
        <v>4502</v>
      </c>
      <c r="M1082" s="3" t="n">
        <v>767991</v>
      </c>
      <c r="N1082" s="3" t="s">
        <v>1128</v>
      </c>
      <c r="O1082" s="1" t="n">
        <v>751605</v>
      </c>
      <c r="P1082" s="1" t="n">
        <v>97.87</v>
      </c>
      <c r="Q1082" s="1" t="s">
        <v>20</v>
      </c>
      <c r="R1082" s="1" t="s">
        <v>27</v>
      </c>
      <c r="S1082" s="1" t="s">
        <v>28</v>
      </c>
      <c r="T1082" s="1" t="s">
        <v>29</v>
      </c>
    </row>
    <row r="1083" customFormat="false" ht="18.7" hidden="false" customHeight="true" outlineLevel="0" collapsed="false">
      <c r="A1083" s="1" t="n">
        <v>1082</v>
      </c>
      <c r="B1083" s="6" t="str">
        <f aca="false">HYPERLINK("https://mncourtfraud.com/file/MCRO_27-CR-20-27550_Notice of Remote Hearing with Instructions_2024-03-19_20240430090703.pdf","MCRO_27-CR-20-27550_Notice of Remote Hearing with Instructions_2024-03-19_20240430090703.pdf")</f>
        <v>MCRO_27-CR-20-27550_Notice of Remote Hearing with Instructions_2024-03-19_20240430090703.pdf</v>
      </c>
      <c r="C1083" s="1" t="n">
        <v>4</v>
      </c>
      <c r="D1083" s="1" t="n">
        <v>1</v>
      </c>
      <c r="E1083" s="1" t="n">
        <v>1</v>
      </c>
      <c r="F1083" s="3" t="s">
        <v>20</v>
      </c>
      <c r="G1083" s="3" t="s">
        <v>4503</v>
      </c>
      <c r="H1083" s="1" t="s">
        <v>22</v>
      </c>
      <c r="I1083" s="1" t="n">
        <v>20240430090703</v>
      </c>
      <c r="J1083" s="3" t="s">
        <v>4504</v>
      </c>
      <c r="K1083" s="3" t="s">
        <v>4505</v>
      </c>
      <c r="L1083" s="3" t="s">
        <v>4506</v>
      </c>
      <c r="M1083" s="3" t="n">
        <v>256264</v>
      </c>
      <c r="N1083" s="3" t="s">
        <v>74</v>
      </c>
      <c r="O1083" s="1" t="n">
        <v>239878</v>
      </c>
      <c r="P1083" s="1" t="n">
        <v>93.61</v>
      </c>
      <c r="Q1083" s="1" t="s">
        <v>20</v>
      </c>
      <c r="R1083" s="1" t="s">
        <v>27</v>
      </c>
      <c r="S1083" s="1" t="s">
        <v>28</v>
      </c>
      <c r="T1083" s="1" t="s">
        <v>29</v>
      </c>
    </row>
    <row r="1084" customFormat="false" ht="18.7" hidden="false" customHeight="true" outlineLevel="0" collapsed="false">
      <c r="A1084" s="1" t="n">
        <v>1083</v>
      </c>
      <c r="B1084" s="6" t="str">
        <f aca="false">HYPERLINK("https://mncourtfraud.com/file/MCRO_27-CR-20-27550_Notice of Remote Hearing with Instructions_2024-04-24_20240430090700.pdf","MCRO_27-CR-20-27550_Notice of Remote Hearing with Instructions_2024-04-24_20240430090700.pdf")</f>
        <v>MCRO_27-CR-20-27550_Notice of Remote Hearing with Instructions_2024-04-24_20240430090700.pdf</v>
      </c>
      <c r="C1084" s="1" t="n">
        <v>4</v>
      </c>
      <c r="D1084" s="1" t="n">
        <v>1</v>
      </c>
      <c r="E1084" s="1" t="n">
        <v>1</v>
      </c>
      <c r="F1084" s="3" t="s">
        <v>20</v>
      </c>
      <c r="G1084" s="3" t="s">
        <v>4507</v>
      </c>
      <c r="H1084" s="1" t="s">
        <v>22</v>
      </c>
      <c r="I1084" s="1" t="n">
        <v>20240430090700</v>
      </c>
      <c r="J1084" s="3" t="s">
        <v>4508</v>
      </c>
      <c r="K1084" s="3" t="s">
        <v>4509</v>
      </c>
      <c r="L1084" s="3" t="s">
        <v>4510</v>
      </c>
      <c r="M1084" s="3" t="n">
        <v>255973</v>
      </c>
      <c r="N1084" s="3" t="s">
        <v>74</v>
      </c>
      <c r="O1084" s="1" t="n">
        <v>239587</v>
      </c>
      <c r="P1084" s="1" t="n">
        <v>93.6</v>
      </c>
      <c r="Q1084" s="1" t="s">
        <v>20</v>
      </c>
      <c r="R1084" s="1" t="s">
        <v>27</v>
      </c>
      <c r="S1084" s="1" t="s">
        <v>28</v>
      </c>
      <c r="T1084" s="1" t="s">
        <v>29</v>
      </c>
    </row>
    <row r="1085" customFormat="false" ht="18.7" hidden="false" customHeight="true" outlineLevel="0" collapsed="false">
      <c r="A1085" s="1" t="n">
        <v>1084</v>
      </c>
      <c r="B1085" s="6" t="str">
        <f aca="false">HYPERLINK("https://mncourtfraud.com/file/MCRO_27-CR-20-27550_Order-Evaluation for Competency to Proceed (Rule 20.01)_2021-02-04_20240430090722.pdf","MCRO_27-CR-20-27550_Order-Evaluation for Competency to Proceed (Rule 20.01)_2021-02-04_20240430090722.pdf")</f>
        <v>MCRO_27-CR-20-27550_Order-Evaluation for Competency to Proceed (Rule 20.01)_2021-02-04_20240430090722.pdf</v>
      </c>
      <c r="C1085" s="1" t="n">
        <v>4</v>
      </c>
      <c r="D1085" s="1" t="n">
        <v>1</v>
      </c>
      <c r="E1085" s="1" t="n">
        <v>1</v>
      </c>
      <c r="F1085" s="3" t="s">
        <v>20</v>
      </c>
      <c r="G1085" s="3" t="s">
        <v>4511</v>
      </c>
      <c r="H1085" s="1" t="s">
        <v>22</v>
      </c>
      <c r="I1085" s="1" t="n">
        <v>20240430090722</v>
      </c>
      <c r="J1085" s="3" t="s">
        <v>4512</v>
      </c>
      <c r="K1085" s="3" t="s">
        <v>4513</v>
      </c>
      <c r="L1085" s="3" t="s">
        <v>4514</v>
      </c>
      <c r="M1085" s="3" t="n">
        <v>227115</v>
      </c>
      <c r="N1085" s="3" t="s">
        <v>4515</v>
      </c>
      <c r="O1085" s="1" t="n">
        <v>210729</v>
      </c>
      <c r="P1085" s="1" t="n">
        <v>92.79</v>
      </c>
      <c r="Q1085" s="1" t="s">
        <v>20</v>
      </c>
      <c r="R1085" s="1" t="s">
        <v>27</v>
      </c>
      <c r="S1085" s="1" t="s">
        <v>28</v>
      </c>
      <c r="T1085" s="1" t="s">
        <v>29</v>
      </c>
    </row>
    <row r="1086" customFormat="false" ht="18.7" hidden="false" customHeight="true" outlineLevel="0" collapsed="false">
      <c r="A1086" s="1" t="n">
        <v>1085</v>
      </c>
      <c r="B1086" s="6" t="str">
        <f aca="false">HYPERLINK("https://mncourtfraud.com/file/MCRO_27-CR-20-27550_Order-Evaluation for Competency to Proceed (Rule 20.01)_2021-07-08_20240430090714.pdf","MCRO_27-CR-20-27550_Order-Evaluation for Competency to Proceed (Rule 20.01)_2021-07-08_20240430090714.pdf")</f>
        <v>MCRO_27-CR-20-27550_Order-Evaluation for Competency to Proceed (Rule 20.01)_2021-07-08_20240430090714.pdf</v>
      </c>
      <c r="C1086" s="1" t="n">
        <v>3</v>
      </c>
      <c r="D1086" s="1" t="n">
        <v>1</v>
      </c>
      <c r="E1086" s="1" t="n">
        <v>1</v>
      </c>
      <c r="F1086" s="3" t="s">
        <v>20</v>
      </c>
      <c r="G1086" s="3" t="s">
        <v>4516</v>
      </c>
      <c r="H1086" s="1" t="s">
        <v>22</v>
      </c>
      <c r="I1086" s="1" t="n">
        <v>20240430090714</v>
      </c>
      <c r="J1086" s="3" t="s">
        <v>4517</v>
      </c>
      <c r="K1086" s="3" t="s">
        <v>4518</v>
      </c>
      <c r="L1086" s="3" t="s">
        <v>4519</v>
      </c>
      <c r="M1086" s="3" t="n">
        <v>452913</v>
      </c>
      <c r="N1086" s="3" t="s">
        <v>549</v>
      </c>
      <c r="O1086" s="1" t="n">
        <v>436527</v>
      </c>
      <c r="P1086" s="1" t="n">
        <v>96.38</v>
      </c>
      <c r="Q1086" s="1" t="s">
        <v>20</v>
      </c>
      <c r="R1086" s="1" t="s">
        <v>27</v>
      </c>
      <c r="S1086" s="1" t="s">
        <v>28</v>
      </c>
      <c r="T1086" s="1" t="s">
        <v>29</v>
      </c>
    </row>
    <row r="1087" customFormat="false" ht="18.7" hidden="false" customHeight="true" outlineLevel="0" collapsed="false">
      <c r="A1087" s="1" t="n">
        <v>1086</v>
      </c>
      <c r="B1087" s="6" t="str">
        <f aca="false">HYPERLINK("https://mncourtfraud.com/file/MCRO_27-CR-20-27550_Order-Evaluation for Competency to Proceed (Rule 20.01)_2022-03-23_20240430090711.pdf","MCRO_27-CR-20-27550_Order-Evaluation for Competency to Proceed (Rule 20.01)_2022-03-23_20240430090711.pdf")</f>
        <v>MCRO_27-CR-20-27550_Order-Evaluation for Competency to Proceed (Rule 20.01)_2022-03-23_20240430090711.pdf</v>
      </c>
      <c r="C1087" s="1" t="n">
        <v>3</v>
      </c>
      <c r="D1087" s="1" t="n">
        <v>1</v>
      </c>
      <c r="E1087" s="1" t="n">
        <v>1</v>
      </c>
      <c r="F1087" s="3" t="s">
        <v>20</v>
      </c>
      <c r="G1087" s="3" t="s">
        <v>4520</v>
      </c>
      <c r="H1087" s="1" t="s">
        <v>22</v>
      </c>
      <c r="I1087" s="1" t="n">
        <v>20240430090711</v>
      </c>
      <c r="J1087" s="3" t="s">
        <v>4521</v>
      </c>
      <c r="K1087" s="3" t="s">
        <v>4522</v>
      </c>
      <c r="L1087" s="3" t="s">
        <v>4523</v>
      </c>
      <c r="M1087" s="3" t="n">
        <v>252350</v>
      </c>
      <c r="N1087" s="3" t="s">
        <v>2818</v>
      </c>
      <c r="O1087" s="1" t="n">
        <v>235964</v>
      </c>
      <c r="P1087" s="1" t="n">
        <v>93.51</v>
      </c>
      <c r="Q1087" s="1" t="s">
        <v>20</v>
      </c>
      <c r="R1087" s="1" t="s">
        <v>27</v>
      </c>
      <c r="S1087" s="1" t="s">
        <v>28</v>
      </c>
      <c r="T1087" s="1" t="s">
        <v>29</v>
      </c>
    </row>
    <row r="1088" customFormat="false" ht="18.7" hidden="false" customHeight="true" outlineLevel="0" collapsed="false">
      <c r="A1088" s="1" t="n">
        <v>1087</v>
      </c>
      <c r="B1088" s="6" t="str">
        <f aca="false">HYPERLINK("https://mncourtfraud.com/file/MCRO_27-CR-20-27550_Order-Evaluation for Competency to Proceed (Rule 20.01)_2022-12-09_20240430090709.pdf","MCRO_27-CR-20-27550_Order-Evaluation for Competency to Proceed (Rule 20.01)_2022-12-09_20240430090709.pdf")</f>
        <v>MCRO_27-CR-20-27550_Order-Evaluation for Competency to Proceed (Rule 20.01)_2022-12-09_20240430090709.pdf</v>
      </c>
      <c r="C1088" s="1" t="n">
        <v>3</v>
      </c>
      <c r="D1088" s="1" t="n">
        <v>1</v>
      </c>
      <c r="E1088" s="1" t="n">
        <v>1</v>
      </c>
      <c r="F1088" s="3" t="s">
        <v>20</v>
      </c>
      <c r="G1088" s="3" t="s">
        <v>4524</v>
      </c>
      <c r="H1088" s="1" t="s">
        <v>22</v>
      </c>
      <c r="I1088" s="1" t="n">
        <v>20240430090709</v>
      </c>
      <c r="J1088" s="3" t="s">
        <v>4525</v>
      </c>
      <c r="K1088" s="3" t="s">
        <v>4526</v>
      </c>
      <c r="L1088" s="3" t="s">
        <v>4527</v>
      </c>
      <c r="M1088" s="3" t="n">
        <v>810569</v>
      </c>
      <c r="N1088" s="3" t="s">
        <v>2520</v>
      </c>
      <c r="O1088" s="1" t="n">
        <v>794183</v>
      </c>
      <c r="P1088" s="1" t="n">
        <v>97.98</v>
      </c>
      <c r="Q1088" s="1" t="s">
        <v>20</v>
      </c>
      <c r="R1088" s="1" t="s">
        <v>27</v>
      </c>
      <c r="S1088" s="1" t="s">
        <v>28</v>
      </c>
      <c r="T1088" s="1" t="s">
        <v>29</v>
      </c>
    </row>
    <row r="1089" customFormat="false" ht="18.7" hidden="false" customHeight="true" outlineLevel="0" collapsed="false">
      <c r="A1089" s="1" t="n">
        <v>1088</v>
      </c>
      <c r="B1089" s="6" t="str">
        <f aca="false">HYPERLINK("https://mncourtfraud.com/file/MCRO_27-CR-20-27550_Order-Evaluation for Competency to Proceed (Rule 20.01)_2023-06-12_20240430090707.pdf","MCRO_27-CR-20-27550_Order-Evaluation for Competency to Proceed (Rule 20.01)_2023-06-12_20240430090707.pdf")</f>
        <v>MCRO_27-CR-20-27550_Order-Evaluation for Competency to Proceed (Rule 20.01)_2023-06-12_20240430090707.pdf</v>
      </c>
      <c r="C1089" s="1" t="n">
        <v>6</v>
      </c>
      <c r="D1089" s="1" t="n">
        <v>2</v>
      </c>
      <c r="E1089" s="1" t="n">
        <v>2</v>
      </c>
      <c r="F1089" s="3" t="s">
        <v>27</v>
      </c>
      <c r="G1089" s="3" t="s">
        <v>4528</v>
      </c>
      <c r="H1089" s="1" t="s">
        <v>22</v>
      </c>
      <c r="I1089" s="1" t="n">
        <v>20240430090707</v>
      </c>
      <c r="J1089" s="3" t="s">
        <v>4529</v>
      </c>
      <c r="K1089" s="3" t="s">
        <v>4530</v>
      </c>
      <c r="L1089" s="3" t="s">
        <v>4531</v>
      </c>
      <c r="M1089" s="3" t="n">
        <v>884796</v>
      </c>
      <c r="N1089" s="3" t="s">
        <v>810</v>
      </c>
      <c r="O1089" s="1" t="n">
        <v>868410</v>
      </c>
      <c r="P1089" s="1" t="n">
        <v>98.15</v>
      </c>
      <c r="Q1089" s="1" t="s">
        <v>20</v>
      </c>
      <c r="R1089" s="1" t="s">
        <v>27</v>
      </c>
      <c r="S1089" s="1" t="s">
        <v>28</v>
      </c>
      <c r="T1089" s="1" t="s">
        <v>29</v>
      </c>
    </row>
    <row r="1090" customFormat="false" ht="18.7" hidden="false" customHeight="true" outlineLevel="0" collapsed="false">
      <c r="A1090" s="1" t="n">
        <v>1089</v>
      </c>
      <c r="B1090" s="6" t="str">
        <f aca="false">HYPERLINK("https://mncourtfraud.com/file/MCRO_27-CR-20-27550_Order-Evaluation for Competency to Proceed (Rule 20.01)_2024-01-11_20240430090704.pdf","MCRO_27-CR-20-27550_Order-Evaluation for Competency to Proceed (Rule 20.01)_2024-01-11_20240430090704.pdf")</f>
        <v>MCRO_27-CR-20-27550_Order-Evaluation for Competency to Proceed (Rule 20.01)_2024-01-11_20240430090704.pdf</v>
      </c>
      <c r="C1090" s="1" t="n">
        <v>5</v>
      </c>
      <c r="D1090" s="1" t="n">
        <v>1</v>
      </c>
      <c r="E1090" s="1" t="n">
        <v>1</v>
      </c>
      <c r="F1090" s="3" t="s">
        <v>20</v>
      </c>
      <c r="G1090" s="3" t="s">
        <v>4532</v>
      </c>
      <c r="H1090" s="1" t="s">
        <v>22</v>
      </c>
      <c r="I1090" s="1" t="n">
        <v>20240430090704</v>
      </c>
      <c r="J1090" s="3" t="s">
        <v>4533</v>
      </c>
      <c r="K1090" s="3" t="s">
        <v>4534</v>
      </c>
      <c r="L1090" s="3" t="s">
        <v>4535</v>
      </c>
      <c r="M1090" s="3" t="n">
        <v>760752</v>
      </c>
      <c r="N1090" s="3" t="s">
        <v>1091</v>
      </c>
      <c r="O1090" s="1" t="n">
        <v>744366</v>
      </c>
      <c r="P1090" s="1" t="n">
        <v>97.85</v>
      </c>
      <c r="Q1090" s="1" t="s">
        <v>20</v>
      </c>
      <c r="R1090" s="1" t="s">
        <v>27</v>
      </c>
      <c r="S1090" s="1" t="s">
        <v>28</v>
      </c>
      <c r="T1090" s="1" t="s">
        <v>29</v>
      </c>
    </row>
    <row r="1091" customFormat="false" ht="18.7" hidden="false" customHeight="true" outlineLevel="0" collapsed="false">
      <c r="A1091" s="1" t="n">
        <v>1090</v>
      </c>
      <c r="B1091" s="6" t="str">
        <f aca="false">HYPERLINK("https://mncourtfraud.com/file/MCRO_27-CR-20-27550_Order-Evaluation for Competency to Proceed (Rule 20.01)_2024-04-23_20240430090701.pdf","MCRO_27-CR-20-27550_Order-Evaluation for Competency to Proceed (Rule 20.01)_2024-04-23_20240430090701.pdf")</f>
        <v>MCRO_27-CR-20-27550_Order-Evaluation for Competency to Proceed (Rule 20.01)_2024-04-23_20240430090701.pdf</v>
      </c>
      <c r="C1091" s="1" t="n">
        <v>4</v>
      </c>
      <c r="D1091" s="1" t="n">
        <v>1</v>
      </c>
      <c r="E1091" s="1" t="n">
        <v>1</v>
      </c>
      <c r="F1091" s="3" t="s">
        <v>20</v>
      </c>
      <c r="G1091" s="3" t="s">
        <v>4536</v>
      </c>
      <c r="H1091" s="1" t="s">
        <v>22</v>
      </c>
      <c r="I1091" s="1" t="n">
        <v>20240430090701</v>
      </c>
      <c r="J1091" s="3" t="s">
        <v>4537</v>
      </c>
      <c r="K1091" s="3" t="s">
        <v>4538</v>
      </c>
      <c r="L1091" s="3" t="s">
        <v>4539</v>
      </c>
      <c r="M1091" s="3" t="n">
        <v>265399</v>
      </c>
      <c r="N1091" s="3" t="s">
        <v>1222</v>
      </c>
      <c r="O1091" s="1" t="n">
        <v>249013</v>
      </c>
      <c r="P1091" s="1" t="n">
        <v>93.83</v>
      </c>
      <c r="Q1091" s="1" t="s">
        <v>20</v>
      </c>
      <c r="R1091" s="1" t="s">
        <v>27</v>
      </c>
      <c r="S1091" s="1" t="s">
        <v>28</v>
      </c>
      <c r="T1091" s="1" t="s">
        <v>29</v>
      </c>
    </row>
    <row r="1092" customFormat="false" ht="18.7" hidden="false" customHeight="true" outlineLevel="0" collapsed="false">
      <c r="A1092" s="1" t="n">
        <v>1091</v>
      </c>
      <c r="B1092" s="6" t="str">
        <f aca="false">HYPERLINK("https://mncourtfraud.com/file/MCRO_27-CR-20-27550_Order for Conditional Release_2021-04-15_20240430090720.pdf","MCRO_27-CR-20-27550_Order for Conditional Release_2021-04-15_20240430090720.pdf")</f>
        <v>MCRO_27-CR-20-27550_Order for Conditional Release_2021-04-15_20240430090720.pdf</v>
      </c>
      <c r="C1092" s="1" t="n">
        <v>10</v>
      </c>
      <c r="D1092" s="1" t="n">
        <v>63</v>
      </c>
      <c r="E1092" s="1" t="n">
        <v>3</v>
      </c>
      <c r="F1092" s="3" t="s">
        <v>27</v>
      </c>
      <c r="G1092" s="3" t="s">
        <v>4540</v>
      </c>
      <c r="H1092" s="1" t="s">
        <v>22</v>
      </c>
      <c r="I1092" s="1" t="n">
        <v>20240430090720</v>
      </c>
      <c r="J1092" s="3" t="s">
        <v>4488</v>
      </c>
      <c r="K1092" s="3" t="s">
        <v>4489</v>
      </c>
      <c r="L1092" s="3" t="s">
        <v>4541</v>
      </c>
      <c r="M1092" s="3" t="n">
        <v>13538311</v>
      </c>
      <c r="N1092" s="3" t="s">
        <v>4542</v>
      </c>
      <c r="O1092" s="1" t="n">
        <v>13521925</v>
      </c>
      <c r="P1092" s="1" t="n">
        <v>99.88</v>
      </c>
      <c r="Q1092" s="1" t="s">
        <v>20</v>
      </c>
      <c r="R1092" s="1" t="s">
        <v>27</v>
      </c>
      <c r="S1092" s="1" t="s">
        <v>28</v>
      </c>
      <c r="T1092" s="1" t="s">
        <v>29</v>
      </c>
    </row>
    <row r="1093" customFormat="false" ht="18.7" hidden="false" customHeight="true" outlineLevel="0" collapsed="false">
      <c r="A1093" s="1" t="n">
        <v>1092</v>
      </c>
      <c r="B1093" s="6" t="str">
        <f aca="false">HYPERLINK("https://mncourtfraud.com/file/MCRO_27-CR-20-27550_Returned Mail_2021-02-09_20240430090721.pdf","MCRO_27-CR-20-27550_Returned Mail_2021-02-09_20240430090721.pdf")</f>
        <v>MCRO_27-CR-20-27550_Returned Mail_2021-02-09_20240430090721.pdf</v>
      </c>
      <c r="C1093" s="1" t="n">
        <v>4</v>
      </c>
      <c r="D1093" s="1" t="n">
        <v>1</v>
      </c>
      <c r="E1093" s="1" t="n">
        <v>1</v>
      </c>
      <c r="F1093" s="3" t="s">
        <v>20</v>
      </c>
      <c r="G1093" s="3" t="s">
        <v>4543</v>
      </c>
      <c r="H1093" s="1" t="s">
        <v>22</v>
      </c>
      <c r="I1093" s="1" t="n">
        <v>20240430090721</v>
      </c>
      <c r="J1093" s="3" t="s">
        <v>4544</v>
      </c>
      <c r="K1093" s="3" t="s">
        <v>4545</v>
      </c>
      <c r="L1093" s="3" t="s">
        <v>4546</v>
      </c>
      <c r="M1093" s="3" t="n">
        <v>397686</v>
      </c>
      <c r="N1093" s="3" t="s">
        <v>456</v>
      </c>
      <c r="O1093" s="1" t="n">
        <v>381300</v>
      </c>
      <c r="P1093" s="1" t="n">
        <v>95.88</v>
      </c>
      <c r="Q1093" s="1" t="s">
        <v>20</v>
      </c>
      <c r="R1093" s="1" t="s">
        <v>27</v>
      </c>
      <c r="S1093" s="1" t="s">
        <v>28</v>
      </c>
      <c r="T1093" s="1" t="s">
        <v>29</v>
      </c>
    </row>
    <row r="1094" customFormat="false" ht="18.7" hidden="false" customHeight="true" outlineLevel="0" collapsed="false">
      <c r="A1094" s="1" t="n">
        <v>1093</v>
      </c>
      <c r="B1094" s="6" t="str">
        <f aca="false">HYPERLINK("https://mncourtfraud.com/file/MCRO_27-CR-20-27550_Returned Mail_2021-04-26_20240430090715.pdf","MCRO_27-CR-20-27550_Returned Mail_2021-04-26_20240430090715.pdf")</f>
        <v>MCRO_27-CR-20-27550_Returned Mail_2021-04-26_20240430090715.pdf</v>
      </c>
      <c r="C1094" s="1" t="n">
        <v>4</v>
      </c>
      <c r="D1094" s="1" t="n">
        <v>1</v>
      </c>
      <c r="E1094" s="1" t="n">
        <v>1</v>
      </c>
      <c r="F1094" s="3" t="s">
        <v>20</v>
      </c>
      <c r="G1094" s="3" t="s">
        <v>4547</v>
      </c>
      <c r="H1094" s="1" t="s">
        <v>22</v>
      </c>
      <c r="I1094" s="1" t="n">
        <v>20240430090715</v>
      </c>
      <c r="J1094" s="3" t="s">
        <v>4548</v>
      </c>
      <c r="K1094" s="3" t="s">
        <v>4549</v>
      </c>
      <c r="L1094" s="3" t="s">
        <v>4550</v>
      </c>
      <c r="M1094" s="3" t="n">
        <v>91924</v>
      </c>
      <c r="N1094" s="3" t="s">
        <v>456</v>
      </c>
      <c r="O1094" s="1" t="n">
        <v>75538</v>
      </c>
      <c r="P1094" s="1" t="n">
        <v>82.17</v>
      </c>
      <c r="Q1094" s="1" t="s">
        <v>20</v>
      </c>
      <c r="R1094" s="1" t="s">
        <v>27</v>
      </c>
      <c r="S1094" s="1" t="s">
        <v>28</v>
      </c>
      <c r="T1094" s="1" t="s">
        <v>29</v>
      </c>
    </row>
    <row r="1095" customFormat="false" ht="18.7" hidden="false" customHeight="true" outlineLevel="0" collapsed="false">
      <c r="A1095" s="1" t="n">
        <v>1094</v>
      </c>
      <c r="B1095" s="6" t="str">
        <f aca="false">HYPERLINK("https://mncourtfraud.com/file/MCRO_27-CR-20-27550_Returned Mail_2023-08-25_20240430090706.pdf","MCRO_27-CR-20-27550_Returned Mail_2023-08-25_20240430090706.pdf")</f>
        <v>MCRO_27-CR-20-27550_Returned Mail_2023-08-25_20240430090706.pdf</v>
      </c>
      <c r="C1095" s="1" t="n">
        <v>4</v>
      </c>
      <c r="D1095" s="1" t="n">
        <v>1</v>
      </c>
      <c r="E1095" s="1" t="n">
        <v>1</v>
      </c>
      <c r="F1095" s="3" t="s">
        <v>20</v>
      </c>
      <c r="G1095" s="3" t="s">
        <v>4551</v>
      </c>
      <c r="H1095" s="1" t="s">
        <v>22</v>
      </c>
      <c r="I1095" s="1" t="n">
        <v>20240430090706</v>
      </c>
      <c r="J1095" s="3" t="s">
        <v>4552</v>
      </c>
      <c r="K1095" s="3" t="s">
        <v>4553</v>
      </c>
      <c r="L1095" s="3" t="s">
        <v>4554</v>
      </c>
      <c r="M1095" s="3" t="n">
        <v>116533</v>
      </c>
      <c r="N1095" s="3" t="s">
        <v>3269</v>
      </c>
      <c r="O1095" s="1" t="n">
        <v>100147</v>
      </c>
      <c r="P1095" s="1" t="n">
        <v>85.94</v>
      </c>
      <c r="Q1095" s="1" t="s">
        <v>20</v>
      </c>
      <c r="R1095" s="1" t="s">
        <v>27</v>
      </c>
      <c r="S1095" s="1" t="s">
        <v>28</v>
      </c>
      <c r="T1095" s="1" t="s">
        <v>29</v>
      </c>
    </row>
    <row r="1096" customFormat="false" ht="18.7" hidden="false" customHeight="true" outlineLevel="0" collapsed="false">
      <c r="A1096" s="1" t="n">
        <v>1095</v>
      </c>
      <c r="B1096" s="6" t="str">
        <f aca="false">HYPERLINK("https://mncourtfraud.com/file/MCRO_27-CR-20-27550_Returned Mail_2024-04-09_20240430090702.pdf","MCRO_27-CR-20-27550_Returned Mail_2024-04-09_20240430090702.pdf")</f>
        <v>MCRO_27-CR-20-27550_Returned Mail_2024-04-09_20240430090702.pdf</v>
      </c>
      <c r="C1096" s="1" t="n">
        <v>4</v>
      </c>
      <c r="D1096" s="1" t="n">
        <v>1</v>
      </c>
      <c r="E1096" s="1" t="n">
        <v>1</v>
      </c>
      <c r="F1096" s="3" t="s">
        <v>20</v>
      </c>
      <c r="G1096" s="3" t="s">
        <v>4555</v>
      </c>
      <c r="H1096" s="1" t="s">
        <v>22</v>
      </c>
      <c r="I1096" s="1" t="n">
        <v>20240430090702</v>
      </c>
      <c r="J1096" s="3" t="s">
        <v>4556</v>
      </c>
      <c r="K1096" s="3" t="s">
        <v>4557</v>
      </c>
      <c r="L1096" s="3" t="s">
        <v>4558</v>
      </c>
      <c r="M1096" s="3" t="n">
        <v>290373</v>
      </c>
      <c r="N1096" s="3" t="s">
        <v>158</v>
      </c>
      <c r="O1096" s="1" t="n">
        <v>273987</v>
      </c>
      <c r="P1096" s="1" t="n">
        <v>94.36</v>
      </c>
      <c r="Q1096" s="1" t="s">
        <v>20</v>
      </c>
      <c r="R1096" s="1" t="s">
        <v>27</v>
      </c>
      <c r="S1096" s="1" t="s">
        <v>28</v>
      </c>
      <c r="T1096" s="1" t="s">
        <v>29</v>
      </c>
    </row>
    <row r="1097" customFormat="false" ht="18.7" hidden="false" customHeight="true" outlineLevel="0" collapsed="false">
      <c r="A1097" s="1" t="n">
        <v>1096</v>
      </c>
      <c r="B1097" s="6" t="str">
        <f aca="false">HYPERLINK("https://mncourtfraud.com/file/MCRO_27-CR-20-3244_Demand or Request for Discovery_2020-03-19_20240430085042.pdf","MCRO_27-CR-20-3244_Demand or Request for Discovery_2020-03-19_20240430085042.pdf")</f>
        <v>MCRO_27-CR-20-3244_Demand or Request for Discovery_2020-03-19_20240430085042.pdf</v>
      </c>
      <c r="C1097" s="1" t="n">
        <v>3</v>
      </c>
      <c r="D1097" s="1" t="n">
        <v>1</v>
      </c>
      <c r="E1097" s="1" t="n">
        <v>1</v>
      </c>
      <c r="F1097" s="3" t="s">
        <v>20</v>
      </c>
      <c r="G1097" s="3" t="s">
        <v>4559</v>
      </c>
      <c r="H1097" s="1" t="s">
        <v>22</v>
      </c>
      <c r="I1097" s="1" t="n">
        <v>20240430085042</v>
      </c>
      <c r="J1097" s="3" t="s">
        <v>4560</v>
      </c>
      <c r="K1097" s="3" t="s">
        <v>4561</v>
      </c>
      <c r="L1097" s="3" t="s">
        <v>4562</v>
      </c>
      <c r="M1097" s="3" t="n">
        <v>315624</v>
      </c>
      <c r="N1097" s="3" t="s">
        <v>4563</v>
      </c>
      <c r="O1097" s="1" t="n">
        <v>299238</v>
      </c>
      <c r="P1097" s="1" t="n">
        <v>94.81</v>
      </c>
      <c r="Q1097" s="1" t="s">
        <v>20</v>
      </c>
      <c r="R1097" s="1" t="s">
        <v>27</v>
      </c>
      <c r="S1097" s="1" t="s">
        <v>28</v>
      </c>
      <c r="T1097" s="1" t="s">
        <v>29</v>
      </c>
    </row>
    <row r="1098" customFormat="false" ht="18.7" hidden="false" customHeight="true" outlineLevel="0" collapsed="false">
      <c r="A1098" s="1" t="n">
        <v>1097</v>
      </c>
      <c r="B1098" s="6" t="str">
        <f aca="false">HYPERLINK("https://mncourtfraud.com/file/MCRO_27-CR-20-3244_E-filed Comp-Summons_2020-02-05_20240430085047.pdf","MCRO_27-CR-20-3244_E-filed Comp-Summons_2020-02-05_20240430085047.pdf")</f>
        <v>MCRO_27-CR-20-3244_E-filed Comp-Summons_2020-02-05_20240430085047.pdf</v>
      </c>
      <c r="C1098" s="1" t="n">
        <v>4</v>
      </c>
      <c r="D1098" s="1" t="n">
        <v>2</v>
      </c>
      <c r="E1098" s="1" t="n">
        <v>2</v>
      </c>
      <c r="F1098" s="3" t="s">
        <v>20</v>
      </c>
      <c r="G1098" s="3" t="s">
        <v>4564</v>
      </c>
      <c r="H1098" s="1" t="s">
        <v>22</v>
      </c>
      <c r="I1098" s="1" t="n">
        <v>20240430085047</v>
      </c>
      <c r="J1098" s="3" t="s">
        <v>4565</v>
      </c>
      <c r="K1098" s="3" t="s">
        <v>4566</v>
      </c>
      <c r="L1098" s="3" t="s">
        <v>4567</v>
      </c>
      <c r="M1098" s="3" t="n">
        <v>481863</v>
      </c>
      <c r="N1098" s="3" t="s">
        <v>4568</v>
      </c>
      <c r="O1098" s="1" t="n">
        <v>465477</v>
      </c>
      <c r="P1098" s="1" t="n">
        <v>96.6</v>
      </c>
      <c r="Q1098" s="1" t="s">
        <v>20</v>
      </c>
      <c r="R1098" s="1" t="s">
        <v>27</v>
      </c>
      <c r="S1098" s="1" t="s">
        <v>28</v>
      </c>
      <c r="T1098" s="1" t="s">
        <v>29</v>
      </c>
    </row>
    <row r="1099" customFormat="false" ht="18.7" hidden="false" customHeight="true" outlineLevel="0" collapsed="false">
      <c r="A1099" s="1" t="n">
        <v>1098</v>
      </c>
      <c r="B1099" s="6" t="str">
        <f aca="false">HYPERLINK("https://mncourtfraud.com/file/MCRO_27-CR-20-3244_Findings of Fact, Conclusions of Law and Order_2022-10-27_20240430085012.pdf","MCRO_27-CR-20-3244_Findings of Fact, Conclusions of Law and Order_2022-10-27_20240430085012.pdf")</f>
        <v>MCRO_27-CR-20-3244_Findings of Fact, Conclusions of Law and Order_2022-10-27_20240430085012.pdf</v>
      </c>
      <c r="C1099" s="1" t="n">
        <v>4</v>
      </c>
      <c r="D1099" s="1" t="n">
        <v>1</v>
      </c>
      <c r="E1099" s="1" t="n">
        <v>1</v>
      </c>
      <c r="F1099" s="3" t="s">
        <v>20</v>
      </c>
      <c r="G1099" s="3" t="s">
        <v>4569</v>
      </c>
      <c r="H1099" s="1" t="s">
        <v>22</v>
      </c>
      <c r="I1099" s="1" t="n">
        <v>20240430085012</v>
      </c>
      <c r="J1099" s="3" t="s">
        <v>4570</v>
      </c>
      <c r="K1099" s="3" t="s">
        <v>4571</v>
      </c>
      <c r="L1099" s="3" t="s">
        <v>4572</v>
      </c>
      <c r="M1099" s="3" t="n">
        <v>351979</v>
      </c>
      <c r="N1099" s="3" t="s">
        <v>619</v>
      </c>
      <c r="O1099" s="1" t="n">
        <v>335593</v>
      </c>
      <c r="P1099" s="1" t="n">
        <v>95.34</v>
      </c>
      <c r="Q1099" s="1" t="s">
        <v>20</v>
      </c>
      <c r="R1099" s="1" t="s">
        <v>27</v>
      </c>
      <c r="S1099" s="1" t="s">
        <v>28</v>
      </c>
      <c r="T1099" s="1" t="s">
        <v>29</v>
      </c>
    </row>
    <row r="1100" customFormat="false" ht="18.7" hidden="false" customHeight="true" outlineLevel="0" collapsed="false">
      <c r="A1100" s="1" t="n">
        <v>1099</v>
      </c>
      <c r="B1100" s="6" t="str">
        <f aca="false">HYPERLINK("https://mncourtfraud.com/file/MCRO_27-CR-20-3244_Law Enforcement Bail Bond Receipt_2022-03-22_20240430085022.pdf","MCRO_27-CR-20-3244_Law Enforcement Bail Bond Receipt_2022-03-22_20240430085022.pdf")</f>
        <v>MCRO_27-CR-20-3244_Law Enforcement Bail Bond Receipt_2022-03-22_20240430085022.pdf</v>
      </c>
      <c r="C1100" s="1" t="n">
        <v>4</v>
      </c>
      <c r="D1100" s="1" t="n">
        <v>1</v>
      </c>
      <c r="E1100" s="1" t="n">
        <v>1</v>
      </c>
      <c r="F1100" s="3" t="s">
        <v>20</v>
      </c>
      <c r="G1100" s="3" t="s">
        <v>4573</v>
      </c>
      <c r="H1100" s="1" t="s">
        <v>22</v>
      </c>
      <c r="I1100" s="1" t="n">
        <v>20240430085022</v>
      </c>
      <c r="J1100" s="3" t="s">
        <v>4574</v>
      </c>
      <c r="K1100" s="3" t="s">
        <v>4575</v>
      </c>
      <c r="L1100" s="3" t="s">
        <v>4576</v>
      </c>
      <c r="M1100" s="3" t="n">
        <v>112715</v>
      </c>
      <c r="N1100" s="3" t="s">
        <v>456</v>
      </c>
      <c r="O1100" s="1" t="n">
        <v>96329</v>
      </c>
      <c r="P1100" s="1" t="n">
        <v>85.46</v>
      </c>
      <c r="Q1100" s="1" t="s">
        <v>20</v>
      </c>
      <c r="R1100" s="1" t="s">
        <v>27</v>
      </c>
      <c r="S1100" s="1" t="s">
        <v>28</v>
      </c>
      <c r="T1100" s="1" t="s">
        <v>29</v>
      </c>
    </row>
    <row r="1101" customFormat="false" ht="18.7" hidden="false" customHeight="true" outlineLevel="0" collapsed="false">
      <c r="A1101" s="1" t="n">
        <v>1100</v>
      </c>
      <c r="B1101" s="6" t="str">
        <f aca="false">HYPERLINK("https://mncourtfraud.com/file/MCRO_27-CR-20-3244_Law Enforcement Notice of Release and Appearance_2022-02-10_20240430085025.pdf","MCRO_27-CR-20-3244_Law Enforcement Notice of Release and Appearance_2022-02-10_20240430085025.pdf")</f>
        <v>MCRO_27-CR-20-3244_Law Enforcement Notice of Release and Appearance_2022-02-10_20240430085025.pdf</v>
      </c>
      <c r="C1101" s="1" t="n">
        <v>4</v>
      </c>
      <c r="D1101" s="1" t="n">
        <v>1</v>
      </c>
      <c r="E1101" s="1" t="n">
        <v>1</v>
      </c>
      <c r="F1101" s="3" t="s">
        <v>20</v>
      </c>
      <c r="G1101" s="3" t="s">
        <v>4577</v>
      </c>
      <c r="H1101" s="1" t="s">
        <v>22</v>
      </c>
      <c r="I1101" s="1" t="n">
        <v>20240430085025</v>
      </c>
      <c r="J1101" s="3" t="s">
        <v>4578</v>
      </c>
      <c r="K1101" s="3" t="s">
        <v>4579</v>
      </c>
      <c r="L1101" s="3" t="s">
        <v>4580</v>
      </c>
      <c r="M1101" s="3" t="n">
        <v>167102</v>
      </c>
      <c r="N1101" s="3" t="s">
        <v>1065</v>
      </c>
      <c r="O1101" s="1" t="n">
        <v>150716</v>
      </c>
      <c r="P1101" s="1" t="n">
        <v>90.19</v>
      </c>
      <c r="Q1101" s="1" t="s">
        <v>20</v>
      </c>
      <c r="R1101" s="1" t="s">
        <v>27</v>
      </c>
      <c r="S1101" s="1" t="s">
        <v>28</v>
      </c>
      <c r="T1101" s="1" t="s">
        <v>29</v>
      </c>
    </row>
    <row r="1102" customFormat="false" ht="18.7" hidden="false" customHeight="true" outlineLevel="0" collapsed="false">
      <c r="A1102" s="1" t="n">
        <v>1101</v>
      </c>
      <c r="B1102" s="6" t="str">
        <f aca="false">HYPERLINK("https://mncourtfraud.com/file/MCRO_27-CR-20-3244_Notice of Appearance_2021-02-01_20240430085035.pdf","MCRO_27-CR-20-3244_Notice of Appearance_2021-02-01_20240430085035.pdf")</f>
        <v>MCRO_27-CR-20-3244_Notice of Appearance_2021-02-01_20240430085035.pdf</v>
      </c>
      <c r="C1102" s="1" t="n">
        <v>4</v>
      </c>
      <c r="D1102" s="1" t="n">
        <v>1</v>
      </c>
      <c r="E1102" s="1" t="n">
        <v>1</v>
      </c>
      <c r="F1102" s="3" t="s">
        <v>20</v>
      </c>
      <c r="G1102" s="3" t="s">
        <v>4581</v>
      </c>
      <c r="H1102" s="1" t="s">
        <v>22</v>
      </c>
      <c r="I1102" s="1" t="n">
        <v>20240430085035</v>
      </c>
      <c r="J1102" s="3" t="s">
        <v>4582</v>
      </c>
      <c r="K1102" s="3" t="s">
        <v>4583</v>
      </c>
      <c r="L1102" s="3" t="s">
        <v>4584</v>
      </c>
      <c r="M1102" s="3" t="n">
        <v>686353</v>
      </c>
      <c r="N1102" s="3" t="s">
        <v>4585</v>
      </c>
      <c r="O1102" s="1" t="n">
        <v>669967</v>
      </c>
      <c r="P1102" s="1" t="n">
        <v>97.61</v>
      </c>
      <c r="Q1102" s="1" t="s">
        <v>20</v>
      </c>
      <c r="R1102" s="1" t="s">
        <v>27</v>
      </c>
      <c r="S1102" s="1" t="s">
        <v>28</v>
      </c>
      <c r="T1102" s="1" t="s">
        <v>29</v>
      </c>
    </row>
    <row r="1103" customFormat="false" ht="18.7" hidden="false" customHeight="true" outlineLevel="0" collapsed="false">
      <c r="A1103" s="1" t="n">
        <v>1102</v>
      </c>
      <c r="B1103" s="6" t="str">
        <f aca="false">HYPERLINK("https://mncourtfraud.com/file/MCRO_27-CR-20-3244_Notice of Case Reassignment_2020-08-07_20240430085040.pdf","MCRO_27-CR-20-3244_Notice of Case Reassignment_2020-08-07_20240430085040.pdf")</f>
        <v>MCRO_27-CR-20-3244_Notice of Case Reassignment_2020-08-07_20240430085040.pdf</v>
      </c>
      <c r="C1103" s="1" t="n">
        <v>4</v>
      </c>
      <c r="D1103" s="1" t="n">
        <v>1</v>
      </c>
      <c r="E1103" s="1" t="n">
        <v>1</v>
      </c>
      <c r="F1103" s="3" t="s">
        <v>20</v>
      </c>
      <c r="G1103" s="3" t="s">
        <v>4586</v>
      </c>
      <c r="H1103" s="1" t="s">
        <v>22</v>
      </c>
      <c r="I1103" s="1" t="n">
        <v>20240430085040</v>
      </c>
      <c r="J1103" s="3" t="s">
        <v>4587</v>
      </c>
      <c r="K1103" s="3" t="s">
        <v>4588</v>
      </c>
      <c r="L1103" s="3" t="s">
        <v>4589</v>
      </c>
      <c r="M1103" s="3" t="n">
        <v>280638</v>
      </c>
      <c r="N1103" s="3" t="s">
        <v>137</v>
      </c>
      <c r="O1103" s="1" t="n">
        <v>264252</v>
      </c>
      <c r="P1103" s="1" t="n">
        <v>94.16</v>
      </c>
      <c r="Q1103" s="1" t="s">
        <v>20</v>
      </c>
      <c r="R1103" s="1" t="s">
        <v>27</v>
      </c>
      <c r="S1103" s="1" t="s">
        <v>28</v>
      </c>
      <c r="T1103" s="1" t="s">
        <v>29</v>
      </c>
    </row>
    <row r="1104" customFormat="false" ht="18.7" hidden="false" customHeight="true" outlineLevel="0" collapsed="false">
      <c r="A1104" s="1" t="n">
        <v>1103</v>
      </c>
      <c r="B1104" s="6" t="str">
        <f aca="false">HYPERLINK("https://mncourtfraud.com/file/MCRO_27-CR-20-3244_Notice of Case Reassignment_2021-03-30_20240430085033.pdf","MCRO_27-CR-20-3244_Notice of Case Reassignment_2021-03-30_20240430085033.pdf")</f>
        <v>MCRO_27-CR-20-3244_Notice of Case Reassignment_2021-03-30_20240430085033.pdf</v>
      </c>
      <c r="C1104" s="1" t="n">
        <v>4</v>
      </c>
      <c r="D1104" s="1" t="n">
        <v>1</v>
      </c>
      <c r="E1104" s="1" t="n">
        <v>1</v>
      </c>
      <c r="F1104" s="3" t="s">
        <v>20</v>
      </c>
      <c r="G1104" s="3" t="s">
        <v>4590</v>
      </c>
      <c r="H1104" s="1" t="s">
        <v>22</v>
      </c>
      <c r="I1104" s="1" t="n">
        <v>20240430085033</v>
      </c>
      <c r="J1104" s="3" t="s">
        <v>4591</v>
      </c>
      <c r="K1104" s="3" t="s">
        <v>4592</v>
      </c>
      <c r="L1104" s="3" t="s">
        <v>4593</v>
      </c>
      <c r="M1104" s="3" t="n">
        <v>95130</v>
      </c>
      <c r="N1104" s="3" t="s">
        <v>456</v>
      </c>
      <c r="O1104" s="1" t="n">
        <v>78744</v>
      </c>
      <c r="P1104" s="1" t="n">
        <v>82.78</v>
      </c>
      <c r="Q1104" s="1" t="s">
        <v>20</v>
      </c>
      <c r="R1104" s="1" t="s">
        <v>27</v>
      </c>
      <c r="S1104" s="1" t="s">
        <v>28</v>
      </c>
      <c r="T1104" s="1" t="s">
        <v>29</v>
      </c>
    </row>
    <row r="1105" customFormat="false" ht="18.7" hidden="false" customHeight="true" outlineLevel="0" collapsed="false">
      <c r="A1105" s="1" t="n">
        <v>1104</v>
      </c>
      <c r="B1105" s="6" t="str">
        <f aca="false">HYPERLINK("https://mncourtfraud.com/file/MCRO_27-CR-20-3244_Notice of Case Reassignment_2022-01-28_20240430085027.pdf","MCRO_27-CR-20-3244_Notice of Case Reassignment_2022-01-28_20240430085027.pdf")</f>
        <v>MCRO_27-CR-20-3244_Notice of Case Reassignment_2022-01-28_20240430085027.pdf</v>
      </c>
      <c r="C1105" s="1" t="n">
        <v>4</v>
      </c>
      <c r="D1105" s="1" t="n">
        <v>1</v>
      </c>
      <c r="E1105" s="1" t="n">
        <v>1</v>
      </c>
      <c r="F1105" s="3" t="s">
        <v>20</v>
      </c>
      <c r="G1105" s="3" t="s">
        <v>4594</v>
      </c>
      <c r="H1105" s="1" t="s">
        <v>22</v>
      </c>
      <c r="I1105" s="1" t="n">
        <v>20240430085027</v>
      </c>
      <c r="J1105" s="3" t="s">
        <v>4595</v>
      </c>
      <c r="K1105" s="3" t="s">
        <v>4596</v>
      </c>
      <c r="L1105" s="3" t="s">
        <v>4597</v>
      </c>
      <c r="M1105" s="3" t="n">
        <v>92178</v>
      </c>
      <c r="N1105" s="3" t="s">
        <v>456</v>
      </c>
      <c r="O1105" s="1" t="n">
        <v>75792</v>
      </c>
      <c r="P1105" s="1" t="n">
        <v>82.22</v>
      </c>
      <c r="Q1105" s="1" t="s">
        <v>20</v>
      </c>
      <c r="R1105" s="1" t="s">
        <v>27</v>
      </c>
      <c r="S1105" s="1" t="s">
        <v>28</v>
      </c>
      <c r="T1105" s="1" t="s">
        <v>29</v>
      </c>
    </row>
    <row r="1106" customFormat="false" ht="18.7" hidden="false" customHeight="true" outlineLevel="0" collapsed="false">
      <c r="A1106" s="1" t="n">
        <v>1105</v>
      </c>
      <c r="B1106" s="6" t="str">
        <f aca="false">HYPERLINK("https://mncourtfraud.com/file/MCRO_27-CR-20-3244_Notice of Hearing_2020-03-18_20240430085043.pdf","MCRO_27-CR-20-3244_Notice of Hearing_2020-03-18_20240430085043.pdf")</f>
        <v>MCRO_27-CR-20-3244_Notice of Hearing_2020-03-18_20240430085043.pdf</v>
      </c>
      <c r="C1106" s="1" t="n">
        <v>4</v>
      </c>
      <c r="D1106" s="1" t="n">
        <v>1</v>
      </c>
      <c r="E1106" s="1" t="n">
        <v>1</v>
      </c>
      <c r="F1106" s="3" t="s">
        <v>20</v>
      </c>
      <c r="G1106" s="3" t="s">
        <v>4598</v>
      </c>
      <c r="H1106" s="1" t="s">
        <v>22</v>
      </c>
      <c r="I1106" s="1" t="n">
        <v>20240430085043</v>
      </c>
      <c r="J1106" s="3" t="s">
        <v>4599</v>
      </c>
      <c r="K1106" s="3" t="s">
        <v>4600</v>
      </c>
      <c r="L1106" s="3" t="s">
        <v>4601</v>
      </c>
      <c r="M1106" s="3" t="n">
        <v>119116</v>
      </c>
      <c r="N1106" s="3" t="s">
        <v>137</v>
      </c>
      <c r="O1106" s="1" t="n">
        <v>102730</v>
      </c>
      <c r="P1106" s="1" t="n">
        <v>86.24</v>
      </c>
      <c r="Q1106" s="1" t="s">
        <v>20</v>
      </c>
      <c r="R1106" s="1" t="s">
        <v>27</v>
      </c>
      <c r="S1106" s="1" t="s">
        <v>28</v>
      </c>
      <c r="T1106" s="1" t="s">
        <v>29</v>
      </c>
    </row>
    <row r="1107" customFormat="false" ht="18.7" hidden="false" customHeight="true" outlineLevel="0" collapsed="false">
      <c r="A1107" s="1" t="n">
        <v>1106</v>
      </c>
      <c r="B1107" s="6" t="str">
        <f aca="false">HYPERLINK("https://mncourtfraud.com/file/MCRO_27-CR-20-3244_Notice of Hearing_2020-11-13_20240430085039.pdf","MCRO_27-CR-20-3244_Notice of Hearing_2020-11-13_20240430085039.pdf")</f>
        <v>MCRO_27-CR-20-3244_Notice of Hearing_2020-11-13_20240430085039.pdf</v>
      </c>
      <c r="C1107" s="1" t="n">
        <v>4</v>
      </c>
      <c r="D1107" s="1" t="n">
        <v>1</v>
      </c>
      <c r="E1107" s="1" t="n">
        <v>1</v>
      </c>
      <c r="F1107" s="3" t="s">
        <v>20</v>
      </c>
      <c r="G1107" s="3" t="s">
        <v>4602</v>
      </c>
      <c r="H1107" s="1" t="s">
        <v>22</v>
      </c>
      <c r="I1107" s="1" t="n">
        <v>20240430085039</v>
      </c>
      <c r="J1107" s="3" t="s">
        <v>4603</v>
      </c>
      <c r="K1107" s="3" t="s">
        <v>4604</v>
      </c>
      <c r="L1107" s="3" t="s">
        <v>4605</v>
      </c>
      <c r="M1107" s="3" t="n">
        <v>91652</v>
      </c>
      <c r="N1107" s="3" t="s">
        <v>3269</v>
      </c>
      <c r="O1107" s="1" t="n">
        <v>75266</v>
      </c>
      <c r="P1107" s="1" t="n">
        <v>82.12</v>
      </c>
      <c r="Q1107" s="1" t="s">
        <v>20</v>
      </c>
      <c r="R1107" s="1" t="s">
        <v>27</v>
      </c>
      <c r="S1107" s="1" t="s">
        <v>28</v>
      </c>
      <c r="T1107" s="1" t="s">
        <v>29</v>
      </c>
    </row>
    <row r="1108" customFormat="false" ht="18.7" hidden="false" customHeight="true" outlineLevel="0" collapsed="false">
      <c r="A1108" s="1" t="n">
        <v>1107</v>
      </c>
      <c r="B1108" s="6" t="str">
        <f aca="false">HYPERLINK("https://mncourtfraud.com/file/MCRO_27-CR-20-3244_Notice of Hearing_2020-11-16_20240430085037.pdf","MCRO_27-CR-20-3244_Notice of Hearing_2020-11-16_20240430085037.pdf")</f>
        <v>MCRO_27-CR-20-3244_Notice of Hearing_2020-11-16_20240430085037.pdf</v>
      </c>
      <c r="C1108" s="1" t="n">
        <v>4</v>
      </c>
      <c r="D1108" s="1" t="n">
        <v>1</v>
      </c>
      <c r="E1108" s="1" t="n">
        <v>1</v>
      </c>
      <c r="F1108" s="3" t="s">
        <v>20</v>
      </c>
      <c r="G1108" s="3" t="s">
        <v>4606</v>
      </c>
      <c r="H1108" s="1" t="s">
        <v>22</v>
      </c>
      <c r="I1108" s="1" t="n">
        <v>20240430085037</v>
      </c>
      <c r="J1108" s="3" t="s">
        <v>4607</v>
      </c>
      <c r="K1108" s="3" t="s">
        <v>4608</v>
      </c>
      <c r="L1108" s="3" t="s">
        <v>4609</v>
      </c>
      <c r="M1108" s="3" t="n">
        <v>106225</v>
      </c>
      <c r="N1108" s="3" t="s">
        <v>456</v>
      </c>
      <c r="O1108" s="1" t="n">
        <v>89839</v>
      </c>
      <c r="P1108" s="1" t="n">
        <v>84.57</v>
      </c>
      <c r="Q1108" s="1" t="s">
        <v>20</v>
      </c>
      <c r="R1108" s="1" t="s">
        <v>27</v>
      </c>
      <c r="S1108" s="1" t="s">
        <v>28</v>
      </c>
      <c r="T1108" s="1" t="s">
        <v>29</v>
      </c>
    </row>
    <row r="1109" customFormat="false" ht="18.7" hidden="false" customHeight="true" outlineLevel="0" collapsed="false">
      <c r="A1109" s="1" t="n">
        <v>1108</v>
      </c>
      <c r="B1109" s="6" t="str">
        <f aca="false">HYPERLINK("https://mncourtfraud.com/file/MCRO_27-CR-20-3244_Notice of Hearing_2020-12-18_20240430085037.pdf","MCRO_27-CR-20-3244_Notice of Hearing_2020-12-18_20240430085037.pdf")</f>
        <v>MCRO_27-CR-20-3244_Notice of Hearing_2020-12-18_20240430085037.pdf</v>
      </c>
      <c r="C1109" s="1" t="n">
        <v>4</v>
      </c>
      <c r="D1109" s="1" t="n">
        <v>1</v>
      </c>
      <c r="E1109" s="1" t="n">
        <v>1</v>
      </c>
      <c r="F1109" s="3" t="s">
        <v>20</v>
      </c>
      <c r="G1109" s="3" t="s">
        <v>4610</v>
      </c>
      <c r="H1109" s="1" t="s">
        <v>22</v>
      </c>
      <c r="I1109" s="1" t="n">
        <v>20240430085037</v>
      </c>
      <c r="J1109" s="3" t="s">
        <v>4611</v>
      </c>
      <c r="K1109" s="3" t="s">
        <v>4612</v>
      </c>
      <c r="L1109" s="3" t="s">
        <v>4613</v>
      </c>
      <c r="M1109" s="3" t="n">
        <v>725026</v>
      </c>
      <c r="N1109" s="3" t="s">
        <v>4614</v>
      </c>
      <c r="O1109" s="1" t="n">
        <v>708640</v>
      </c>
      <c r="P1109" s="1" t="n">
        <v>97.74</v>
      </c>
      <c r="Q1109" s="1" t="s">
        <v>20</v>
      </c>
      <c r="R1109" s="1" t="s">
        <v>27</v>
      </c>
      <c r="S1109" s="1" t="s">
        <v>28</v>
      </c>
      <c r="T1109" s="1" t="s">
        <v>29</v>
      </c>
    </row>
    <row r="1110" customFormat="false" ht="18.7" hidden="false" customHeight="true" outlineLevel="0" collapsed="false">
      <c r="A1110" s="1" t="n">
        <v>1109</v>
      </c>
      <c r="B1110" s="6" t="str">
        <f aca="false">HYPERLINK("https://mncourtfraud.com/file/MCRO_27-CR-20-3244_Notice of Hearing_2022-09-06_20240430085016.pdf","MCRO_27-CR-20-3244_Notice of Hearing_2022-09-06_20240430085016.pdf")</f>
        <v>MCRO_27-CR-20-3244_Notice of Hearing_2022-09-06_20240430085016.pdf</v>
      </c>
      <c r="C1110" s="1" t="n">
        <v>4</v>
      </c>
      <c r="D1110" s="1" t="n">
        <v>1</v>
      </c>
      <c r="E1110" s="1" t="n">
        <v>1</v>
      </c>
      <c r="F1110" s="3" t="s">
        <v>20</v>
      </c>
      <c r="G1110" s="3" t="s">
        <v>4615</v>
      </c>
      <c r="H1110" s="1" t="s">
        <v>22</v>
      </c>
      <c r="I1110" s="1" t="n">
        <v>20240430085016</v>
      </c>
      <c r="J1110" s="3" t="s">
        <v>4616</v>
      </c>
      <c r="K1110" s="3" t="s">
        <v>4617</v>
      </c>
      <c r="L1110" s="3" t="s">
        <v>4618</v>
      </c>
      <c r="M1110" s="3" t="n">
        <v>696238</v>
      </c>
      <c r="N1110" s="3" t="s">
        <v>1330</v>
      </c>
      <c r="O1110" s="1" t="n">
        <v>679852</v>
      </c>
      <c r="P1110" s="1" t="n">
        <v>97.65</v>
      </c>
      <c r="Q1110" s="1" t="s">
        <v>20</v>
      </c>
      <c r="R1110" s="1" t="s">
        <v>27</v>
      </c>
      <c r="S1110" s="1" t="s">
        <v>28</v>
      </c>
      <c r="T1110" s="1" t="s">
        <v>29</v>
      </c>
    </row>
    <row r="1111" customFormat="false" ht="18.7" hidden="false" customHeight="true" outlineLevel="0" collapsed="false">
      <c r="A1111" s="1" t="n">
        <v>1110</v>
      </c>
      <c r="B1111" s="6" t="str">
        <f aca="false">HYPERLINK("https://mncourtfraud.com/file/MCRO_27-CR-20-3244_Notice of Hearing_2022-09-23_20240430085014.pdf","MCRO_27-CR-20-3244_Notice of Hearing_2022-09-23_20240430085014.pdf")</f>
        <v>MCRO_27-CR-20-3244_Notice of Hearing_2022-09-23_20240430085014.pdf</v>
      </c>
      <c r="C1111" s="1" t="n">
        <v>4</v>
      </c>
      <c r="D1111" s="1" t="n">
        <v>1</v>
      </c>
      <c r="E1111" s="1" t="n">
        <v>1</v>
      </c>
      <c r="F1111" s="3" t="s">
        <v>20</v>
      </c>
      <c r="G1111" s="3" t="s">
        <v>4619</v>
      </c>
      <c r="H1111" s="1" t="s">
        <v>22</v>
      </c>
      <c r="I1111" s="1" t="n">
        <v>20240430085014</v>
      </c>
      <c r="J1111" s="3" t="s">
        <v>4620</v>
      </c>
      <c r="K1111" s="3" t="s">
        <v>4621</v>
      </c>
      <c r="L1111" s="3" t="s">
        <v>4622</v>
      </c>
      <c r="M1111" s="3" t="n">
        <v>779395</v>
      </c>
      <c r="N1111" s="3" t="s">
        <v>1574</v>
      </c>
      <c r="O1111" s="1" t="n">
        <v>763009</v>
      </c>
      <c r="P1111" s="1" t="n">
        <v>97.9</v>
      </c>
      <c r="Q1111" s="1" t="s">
        <v>20</v>
      </c>
      <c r="R1111" s="1" t="s">
        <v>27</v>
      </c>
      <c r="S1111" s="1" t="s">
        <v>28</v>
      </c>
      <c r="T1111" s="1" t="s">
        <v>29</v>
      </c>
    </row>
    <row r="1112" customFormat="false" ht="18.7" hidden="false" customHeight="true" outlineLevel="0" collapsed="false">
      <c r="A1112" s="1" t="n">
        <v>1111</v>
      </c>
      <c r="B1112" s="6" t="str">
        <f aca="false">HYPERLINK("https://mncourtfraud.com/file/MCRO_27-CR-20-3244_Notice of Hearing_2022-10-26_20240430085013.pdf","MCRO_27-CR-20-3244_Notice of Hearing_2022-10-26_20240430085013.pdf")</f>
        <v>MCRO_27-CR-20-3244_Notice of Hearing_2022-10-26_20240430085013.pdf</v>
      </c>
      <c r="C1112" s="1" t="n">
        <v>4</v>
      </c>
      <c r="D1112" s="1" t="n">
        <v>1</v>
      </c>
      <c r="E1112" s="1" t="n">
        <v>1</v>
      </c>
      <c r="F1112" s="3" t="s">
        <v>20</v>
      </c>
      <c r="G1112" s="3" t="s">
        <v>4623</v>
      </c>
      <c r="H1112" s="1" t="s">
        <v>22</v>
      </c>
      <c r="I1112" s="1" t="n">
        <v>20240430085013</v>
      </c>
      <c r="J1112" s="3" t="s">
        <v>4624</v>
      </c>
      <c r="K1112" s="3" t="s">
        <v>4625</v>
      </c>
      <c r="L1112" s="3" t="s">
        <v>4626</v>
      </c>
      <c r="M1112" s="3" t="n">
        <v>807373</v>
      </c>
      <c r="N1112" s="3" t="s">
        <v>89</v>
      </c>
      <c r="O1112" s="1" t="n">
        <v>790987</v>
      </c>
      <c r="P1112" s="1" t="n">
        <v>97.97</v>
      </c>
      <c r="Q1112" s="1" t="s">
        <v>20</v>
      </c>
      <c r="R1112" s="1" t="s">
        <v>27</v>
      </c>
      <c r="S1112" s="1" t="s">
        <v>28</v>
      </c>
      <c r="T1112" s="1" t="s">
        <v>29</v>
      </c>
    </row>
    <row r="1113" customFormat="false" ht="18.7" hidden="false" customHeight="true" outlineLevel="0" collapsed="false">
      <c r="A1113" s="1" t="n">
        <v>1112</v>
      </c>
      <c r="B1113" s="6" t="str">
        <f aca="false">HYPERLINK("https://mncourtfraud.com/file/MCRO_27-CR-20-3244_Notice of Hearing_2023-03-23_20240430085010.pdf","MCRO_27-CR-20-3244_Notice of Hearing_2023-03-23_20240430085010.pdf")</f>
        <v>MCRO_27-CR-20-3244_Notice of Hearing_2023-03-23_20240430085010.pdf</v>
      </c>
      <c r="C1113" s="1" t="n">
        <v>4</v>
      </c>
      <c r="D1113" s="1" t="n">
        <v>1</v>
      </c>
      <c r="E1113" s="1" t="n">
        <v>1</v>
      </c>
      <c r="F1113" s="3" t="s">
        <v>20</v>
      </c>
      <c r="G1113" s="3" t="s">
        <v>4627</v>
      </c>
      <c r="H1113" s="1" t="s">
        <v>22</v>
      </c>
      <c r="I1113" s="1" t="n">
        <v>20240430085010</v>
      </c>
      <c r="J1113" s="3" t="s">
        <v>4628</v>
      </c>
      <c r="K1113" s="3" t="s">
        <v>4629</v>
      </c>
      <c r="L1113" s="3" t="s">
        <v>4630</v>
      </c>
      <c r="M1113" s="3" t="n">
        <v>730184</v>
      </c>
      <c r="N1113" s="3" t="s">
        <v>913</v>
      </c>
      <c r="O1113" s="1" t="n">
        <v>713798</v>
      </c>
      <c r="P1113" s="1" t="n">
        <v>97.76</v>
      </c>
      <c r="Q1113" s="1" t="s">
        <v>20</v>
      </c>
      <c r="R1113" s="1" t="s">
        <v>27</v>
      </c>
      <c r="S1113" s="1" t="s">
        <v>28</v>
      </c>
      <c r="T1113" s="1" t="s">
        <v>29</v>
      </c>
    </row>
    <row r="1114" customFormat="false" ht="18.7" hidden="false" customHeight="true" outlineLevel="0" collapsed="false">
      <c r="A1114" s="1" t="n">
        <v>1113</v>
      </c>
      <c r="B1114" s="6" t="str">
        <f aca="false">HYPERLINK("https://mncourtfraud.com/file/MCRO_27-CR-20-3244_Notice of Hearing_2023-04-05_20240430085009.pdf","MCRO_27-CR-20-3244_Notice of Hearing_2023-04-05_20240430085009.pdf")</f>
        <v>MCRO_27-CR-20-3244_Notice of Hearing_2023-04-05_20240430085009.pdf</v>
      </c>
      <c r="C1114" s="1" t="n">
        <v>4</v>
      </c>
      <c r="D1114" s="1" t="n">
        <v>1</v>
      </c>
      <c r="E1114" s="1" t="n">
        <v>1</v>
      </c>
      <c r="F1114" s="3" t="s">
        <v>20</v>
      </c>
      <c r="G1114" s="3" t="s">
        <v>4631</v>
      </c>
      <c r="H1114" s="1" t="s">
        <v>22</v>
      </c>
      <c r="I1114" s="1" t="n">
        <v>20240430085009</v>
      </c>
      <c r="J1114" s="3" t="s">
        <v>4632</v>
      </c>
      <c r="K1114" s="3" t="s">
        <v>4633</v>
      </c>
      <c r="L1114" s="3" t="s">
        <v>4634</v>
      </c>
      <c r="M1114" s="3" t="n">
        <v>730175</v>
      </c>
      <c r="N1114" s="3" t="s">
        <v>913</v>
      </c>
      <c r="O1114" s="1" t="n">
        <v>713789</v>
      </c>
      <c r="P1114" s="1" t="n">
        <v>97.76</v>
      </c>
      <c r="Q1114" s="1" t="s">
        <v>20</v>
      </c>
      <c r="R1114" s="1" t="s">
        <v>27</v>
      </c>
      <c r="S1114" s="1" t="s">
        <v>28</v>
      </c>
      <c r="T1114" s="1" t="s">
        <v>29</v>
      </c>
    </row>
    <row r="1115" customFormat="false" ht="18.7" hidden="false" customHeight="true" outlineLevel="0" collapsed="false">
      <c r="A1115" s="1" t="n">
        <v>1114</v>
      </c>
      <c r="B1115" s="6" t="str">
        <f aca="false">HYPERLINK("https://mncourtfraud.com/file/MCRO_27-CR-20-3244_Notice of Hearing_2023-08-25_20240430085006.pdf","MCRO_27-CR-20-3244_Notice of Hearing_2023-08-25_20240430085006.pdf")</f>
        <v>MCRO_27-CR-20-3244_Notice of Hearing_2023-08-25_20240430085006.pdf</v>
      </c>
      <c r="C1115" s="1" t="n">
        <v>4</v>
      </c>
      <c r="D1115" s="1" t="n">
        <v>1</v>
      </c>
      <c r="E1115" s="1" t="n">
        <v>1</v>
      </c>
      <c r="F1115" s="3" t="s">
        <v>20</v>
      </c>
      <c r="G1115" s="3" t="s">
        <v>4635</v>
      </c>
      <c r="H1115" s="1" t="s">
        <v>22</v>
      </c>
      <c r="I1115" s="1" t="n">
        <v>20240430085006</v>
      </c>
      <c r="J1115" s="3" t="s">
        <v>4636</v>
      </c>
      <c r="K1115" s="3" t="s">
        <v>4637</v>
      </c>
      <c r="L1115" s="3" t="s">
        <v>4638</v>
      </c>
      <c r="M1115" s="3" t="n">
        <v>747861</v>
      </c>
      <c r="N1115" s="3" t="s">
        <v>4639</v>
      </c>
      <c r="O1115" s="1" t="n">
        <v>731475</v>
      </c>
      <c r="P1115" s="1" t="n">
        <v>97.81</v>
      </c>
      <c r="Q1115" s="1" t="s">
        <v>20</v>
      </c>
      <c r="R1115" s="1" t="s">
        <v>27</v>
      </c>
      <c r="S1115" s="1" t="s">
        <v>28</v>
      </c>
      <c r="T1115" s="1" t="s">
        <v>29</v>
      </c>
    </row>
    <row r="1116" customFormat="false" ht="18.7" hidden="false" customHeight="true" outlineLevel="0" collapsed="false">
      <c r="A1116" s="1" t="n">
        <v>1115</v>
      </c>
      <c r="B1116" s="6" t="str">
        <f aca="false">HYPERLINK("https://mncourtfraud.com/file/MCRO_27-CR-20-3244_Notice of Hearing_2023-10-24_20240430085001.pdf","MCRO_27-CR-20-3244_Notice of Hearing_2023-10-24_20240430085001.pdf")</f>
        <v>MCRO_27-CR-20-3244_Notice of Hearing_2023-10-24_20240430085001.pdf</v>
      </c>
      <c r="C1116" s="1" t="n">
        <v>4</v>
      </c>
      <c r="D1116" s="1" t="n">
        <v>1</v>
      </c>
      <c r="E1116" s="1" t="n">
        <v>1</v>
      </c>
      <c r="F1116" s="3" t="s">
        <v>20</v>
      </c>
      <c r="G1116" s="3" t="s">
        <v>4640</v>
      </c>
      <c r="H1116" s="1" t="s">
        <v>22</v>
      </c>
      <c r="I1116" s="1" t="n">
        <v>20240430085001</v>
      </c>
      <c r="J1116" s="3" t="s">
        <v>4641</v>
      </c>
      <c r="K1116" s="3" t="s">
        <v>4642</v>
      </c>
      <c r="L1116" s="3" t="s">
        <v>4643</v>
      </c>
      <c r="M1116" s="3" t="n">
        <v>532262</v>
      </c>
      <c r="N1116" s="3" t="s">
        <v>158</v>
      </c>
      <c r="O1116" s="1" t="n">
        <v>515876</v>
      </c>
      <c r="P1116" s="1" t="n">
        <v>96.92</v>
      </c>
      <c r="Q1116" s="1" t="s">
        <v>20</v>
      </c>
      <c r="R1116" s="1" t="s">
        <v>27</v>
      </c>
      <c r="S1116" s="1" t="s">
        <v>28</v>
      </c>
      <c r="T1116" s="1" t="s">
        <v>29</v>
      </c>
    </row>
    <row r="1117" customFormat="false" ht="18.7" hidden="false" customHeight="true" outlineLevel="0" collapsed="false">
      <c r="A1117" s="1" t="n">
        <v>1116</v>
      </c>
      <c r="B1117" s="6" t="str">
        <f aca="false">HYPERLINK("https://mncourtfraud.com/file/MCRO_27-CR-20-3244_Notice of Hearing_2023-10-25_20240430085000.pdf","MCRO_27-CR-20-3244_Notice of Hearing_2023-10-25_20240430085000.pdf")</f>
        <v>MCRO_27-CR-20-3244_Notice of Hearing_2023-10-25_20240430085000.pdf</v>
      </c>
      <c r="C1117" s="1" t="n">
        <v>4</v>
      </c>
      <c r="D1117" s="1" t="n">
        <v>1</v>
      </c>
      <c r="E1117" s="1" t="n">
        <v>1</v>
      </c>
      <c r="F1117" s="3" t="s">
        <v>20</v>
      </c>
      <c r="G1117" s="3" t="s">
        <v>4644</v>
      </c>
      <c r="H1117" s="1" t="s">
        <v>22</v>
      </c>
      <c r="I1117" s="1" t="n">
        <v>20240430085000</v>
      </c>
      <c r="J1117" s="3" t="s">
        <v>4645</v>
      </c>
      <c r="K1117" s="3" t="s">
        <v>4646</v>
      </c>
      <c r="L1117" s="3" t="s">
        <v>4647</v>
      </c>
      <c r="M1117" s="3" t="n">
        <v>730279</v>
      </c>
      <c r="N1117" s="3" t="s">
        <v>913</v>
      </c>
      <c r="O1117" s="1" t="n">
        <v>713893</v>
      </c>
      <c r="P1117" s="1" t="n">
        <v>97.76</v>
      </c>
      <c r="Q1117" s="1" t="s">
        <v>20</v>
      </c>
      <c r="R1117" s="1" t="s">
        <v>27</v>
      </c>
      <c r="S1117" s="1" t="s">
        <v>28</v>
      </c>
      <c r="T1117" s="1" t="s">
        <v>29</v>
      </c>
    </row>
    <row r="1118" customFormat="false" ht="18.7" hidden="false" customHeight="true" outlineLevel="0" collapsed="false">
      <c r="A1118" s="1" t="n">
        <v>1117</v>
      </c>
      <c r="B1118" s="6" t="str">
        <f aca="false">HYPERLINK("https://mncourtfraud.com/file/MCRO_27-CR-20-3244_Notice of Remote Hearing with Instructions_2021-02-01_20240430085034.pdf","MCRO_27-CR-20-3244_Notice of Remote Hearing with Instructions_2021-02-01_20240430085034.pdf")</f>
        <v>MCRO_27-CR-20-3244_Notice of Remote Hearing with Instructions_2021-02-01_20240430085034.pdf</v>
      </c>
      <c r="C1118" s="1" t="n">
        <v>4</v>
      </c>
      <c r="D1118" s="1" t="n">
        <v>1</v>
      </c>
      <c r="E1118" s="1" t="n">
        <v>1</v>
      </c>
      <c r="F1118" s="3" t="s">
        <v>20</v>
      </c>
      <c r="G1118" s="3" t="s">
        <v>4648</v>
      </c>
      <c r="H1118" s="1" t="s">
        <v>22</v>
      </c>
      <c r="I1118" s="1" t="n">
        <v>20240430085034</v>
      </c>
      <c r="J1118" s="3" t="s">
        <v>4649</v>
      </c>
      <c r="K1118" s="3" t="s">
        <v>4650</v>
      </c>
      <c r="L1118" s="3" t="s">
        <v>4651</v>
      </c>
      <c r="M1118" s="3" t="n">
        <v>817940</v>
      </c>
      <c r="N1118" s="3" t="s">
        <v>1266</v>
      </c>
      <c r="O1118" s="1" t="n">
        <v>801554</v>
      </c>
      <c r="P1118" s="1" t="n">
        <v>98</v>
      </c>
      <c r="Q1118" s="1" t="s">
        <v>20</v>
      </c>
      <c r="R1118" s="1" t="s">
        <v>27</v>
      </c>
      <c r="S1118" s="1" t="s">
        <v>28</v>
      </c>
      <c r="T1118" s="1" t="s">
        <v>29</v>
      </c>
    </row>
    <row r="1119" customFormat="false" ht="18.7" hidden="false" customHeight="true" outlineLevel="0" collapsed="false">
      <c r="A1119" s="1" t="n">
        <v>1118</v>
      </c>
      <c r="B1119" s="6" t="str">
        <f aca="false">HYPERLINK("https://mncourtfraud.com/file/MCRO_27-CR-20-3244_Notice of Remote Hearing with Instructions_2021-06-21_20240430085031.pdf","MCRO_27-CR-20-3244_Notice of Remote Hearing with Instructions_2021-06-21_20240430085031.pdf")</f>
        <v>MCRO_27-CR-20-3244_Notice of Remote Hearing with Instructions_2021-06-21_20240430085031.pdf</v>
      </c>
      <c r="C1119" s="1" t="n">
        <v>4</v>
      </c>
      <c r="D1119" s="1" t="n">
        <v>1</v>
      </c>
      <c r="E1119" s="1" t="n">
        <v>1</v>
      </c>
      <c r="F1119" s="3" t="s">
        <v>20</v>
      </c>
      <c r="G1119" s="3" t="s">
        <v>4652</v>
      </c>
      <c r="H1119" s="1" t="s">
        <v>22</v>
      </c>
      <c r="I1119" s="1" t="n">
        <v>20240430085031</v>
      </c>
      <c r="J1119" s="3" t="s">
        <v>4653</v>
      </c>
      <c r="K1119" s="3" t="s">
        <v>4654</v>
      </c>
      <c r="L1119" s="3" t="s">
        <v>4655</v>
      </c>
      <c r="M1119" s="3" t="n">
        <v>161683</v>
      </c>
      <c r="N1119" s="3" t="s">
        <v>1065</v>
      </c>
      <c r="O1119" s="1" t="n">
        <v>145297</v>
      </c>
      <c r="P1119" s="1" t="n">
        <v>89.87</v>
      </c>
      <c r="Q1119" s="1" t="s">
        <v>20</v>
      </c>
      <c r="R1119" s="1" t="s">
        <v>27</v>
      </c>
      <c r="S1119" s="1" t="s">
        <v>28</v>
      </c>
      <c r="T1119" s="1" t="s">
        <v>29</v>
      </c>
    </row>
    <row r="1120" customFormat="false" ht="18.7" hidden="false" customHeight="true" outlineLevel="0" collapsed="false">
      <c r="A1120" s="1" t="n">
        <v>1119</v>
      </c>
      <c r="B1120" s="6" t="str">
        <f aca="false">HYPERLINK("https://mncourtfraud.com/file/MCRO_27-CR-20-3244_Notice of Remote Hearing with Instructions_2021-07-21_20240430085030.pdf","MCRO_27-CR-20-3244_Notice of Remote Hearing with Instructions_2021-07-21_20240430085030.pdf")</f>
        <v>MCRO_27-CR-20-3244_Notice of Remote Hearing with Instructions_2021-07-21_20240430085030.pdf</v>
      </c>
      <c r="C1120" s="1" t="n">
        <v>4</v>
      </c>
      <c r="D1120" s="1" t="n">
        <v>1</v>
      </c>
      <c r="E1120" s="1" t="n">
        <v>1</v>
      </c>
      <c r="F1120" s="3" t="s">
        <v>20</v>
      </c>
      <c r="G1120" s="3" t="s">
        <v>4656</v>
      </c>
      <c r="H1120" s="1" t="s">
        <v>22</v>
      </c>
      <c r="I1120" s="1" t="n">
        <v>20240430085030</v>
      </c>
      <c r="J1120" s="3" t="s">
        <v>4657</v>
      </c>
      <c r="K1120" s="3" t="s">
        <v>4658</v>
      </c>
      <c r="L1120" s="3" t="s">
        <v>4659</v>
      </c>
      <c r="M1120" s="3" t="n">
        <v>163420</v>
      </c>
      <c r="N1120" s="3" t="s">
        <v>1065</v>
      </c>
      <c r="O1120" s="1" t="n">
        <v>147034</v>
      </c>
      <c r="P1120" s="1" t="n">
        <v>89.97</v>
      </c>
      <c r="Q1120" s="1" t="s">
        <v>20</v>
      </c>
      <c r="R1120" s="1" t="s">
        <v>27</v>
      </c>
      <c r="S1120" s="1" t="s">
        <v>28</v>
      </c>
      <c r="T1120" s="1" t="s">
        <v>29</v>
      </c>
    </row>
    <row r="1121" customFormat="false" ht="18.7" hidden="false" customHeight="true" outlineLevel="0" collapsed="false">
      <c r="A1121" s="1" t="n">
        <v>1120</v>
      </c>
      <c r="B1121" s="6" t="str">
        <f aca="false">HYPERLINK("https://mncourtfraud.com/file/MCRO_27-CR-20-3244_Notice of Remote Hearing with Instructions_2021-10-12_20240430085029.pdf","MCRO_27-CR-20-3244_Notice of Remote Hearing with Instructions_2021-10-12_20240430085029.pdf")</f>
        <v>MCRO_27-CR-20-3244_Notice of Remote Hearing with Instructions_2021-10-12_20240430085029.pdf</v>
      </c>
      <c r="C1121" s="1" t="n">
        <v>4</v>
      </c>
      <c r="D1121" s="1" t="n">
        <v>1</v>
      </c>
      <c r="E1121" s="1" t="n">
        <v>1</v>
      </c>
      <c r="F1121" s="3" t="s">
        <v>20</v>
      </c>
      <c r="G1121" s="3" t="s">
        <v>4660</v>
      </c>
      <c r="H1121" s="1" t="s">
        <v>22</v>
      </c>
      <c r="I1121" s="1" t="n">
        <v>20240430085029</v>
      </c>
      <c r="J1121" s="3" t="s">
        <v>4661</v>
      </c>
      <c r="K1121" s="3" t="s">
        <v>4662</v>
      </c>
      <c r="L1121" s="3" t="s">
        <v>4663</v>
      </c>
      <c r="M1121" s="3" t="n">
        <v>142184</v>
      </c>
      <c r="N1121" s="3" t="s">
        <v>361</v>
      </c>
      <c r="O1121" s="1" t="n">
        <v>125798</v>
      </c>
      <c r="P1121" s="1" t="n">
        <v>88.48</v>
      </c>
      <c r="Q1121" s="1" t="s">
        <v>20</v>
      </c>
      <c r="R1121" s="1" t="s">
        <v>27</v>
      </c>
      <c r="S1121" s="1" t="s">
        <v>28</v>
      </c>
      <c r="T1121" s="1" t="s">
        <v>29</v>
      </c>
    </row>
    <row r="1122" customFormat="false" ht="18.7" hidden="false" customHeight="true" outlineLevel="0" collapsed="false">
      <c r="A1122" s="1" t="n">
        <v>1121</v>
      </c>
      <c r="B1122" s="6" t="str">
        <f aca="false">HYPERLINK("https://mncourtfraud.com/file/MCRO_27-CR-20-3244_Notice of Remote Hearing with Instructions_2021-11-23_20240430085028.pdf","MCRO_27-CR-20-3244_Notice of Remote Hearing with Instructions_2021-11-23_20240430085028.pdf")</f>
        <v>MCRO_27-CR-20-3244_Notice of Remote Hearing with Instructions_2021-11-23_20240430085028.pdf</v>
      </c>
      <c r="C1122" s="1" t="n">
        <v>4</v>
      </c>
      <c r="D1122" s="1" t="n">
        <v>1</v>
      </c>
      <c r="E1122" s="1" t="n">
        <v>1</v>
      </c>
      <c r="F1122" s="3" t="s">
        <v>20</v>
      </c>
      <c r="G1122" s="3" t="s">
        <v>4664</v>
      </c>
      <c r="H1122" s="1" t="s">
        <v>22</v>
      </c>
      <c r="I1122" s="1" t="n">
        <v>20240430085028</v>
      </c>
      <c r="J1122" s="3" t="s">
        <v>4665</v>
      </c>
      <c r="K1122" s="3" t="s">
        <v>4666</v>
      </c>
      <c r="L1122" s="3" t="s">
        <v>4667</v>
      </c>
      <c r="M1122" s="3" t="n">
        <v>140604</v>
      </c>
      <c r="N1122" s="3" t="s">
        <v>361</v>
      </c>
      <c r="O1122" s="1" t="n">
        <v>124218</v>
      </c>
      <c r="P1122" s="1" t="n">
        <v>88.35</v>
      </c>
      <c r="Q1122" s="1" t="s">
        <v>20</v>
      </c>
      <c r="R1122" s="1" t="s">
        <v>27</v>
      </c>
      <c r="S1122" s="1" t="s">
        <v>28</v>
      </c>
      <c r="T1122" s="1" t="s">
        <v>29</v>
      </c>
    </row>
    <row r="1123" customFormat="false" ht="18.7" hidden="false" customHeight="true" outlineLevel="0" collapsed="false">
      <c r="A1123" s="1" t="n">
        <v>1122</v>
      </c>
      <c r="B1123" s="6" t="str">
        <f aca="false">HYPERLINK("https://mncourtfraud.com/file/MCRO_27-CR-20-3244_Notice of Remote Hearing with Instructions_2022-02-10_20240430085026.pdf","MCRO_27-CR-20-3244_Notice of Remote Hearing with Instructions_2022-02-10_20240430085026.pdf")</f>
        <v>MCRO_27-CR-20-3244_Notice of Remote Hearing with Instructions_2022-02-10_20240430085026.pdf</v>
      </c>
      <c r="C1123" s="1" t="n">
        <v>5</v>
      </c>
      <c r="D1123" s="1" t="n">
        <v>1</v>
      </c>
      <c r="E1123" s="1" t="n">
        <v>1</v>
      </c>
      <c r="F1123" s="3" t="s">
        <v>20</v>
      </c>
      <c r="G1123" s="3" t="s">
        <v>4668</v>
      </c>
      <c r="H1123" s="1" t="s">
        <v>22</v>
      </c>
      <c r="I1123" s="1" t="n">
        <v>20240430085026</v>
      </c>
      <c r="J1123" s="3" t="s">
        <v>4669</v>
      </c>
      <c r="K1123" s="3" t="s">
        <v>4670</v>
      </c>
      <c r="L1123" s="3" t="s">
        <v>4671</v>
      </c>
      <c r="M1123" s="3" t="n">
        <v>856227</v>
      </c>
      <c r="N1123" s="3" t="s">
        <v>665</v>
      </c>
      <c r="O1123" s="1" t="n">
        <v>839841</v>
      </c>
      <c r="P1123" s="1" t="n">
        <v>98.09</v>
      </c>
      <c r="Q1123" s="1" t="s">
        <v>20</v>
      </c>
      <c r="R1123" s="1" t="s">
        <v>27</v>
      </c>
      <c r="S1123" s="1" t="s">
        <v>28</v>
      </c>
      <c r="T1123" s="1" t="s">
        <v>29</v>
      </c>
    </row>
    <row r="1124" customFormat="false" ht="18.7" hidden="false" customHeight="true" outlineLevel="0" collapsed="false">
      <c r="A1124" s="1" t="n">
        <v>1123</v>
      </c>
      <c r="B1124" s="6" t="str">
        <f aca="false">HYPERLINK("https://mncourtfraud.com/file/MCRO_27-CR-20-3244_Notice of Remote Hearing with Instructions_2022-03-14_20240430085024.pdf","MCRO_27-CR-20-3244_Notice of Remote Hearing with Instructions_2022-03-14_20240430085024.pdf")</f>
        <v>MCRO_27-CR-20-3244_Notice of Remote Hearing with Instructions_2022-03-14_20240430085024.pdf</v>
      </c>
      <c r="C1124" s="1" t="n">
        <v>4</v>
      </c>
      <c r="D1124" s="1" t="n">
        <v>1</v>
      </c>
      <c r="E1124" s="1" t="n">
        <v>1</v>
      </c>
      <c r="F1124" s="3" t="s">
        <v>20</v>
      </c>
      <c r="G1124" s="3" t="s">
        <v>4672</v>
      </c>
      <c r="H1124" s="1" t="s">
        <v>22</v>
      </c>
      <c r="I1124" s="1" t="n">
        <v>20240430085024</v>
      </c>
      <c r="J1124" s="3" t="s">
        <v>4673</v>
      </c>
      <c r="K1124" s="3" t="s">
        <v>4674</v>
      </c>
      <c r="L1124" s="3" t="s">
        <v>4675</v>
      </c>
      <c r="M1124" s="3" t="n">
        <v>755512</v>
      </c>
      <c r="N1124" s="3" t="s">
        <v>3445</v>
      </c>
      <c r="O1124" s="1" t="n">
        <v>739126</v>
      </c>
      <c r="P1124" s="1" t="n">
        <v>97.83</v>
      </c>
      <c r="Q1124" s="1" t="s">
        <v>20</v>
      </c>
      <c r="R1124" s="1" t="s">
        <v>27</v>
      </c>
      <c r="S1124" s="1" t="s">
        <v>28</v>
      </c>
      <c r="T1124" s="1" t="s">
        <v>29</v>
      </c>
    </row>
    <row r="1125" customFormat="false" ht="18.7" hidden="false" customHeight="true" outlineLevel="0" collapsed="false">
      <c r="A1125" s="1" t="n">
        <v>1124</v>
      </c>
      <c r="B1125" s="6" t="str">
        <f aca="false">HYPERLINK("https://mncourtfraud.com/file/MCRO_27-CR-20-3244_Notice of Remote Hearing with Instructions_2022-03-23_20240430085022.pdf","MCRO_27-CR-20-3244_Notice of Remote Hearing with Instructions_2022-03-23_20240430085022.pdf")</f>
        <v>MCRO_27-CR-20-3244_Notice of Remote Hearing with Instructions_2022-03-23_20240430085022.pdf</v>
      </c>
      <c r="C1125" s="1" t="n">
        <v>4</v>
      </c>
      <c r="D1125" s="1" t="n">
        <v>1</v>
      </c>
      <c r="E1125" s="1" t="n">
        <v>1</v>
      </c>
      <c r="F1125" s="3" t="s">
        <v>20</v>
      </c>
      <c r="G1125" s="3" t="s">
        <v>4676</v>
      </c>
      <c r="H1125" s="1" t="s">
        <v>22</v>
      </c>
      <c r="I1125" s="1" t="n">
        <v>20240430085022</v>
      </c>
      <c r="J1125" s="3" t="s">
        <v>4677</v>
      </c>
      <c r="K1125" s="3" t="s">
        <v>4678</v>
      </c>
      <c r="L1125" s="3" t="s">
        <v>4679</v>
      </c>
      <c r="M1125" s="3" t="n">
        <v>892912</v>
      </c>
      <c r="N1125" s="3" t="s">
        <v>4680</v>
      </c>
      <c r="O1125" s="1" t="n">
        <v>876526</v>
      </c>
      <c r="P1125" s="1" t="n">
        <v>98.16</v>
      </c>
      <c r="Q1125" s="1" t="s">
        <v>20</v>
      </c>
      <c r="R1125" s="1" t="s">
        <v>27</v>
      </c>
      <c r="S1125" s="1" t="s">
        <v>28</v>
      </c>
      <c r="T1125" s="1" t="s">
        <v>29</v>
      </c>
    </row>
    <row r="1126" customFormat="false" ht="18.7" hidden="false" customHeight="true" outlineLevel="0" collapsed="false">
      <c r="A1126" s="1" t="n">
        <v>1125</v>
      </c>
      <c r="B1126" s="6" t="str">
        <f aca="false">HYPERLINK("https://mncourtfraud.com/file/MCRO_27-CR-20-3244_Notice of Remote Hearing with Instructions_2022-04-11_20240430085021.pdf","MCRO_27-CR-20-3244_Notice of Remote Hearing with Instructions_2022-04-11_20240430085021.pdf")</f>
        <v>MCRO_27-CR-20-3244_Notice of Remote Hearing with Instructions_2022-04-11_20240430085021.pdf</v>
      </c>
      <c r="C1126" s="1" t="n">
        <v>4</v>
      </c>
      <c r="D1126" s="1" t="n">
        <v>1</v>
      </c>
      <c r="E1126" s="1" t="n">
        <v>1</v>
      </c>
      <c r="F1126" s="3" t="s">
        <v>20</v>
      </c>
      <c r="G1126" s="3" t="s">
        <v>4681</v>
      </c>
      <c r="H1126" s="1" t="s">
        <v>22</v>
      </c>
      <c r="I1126" s="1" t="n">
        <v>20240430085021</v>
      </c>
      <c r="J1126" s="3" t="s">
        <v>4682</v>
      </c>
      <c r="K1126" s="3" t="s">
        <v>4683</v>
      </c>
      <c r="L1126" s="3" t="s">
        <v>4684</v>
      </c>
      <c r="M1126" s="3" t="n">
        <v>826675</v>
      </c>
      <c r="N1126" s="3" t="s">
        <v>4685</v>
      </c>
      <c r="O1126" s="1" t="n">
        <v>810289</v>
      </c>
      <c r="P1126" s="1" t="n">
        <v>98.02</v>
      </c>
      <c r="Q1126" s="1" t="s">
        <v>20</v>
      </c>
      <c r="R1126" s="1" t="s">
        <v>27</v>
      </c>
      <c r="S1126" s="1" t="s">
        <v>28</v>
      </c>
      <c r="T1126" s="1" t="s">
        <v>29</v>
      </c>
    </row>
    <row r="1127" customFormat="false" ht="18.7" hidden="false" customHeight="true" outlineLevel="0" collapsed="false">
      <c r="A1127" s="1" t="n">
        <v>1126</v>
      </c>
      <c r="B1127" s="6" t="str">
        <f aca="false">HYPERLINK("https://mncourtfraud.com/file/MCRO_27-CR-20-3244_Notice of Remote Hearing with Instructions_2022-06-22_20240430085019.pdf","MCRO_27-CR-20-3244_Notice of Remote Hearing with Instructions_2022-06-22_20240430085019.pdf")</f>
        <v>MCRO_27-CR-20-3244_Notice of Remote Hearing with Instructions_2022-06-22_20240430085019.pdf</v>
      </c>
      <c r="C1127" s="1" t="n">
        <v>4</v>
      </c>
      <c r="D1127" s="1" t="n">
        <v>1</v>
      </c>
      <c r="E1127" s="1" t="n">
        <v>1</v>
      </c>
      <c r="F1127" s="3" t="s">
        <v>20</v>
      </c>
      <c r="G1127" s="3" t="s">
        <v>4686</v>
      </c>
      <c r="H1127" s="1" t="s">
        <v>22</v>
      </c>
      <c r="I1127" s="1" t="n">
        <v>20240430085019</v>
      </c>
      <c r="J1127" s="3" t="s">
        <v>4687</v>
      </c>
      <c r="K1127" s="3" t="s">
        <v>4688</v>
      </c>
      <c r="L1127" s="3" t="s">
        <v>4689</v>
      </c>
      <c r="M1127" s="3" t="n">
        <v>1972626</v>
      </c>
      <c r="N1127" s="3" t="s">
        <v>4690</v>
      </c>
      <c r="O1127" s="1" t="n">
        <v>1956240</v>
      </c>
      <c r="P1127" s="1" t="n">
        <v>99.17</v>
      </c>
      <c r="Q1127" s="1" t="s">
        <v>20</v>
      </c>
      <c r="R1127" s="1" t="s">
        <v>27</v>
      </c>
      <c r="S1127" s="1" t="s">
        <v>28</v>
      </c>
      <c r="T1127" s="1" t="s">
        <v>29</v>
      </c>
    </row>
    <row r="1128" customFormat="false" ht="18.7" hidden="false" customHeight="true" outlineLevel="0" collapsed="false">
      <c r="A1128" s="1" t="n">
        <v>1127</v>
      </c>
      <c r="B1128" s="6" t="str">
        <f aca="false">HYPERLINK("https://mncourtfraud.com/file/MCRO_27-CR-20-3244_Notice of Remote Hearing with Instructions_2022-08-09_20240430085017.pdf","MCRO_27-CR-20-3244_Notice of Remote Hearing with Instructions_2022-08-09_20240430085017.pdf")</f>
        <v>MCRO_27-CR-20-3244_Notice of Remote Hearing with Instructions_2022-08-09_20240430085017.pdf</v>
      </c>
      <c r="C1128" s="1" t="n">
        <v>4</v>
      </c>
      <c r="D1128" s="1" t="n">
        <v>1</v>
      </c>
      <c r="E1128" s="1" t="n">
        <v>1</v>
      </c>
      <c r="F1128" s="3" t="s">
        <v>20</v>
      </c>
      <c r="G1128" s="3" t="s">
        <v>4691</v>
      </c>
      <c r="H1128" s="1" t="s">
        <v>22</v>
      </c>
      <c r="I1128" s="1" t="n">
        <v>20240430085017</v>
      </c>
      <c r="J1128" s="3" t="s">
        <v>4692</v>
      </c>
      <c r="K1128" s="3" t="s">
        <v>4693</v>
      </c>
      <c r="L1128" s="3" t="s">
        <v>4694</v>
      </c>
      <c r="M1128" s="3" t="n">
        <v>853661</v>
      </c>
      <c r="N1128" s="3" t="s">
        <v>1065</v>
      </c>
      <c r="O1128" s="1" t="n">
        <v>837275</v>
      </c>
      <c r="P1128" s="1" t="n">
        <v>98.08</v>
      </c>
      <c r="Q1128" s="1" t="s">
        <v>20</v>
      </c>
      <c r="R1128" s="1" t="s">
        <v>27</v>
      </c>
      <c r="S1128" s="1" t="s">
        <v>28</v>
      </c>
      <c r="T1128" s="1" t="s">
        <v>29</v>
      </c>
    </row>
    <row r="1129" customFormat="false" ht="18.7" hidden="false" customHeight="true" outlineLevel="0" collapsed="false">
      <c r="A1129" s="1" t="n">
        <v>1128</v>
      </c>
      <c r="B1129" s="6" t="str">
        <f aca="false">HYPERLINK("https://mncourtfraud.com/file/MCRO_27-CR-20-3244_Notice of Remote Hearing with Instructions_2023-08-25_20240430085006.pdf","MCRO_27-CR-20-3244_Notice of Remote Hearing with Instructions_2023-08-25_20240430085006.pdf")</f>
        <v>MCRO_27-CR-20-3244_Notice of Remote Hearing with Instructions_2023-08-25_20240430085006.pdf</v>
      </c>
      <c r="C1129" s="1" t="n">
        <v>4</v>
      </c>
      <c r="D1129" s="1" t="n">
        <v>1</v>
      </c>
      <c r="E1129" s="1" t="n">
        <v>1</v>
      </c>
      <c r="F1129" s="3" t="s">
        <v>20</v>
      </c>
      <c r="G1129" s="3" t="s">
        <v>4695</v>
      </c>
      <c r="H1129" s="1" t="s">
        <v>22</v>
      </c>
      <c r="I1129" s="1" t="n">
        <v>20240430085006</v>
      </c>
      <c r="J1129" s="3" t="s">
        <v>4636</v>
      </c>
      <c r="K1129" s="3" t="s">
        <v>4637</v>
      </c>
      <c r="L1129" s="3" t="s">
        <v>4696</v>
      </c>
      <c r="M1129" s="3" t="n">
        <v>248575</v>
      </c>
      <c r="N1129" s="3" t="s">
        <v>500</v>
      </c>
      <c r="O1129" s="1" t="n">
        <v>232189</v>
      </c>
      <c r="P1129" s="1" t="n">
        <v>93.41</v>
      </c>
      <c r="Q1129" s="1" t="s">
        <v>20</v>
      </c>
      <c r="R1129" s="1" t="s">
        <v>27</v>
      </c>
      <c r="S1129" s="1" t="s">
        <v>28</v>
      </c>
      <c r="T1129" s="1" t="s">
        <v>29</v>
      </c>
    </row>
    <row r="1130" customFormat="false" ht="18.7" hidden="false" customHeight="true" outlineLevel="0" collapsed="false">
      <c r="A1130" s="1" t="n">
        <v>1129</v>
      </c>
      <c r="B1130" s="6" t="str">
        <f aca="false">HYPERLINK("https://mncourtfraud.com/file/MCRO_27-CR-20-3244_Notice of Remote Hearing with Instructions_2023-10-24_20240430085002.pdf","MCRO_27-CR-20-3244_Notice of Remote Hearing with Instructions_2023-10-24_20240430085002.pdf")</f>
        <v>MCRO_27-CR-20-3244_Notice of Remote Hearing with Instructions_2023-10-24_20240430085002.pdf</v>
      </c>
      <c r="C1130" s="1" t="n">
        <v>5</v>
      </c>
      <c r="D1130" s="1" t="n">
        <v>1</v>
      </c>
      <c r="E1130" s="1" t="n">
        <v>1</v>
      </c>
      <c r="F1130" s="3" t="s">
        <v>20</v>
      </c>
      <c r="G1130" s="3" t="s">
        <v>4697</v>
      </c>
      <c r="H1130" s="1" t="s">
        <v>22</v>
      </c>
      <c r="I1130" s="1" t="n">
        <v>20240430085002</v>
      </c>
      <c r="J1130" s="3" t="s">
        <v>4698</v>
      </c>
      <c r="K1130" s="3" t="s">
        <v>4699</v>
      </c>
      <c r="L1130" s="3" t="s">
        <v>4700</v>
      </c>
      <c r="M1130" s="3" t="n">
        <v>855423</v>
      </c>
      <c r="N1130" s="3" t="s">
        <v>1248</v>
      </c>
      <c r="O1130" s="1" t="n">
        <v>839037</v>
      </c>
      <c r="P1130" s="1" t="n">
        <v>98.08</v>
      </c>
      <c r="Q1130" s="1" t="s">
        <v>20</v>
      </c>
      <c r="R1130" s="1" t="s">
        <v>27</v>
      </c>
      <c r="S1130" s="1" t="s">
        <v>28</v>
      </c>
      <c r="T1130" s="1" t="s">
        <v>29</v>
      </c>
    </row>
    <row r="1131" customFormat="false" ht="18.7" hidden="false" customHeight="true" outlineLevel="0" collapsed="false">
      <c r="A1131" s="1" t="n">
        <v>1130</v>
      </c>
      <c r="B1131" s="6" t="str">
        <f aca="false">HYPERLINK("https://mncourtfraud.com/file/MCRO_27-CR-20-3244_Order-Evaluation for Competency to Proceed (Rule 20.01)_2022-11-17_20240430085011.pdf","MCRO_27-CR-20-3244_Order-Evaluation for Competency to Proceed (Rule 20.01)_2022-11-17_20240430085011.pdf")</f>
        <v>MCRO_27-CR-20-3244_Order-Evaluation for Competency to Proceed (Rule 20.01)_2022-11-17_20240430085011.pdf</v>
      </c>
      <c r="C1131" s="1" t="n">
        <v>4</v>
      </c>
      <c r="D1131" s="1" t="n">
        <v>1</v>
      </c>
      <c r="E1131" s="1" t="n">
        <v>1</v>
      </c>
      <c r="F1131" s="3" t="s">
        <v>20</v>
      </c>
      <c r="G1131" s="3" t="s">
        <v>4701</v>
      </c>
      <c r="H1131" s="1" t="s">
        <v>22</v>
      </c>
      <c r="I1131" s="1" t="n">
        <v>20240430085011</v>
      </c>
      <c r="J1131" s="3" t="s">
        <v>4702</v>
      </c>
      <c r="K1131" s="3" t="s">
        <v>4703</v>
      </c>
      <c r="L1131" s="3" t="s">
        <v>4704</v>
      </c>
      <c r="M1131" s="3" t="n">
        <v>816727</v>
      </c>
      <c r="N1131" s="3" t="s">
        <v>2496</v>
      </c>
      <c r="O1131" s="1" t="n">
        <v>800341</v>
      </c>
      <c r="P1131" s="1" t="n">
        <v>97.99</v>
      </c>
      <c r="Q1131" s="1" t="s">
        <v>20</v>
      </c>
      <c r="R1131" s="1" t="s">
        <v>27</v>
      </c>
      <c r="S1131" s="1" t="s">
        <v>28</v>
      </c>
      <c r="T1131" s="1" t="s">
        <v>29</v>
      </c>
    </row>
    <row r="1132" customFormat="false" ht="18.7" hidden="false" customHeight="true" outlineLevel="0" collapsed="false">
      <c r="A1132" s="1" t="n">
        <v>1131</v>
      </c>
      <c r="B1132" s="6" t="str">
        <f aca="false">HYPERLINK("https://mncourtfraud.com/file/MCRO_27-CR-20-3244_Order-Evaluation for Competency to Proceed (Rule 20.01)_2023-08-25_20240430085004.pdf","MCRO_27-CR-20-3244_Order-Evaluation for Competency to Proceed (Rule 20.01)_2023-08-25_20240430085004.pdf")</f>
        <v>MCRO_27-CR-20-3244_Order-Evaluation for Competency to Proceed (Rule 20.01)_2023-08-25_20240430085004.pdf</v>
      </c>
      <c r="C1132" s="1" t="n">
        <v>4</v>
      </c>
      <c r="D1132" s="1" t="n">
        <v>1</v>
      </c>
      <c r="E1132" s="1" t="n">
        <v>1</v>
      </c>
      <c r="F1132" s="3" t="s">
        <v>20</v>
      </c>
      <c r="G1132" s="3" t="s">
        <v>4705</v>
      </c>
      <c r="H1132" s="1" t="s">
        <v>22</v>
      </c>
      <c r="I1132" s="1" t="n">
        <v>20240430085004</v>
      </c>
      <c r="J1132" s="3" t="s">
        <v>4706</v>
      </c>
      <c r="K1132" s="3" t="s">
        <v>4707</v>
      </c>
      <c r="L1132" s="3" t="s">
        <v>4708</v>
      </c>
      <c r="M1132" s="3" t="n">
        <v>168408</v>
      </c>
      <c r="N1132" s="3" t="s">
        <v>104</v>
      </c>
      <c r="O1132" s="1" t="n">
        <v>152022</v>
      </c>
      <c r="P1132" s="1" t="n">
        <v>90.27</v>
      </c>
      <c r="Q1132" s="1" t="s">
        <v>20</v>
      </c>
      <c r="R1132" s="1" t="s">
        <v>27</v>
      </c>
      <c r="S1132" s="1" t="s">
        <v>28</v>
      </c>
      <c r="T1132" s="1" t="s">
        <v>29</v>
      </c>
    </row>
    <row r="1133" customFormat="false" ht="18.7" hidden="false" customHeight="true" outlineLevel="0" collapsed="false">
      <c r="A1133" s="1" t="n">
        <v>1132</v>
      </c>
      <c r="B1133" s="6" t="str">
        <f aca="false">HYPERLINK("https://mncourtfraud.com/file/MCRO_27-CR-20-3244_Order for Conditional Release_2021-06-21_20240430085032.pdf","MCRO_27-CR-20-3244_Order for Conditional Release_2021-06-21_20240430085032.pdf")</f>
        <v>MCRO_27-CR-20-3244_Order for Conditional Release_2021-06-21_20240430085032.pdf</v>
      </c>
      <c r="C1133" s="1" t="n">
        <v>4</v>
      </c>
      <c r="D1133" s="1" t="n">
        <v>1</v>
      </c>
      <c r="E1133" s="1" t="n">
        <v>1</v>
      </c>
      <c r="F1133" s="3" t="s">
        <v>20</v>
      </c>
      <c r="G1133" s="3" t="s">
        <v>4709</v>
      </c>
      <c r="H1133" s="1" t="s">
        <v>22</v>
      </c>
      <c r="I1133" s="1" t="n">
        <v>20240430085032</v>
      </c>
      <c r="J1133" s="3" t="s">
        <v>4710</v>
      </c>
      <c r="K1133" s="3" t="s">
        <v>4711</v>
      </c>
      <c r="L1133" s="3" t="s">
        <v>4712</v>
      </c>
      <c r="M1133" s="3" t="n">
        <v>927570</v>
      </c>
      <c r="N1133" s="3" t="s">
        <v>456</v>
      </c>
      <c r="O1133" s="1" t="n">
        <v>911184</v>
      </c>
      <c r="P1133" s="1" t="n">
        <v>98.23</v>
      </c>
      <c r="Q1133" s="1" t="s">
        <v>20</v>
      </c>
      <c r="R1133" s="1" t="s">
        <v>27</v>
      </c>
      <c r="S1133" s="1" t="s">
        <v>28</v>
      </c>
      <c r="T1133" s="1" t="s">
        <v>29</v>
      </c>
    </row>
    <row r="1134" customFormat="false" ht="18.7" hidden="false" customHeight="true" outlineLevel="0" collapsed="false">
      <c r="A1134" s="1" t="n">
        <v>1133</v>
      </c>
      <c r="B1134" s="6" t="str">
        <f aca="false">HYPERLINK("https://mncourtfraud.com/file/MCRO_27-CR-20-3244_Order-Other_2023-12-11_20240430084957.pdf","MCRO_27-CR-20-3244_Order-Other_2023-12-11_20240430084957.pdf")</f>
        <v>MCRO_27-CR-20-3244_Order-Other_2023-12-11_20240430084957.pdf</v>
      </c>
      <c r="C1134" s="1" t="n">
        <v>4</v>
      </c>
      <c r="D1134" s="1" t="n">
        <v>1</v>
      </c>
      <c r="E1134" s="1" t="n">
        <v>1</v>
      </c>
      <c r="F1134" s="3" t="s">
        <v>20</v>
      </c>
      <c r="G1134" s="3" t="s">
        <v>4713</v>
      </c>
      <c r="H1134" s="1" t="s">
        <v>22</v>
      </c>
      <c r="I1134" s="1" t="n">
        <v>20240430084957</v>
      </c>
      <c r="J1134" s="3" t="s">
        <v>4714</v>
      </c>
      <c r="K1134" s="3" t="s">
        <v>4715</v>
      </c>
      <c r="L1134" s="3" t="s">
        <v>4716</v>
      </c>
      <c r="M1134" s="3" t="n">
        <v>1775908</v>
      </c>
      <c r="N1134" s="3" t="s">
        <v>104</v>
      </c>
      <c r="O1134" s="1" t="n">
        <v>1759522</v>
      </c>
      <c r="P1134" s="1" t="n">
        <v>99.08</v>
      </c>
      <c r="Q1134" s="1" t="s">
        <v>20</v>
      </c>
      <c r="R1134" s="1" t="s">
        <v>27</v>
      </c>
      <c r="S1134" s="1" t="s">
        <v>28</v>
      </c>
      <c r="T1134" s="1" t="s">
        <v>29</v>
      </c>
    </row>
    <row r="1135" customFormat="false" ht="18.7" hidden="false" customHeight="true" outlineLevel="0" collapsed="false">
      <c r="A1135" s="1" t="n">
        <v>1134</v>
      </c>
      <c r="B1135" s="6" t="str">
        <f aca="false">HYPERLINK("https://mncourtfraud.com/file/MCRO_27-CR-20-3244_Order to Appear_2024-04-11_20240430084951.pdf","MCRO_27-CR-20-3244_Order to Appear_2024-04-11_20240430084951.pdf")</f>
        <v>MCRO_27-CR-20-3244_Order to Appear_2024-04-11_20240430084951.pdf</v>
      </c>
      <c r="C1135" s="1" t="n">
        <v>5</v>
      </c>
      <c r="D1135" s="1" t="n">
        <v>4</v>
      </c>
      <c r="E1135" s="1" t="n">
        <v>4</v>
      </c>
      <c r="F1135" s="3" t="s">
        <v>20</v>
      </c>
      <c r="G1135" s="3" t="s">
        <v>4717</v>
      </c>
      <c r="H1135" s="1" t="s">
        <v>22</v>
      </c>
      <c r="I1135" s="1" t="n">
        <v>20240430084951</v>
      </c>
      <c r="J1135" s="3" t="s">
        <v>4718</v>
      </c>
      <c r="K1135" s="3" t="s">
        <v>4719</v>
      </c>
      <c r="L1135" s="3" t="s">
        <v>4720</v>
      </c>
      <c r="M1135" s="3" t="n">
        <v>316435</v>
      </c>
      <c r="N1135" s="3" t="s">
        <v>4721</v>
      </c>
      <c r="O1135" s="1" t="n">
        <v>300049</v>
      </c>
      <c r="P1135" s="1" t="n">
        <v>94.82</v>
      </c>
      <c r="Q1135" s="1" t="s">
        <v>20</v>
      </c>
      <c r="R1135" s="1" t="s">
        <v>27</v>
      </c>
      <c r="S1135" s="1" t="s">
        <v>28</v>
      </c>
      <c r="T1135" s="1" t="s">
        <v>29</v>
      </c>
    </row>
    <row r="1136" customFormat="false" ht="18.7" hidden="false" customHeight="true" outlineLevel="0" collapsed="false">
      <c r="A1136" s="1" t="n">
        <v>1135</v>
      </c>
      <c r="B1136" s="6" t="str">
        <f aca="false">HYPERLINK("https://mncourtfraud.com/file/MCRO_27-CR-20-3244_Petition to Enter Guilty Plea_2023-12-11_20240430084956.pdf","MCRO_27-CR-20-3244_Petition to Enter Guilty Plea_2023-12-11_20240430084956.pdf")</f>
        <v>MCRO_27-CR-20-3244_Petition to Enter Guilty Plea_2023-12-11_20240430084956.pdf</v>
      </c>
      <c r="C1136" s="1" t="n">
        <v>4</v>
      </c>
      <c r="D1136" s="1" t="n">
        <v>1</v>
      </c>
      <c r="E1136" s="1" t="n">
        <v>1</v>
      </c>
      <c r="F1136" s="3" t="s">
        <v>20</v>
      </c>
      <c r="G1136" s="3" t="s">
        <v>4722</v>
      </c>
      <c r="H1136" s="1" t="s">
        <v>22</v>
      </c>
      <c r="I1136" s="1" t="n">
        <v>20240430084956</v>
      </c>
      <c r="J1136" s="3" t="s">
        <v>4723</v>
      </c>
      <c r="K1136" s="3" t="s">
        <v>4724</v>
      </c>
      <c r="L1136" s="3" t="s">
        <v>4725</v>
      </c>
      <c r="M1136" s="3" t="n">
        <v>2463975</v>
      </c>
      <c r="N1136" s="3" t="s">
        <v>3445</v>
      </c>
      <c r="O1136" s="1" t="n">
        <v>2447589</v>
      </c>
      <c r="P1136" s="1" t="n">
        <v>99.33</v>
      </c>
      <c r="Q1136" s="1" t="s">
        <v>20</v>
      </c>
      <c r="R1136" s="1" t="s">
        <v>27</v>
      </c>
      <c r="S1136" s="1" t="s">
        <v>28</v>
      </c>
      <c r="T1136" s="1" t="s">
        <v>29</v>
      </c>
    </row>
    <row r="1137" customFormat="false" ht="18.7" hidden="false" customHeight="true" outlineLevel="0" collapsed="false">
      <c r="A1137" s="1" t="n">
        <v>1136</v>
      </c>
      <c r="B1137" s="6" t="str">
        <f aca="false">HYPERLINK("https://mncourtfraud.com/file/MCRO_27-CR-20-3244_Probation Violation Summons_2024-04-11_20240430084953.pdf","MCRO_27-CR-20-3244_Probation Violation Summons_2024-04-11_20240430084953.pdf")</f>
        <v>MCRO_27-CR-20-3244_Probation Violation Summons_2024-04-11_20240430084953.pdf</v>
      </c>
      <c r="C1137" s="1" t="n">
        <v>5</v>
      </c>
      <c r="D1137" s="1" t="n">
        <v>1</v>
      </c>
      <c r="E1137" s="1" t="n">
        <v>1</v>
      </c>
      <c r="F1137" s="3" t="s">
        <v>20</v>
      </c>
      <c r="G1137" s="3" t="s">
        <v>4726</v>
      </c>
      <c r="H1137" s="1" t="s">
        <v>22</v>
      </c>
      <c r="I1137" s="1" t="n">
        <v>20240430084953</v>
      </c>
      <c r="J1137" s="3" t="s">
        <v>4727</v>
      </c>
      <c r="K1137" s="3" t="s">
        <v>4728</v>
      </c>
      <c r="L1137" s="3" t="s">
        <v>4729</v>
      </c>
      <c r="M1137" s="3" t="n">
        <v>798514</v>
      </c>
      <c r="N1137" s="3" t="s">
        <v>3198</v>
      </c>
      <c r="O1137" s="1" t="n">
        <v>782128</v>
      </c>
      <c r="P1137" s="1" t="n">
        <v>97.95</v>
      </c>
      <c r="Q1137" s="1" t="s">
        <v>20</v>
      </c>
      <c r="R1137" s="1" t="s">
        <v>27</v>
      </c>
      <c r="S1137" s="1" t="s">
        <v>28</v>
      </c>
      <c r="T1137" s="1" t="s">
        <v>29</v>
      </c>
    </row>
    <row r="1138" customFormat="false" ht="18.7" hidden="false" customHeight="true" outlineLevel="0" collapsed="false">
      <c r="A1138" s="1" t="n">
        <v>1137</v>
      </c>
      <c r="B1138" s="6" t="str">
        <f aca="false">HYPERLINK("https://mncourtfraud.com/file/MCRO_27-CR-20-3244_Proposed Order or Document_2024-04-11_20240430084954.pdf","MCRO_27-CR-20-3244_Proposed Order or Document_2024-04-11_20240430084954.pdf")</f>
        <v>MCRO_27-CR-20-3244_Proposed Order or Document_2024-04-11_20240430084954.pdf</v>
      </c>
      <c r="C1138" s="1" t="n">
        <v>3</v>
      </c>
      <c r="D1138" s="1" t="n">
        <v>1</v>
      </c>
      <c r="E1138" s="1" t="n">
        <v>1</v>
      </c>
      <c r="F1138" s="3" t="s">
        <v>20</v>
      </c>
      <c r="G1138" s="3" t="s">
        <v>4730</v>
      </c>
      <c r="H1138" s="1" t="s">
        <v>22</v>
      </c>
      <c r="I1138" s="1" t="n">
        <v>20240430084954</v>
      </c>
      <c r="J1138" s="3" t="s">
        <v>4731</v>
      </c>
      <c r="K1138" s="3" t="s">
        <v>4732</v>
      </c>
      <c r="L1138" s="3" t="s">
        <v>4733</v>
      </c>
      <c r="M1138" s="3" t="n">
        <v>155570</v>
      </c>
      <c r="N1138" s="3" t="s">
        <v>4734</v>
      </c>
      <c r="O1138" s="1" t="n">
        <v>139184</v>
      </c>
      <c r="P1138" s="1" t="n">
        <v>89.47</v>
      </c>
      <c r="Q1138" s="1" t="s">
        <v>20</v>
      </c>
      <c r="R1138" s="1" t="s">
        <v>27</v>
      </c>
      <c r="S1138" s="1" t="s">
        <v>28</v>
      </c>
      <c r="T1138" s="1" t="s">
        <v>29</v>
      </c>
    </row>
    <row r="1139" customFormat="false" ht="18.7" hidden="false" customHeight="true" outlineLevel="0" collapsed="false">
      <c r="A1139" s="1" t="n">
        <v>1138</v>
      </c>
      <c r="B1139" s="6" t="str">
        <f aca="false">HYPERLINK("https://mncourtfraud.com/file/MCRO_27-CR-20-3244_Returned Mail_2020-02-18_20240430085045.pdf","MCRO_27-CR-20-3244_Returned Mail_2020-02-18_20240430085045.pdf")</f>
        <v>MCRO_27-CR-20-3244_Returned Mail_2020-02-18_20240430085045.pdf</v>
      </c>
      <c r="C1139" s="1" t="n">
        <v>4</v>
      </c>
      <c r="D1139" s="1" t="n">
        <v>1</v>
      </c>
      <c r="E1139" s="1" t="n">
        <v>1</v>
      </c>
      <c r="F1139" s="3" t="s">
        <v>20</v>
      </c>
      <c r="G1139" s="3" t="s">
        <v>4735</v>
      </c>
      <c r="H1139" s="1" t="s">
        <v>22</v>
      </c>
      <c r="I1139" s="1" t="n">
        <v>20240430085045</v>
      </c>
      <c r="J1139" s="3" t="s">
        <v>4736</v>
      </c>
      <c r="K1139" s="3" t="s">
        <v>4737</v>
      </c>
      <c r="L1139" s="3" t="s">
        <v>4738</v>
      </c>
      <c r="M1139" s="3" t="n">
        <v>313897</v>
      </c>
      <c r="N1139" s="3" t="s">
        <v>1128</v>
      </c>
      <c r="O1139" s="1" t="n">
        <v>297511</v>
      </c>
      <c r="P1139" s="1" t="n">
        <v>94.78</v>
      </c>
      <c r="Q1139" s="1" t="s">
        <v>20</v>
      </c>
      <c r="R1139" s="1" t="s">
        <v>27</v>
      </c>
      <c r="S1139" s="1" t="s">
        <v>28</v>
      </c>
      <c r="T1139" s="1" t="s">
        <v>29</v>
      </c>
    </row>
    <row r="1140" customFormat="false" ht="18.7" hidden="false" customHeight="true" outlineLevel="0" collapsed="false">
      <c r="A1140" s="1" t="n">
        <v>1139</v>
      </c>
      <c r="B1140" s="6" t="str">
        <f aca="false">HYPERLINK("https://mncourtfraud.com/file/MCRO_27-CR-20-3244_Returned Mail_2020-06-17_20240430085041.pdf","MCRO_27-CR-20-3244_Returned Mail_2020-06-17_20240430085041.pdf")</f>
        <v>MCRO_27-CR-20-3244_Returned Mail_2020-06-17_20240430085041.pdf</v>
      </c>
      <c r="C1140" s="1" t="n">
        <v>4</v>
      </c>
      <c r="D1140" s="1" t="n">
        <v>1</v>
      </c>
      <c r="E1140" s="1" t="n">
        <v>1</v>
      </c>
      <c r="F1140" s="3" t="s">
        <v>20</v>
      </c>
      <c r="G1140" s="3" t="s">
        <v>4739</v>
      </c>
      <c r="H1140" s="1" t="s">
        <v>22</v>
      </c>
      <c r="I1140" s="1" t="n">
        <v>20240430085041</v>
      </c>
      <c r="J1140" s="3" t="s">
        <v>4740</v>
      </c>
      <c r="K1140" s="3" t="s">
        <v>4741</v>
      </c>
      <c r="L1140" s="3" t="s">
        <v>4742</v>
      </c>
      <c r="M1140" s="3" t="n">
        <v>136492</v>
      </c>
      <c r="N1140" s="3" t="s">
        <v>1128</v>
      </c>
      <c r="O1140" s="1" t="n">
        <v>120106</v>
      </c>
      <c r="P1140" s="1" t="n">
        <v>87.99</v>
      </c>
      <c r="Q1140" s="1" t="s">
        <v>20</v>
      </c>
      <c r="R1140" s="1" t="s">
        <v>27</v>
      </c>
      <c r="S1140" s="1" t="s">
        <v>28</v>
      </c>
      <c r="T1140" s="1" t="s">
        <v>29</v>
      </c>
    </row>
    <row r="1141" customFormat="false" ht="18.7" hidden="false" customHeight="true" outlineLevel="0" collapsed="false">
      <c r="A1141" s="1" t="n">
        <v>1140</v>
      </c>
      <c r="B1141" s="6" t="str">
        <f aca="false">HYPERLINK("https://mncourtfraud.com/file/MCRO_27-CR-20-3244_Returned Mail_2022-04-27_20240430085019.pdf","MCRO_27-CR-20-3244_Returned Mail_2022-04-27_20240430085019.pdf")</f>
        <v>MCRO_27-CR-20-3244_Returned Mail_2022-04-27_20240430085019.pdf</v>
      </c>
      <c r="C1141" s="1" t="n">
        <v>4</v>
      </c>
      <c r="D1141" s="1" t="n">
        <v>1</v>
      </c>
      <c r="E1141" s="1" t="n">
        <v>1</v>
      </c>
      <c r="F1141" s="3" t="s">
        <v>20</v>
      </c>
      <c r="G1141" s="3" t="s">
        <v>4743</v>
      </c>
      <c r="H1141" s="1" t="s">
        <v>22</v>
      </c>
      <c r="I1141" s="1" t="n">
        <v>20240430085019</v>
      </c>
      <c r="J1141" s="3" t="s">
        <v>4744</v>
      </c>
      <c r="K1141" s="3" t="s">
        <v>4745</v>
      </c>
      <c r="L1141" s="3" t="s">
        <v>4746</v>
      </c>
      <c r="M1141" s="3" t="n">
        <v>73380</v>
      </c>
      <c r="N1141" s="3" t="s">
        <v>1307</v>
      </c>
      <c r="O1141" s="1" t="n">
        <v>56994</v>
      </c>
      <c r="P1141" s="1" t="n">
        <v>77.67</v>
      </c>
      <c r="Q1141" s="1" t="s">
        <v>20</v>
      </c>
      <c r="R1141" s="1" t="s">
        <v>27</v>
      </c>
      <c r="S1141" s="1" t="s">
        <v>28</v>
      </c>
      <c r="T1141" s="1" t="s">
        <v>29</v>
      </c>
    </row>
    <row r="1142" customFormat="false" ht="18.7" hidden="false" customHeight="true" outlineLevel="0" collapsed="false">
      <c r="A1142" s="1" t="n">
        <v>1141</v>
      </c>
      <c r="B1142" s="6" t="str">
        <f aca="false">HYPERLINK("https://mncourtfraud.com/file/MCRO_27-CR-20-3244_Returned Mail_2022-09-09_20240430085015.pdf","MCRO_27-CR-20-3244_Returned Mail_2022-09-09_20240430085015.pdf")</f>
        <v>MCRO_27-CR-20-3244_Returned Mail_2022-09-09_20240430085015.pdf</v>
      </c>
      <c r="C1142" s="1" t="n">
        <v>4</v>
      </c>
      <c r="D1142" s="1" t="n">
        <v>1</v>
      </c>
      <c r="E1142" s="1" t="n">
        <v>1</v>
      </c>
      <c r="F1142" s="3" t="s">
        <v>20</v>
      </c>
      <c r="G1142" s="3" t="s">
        <v>4747</v>
      </c>
      <c r="H1142" s="1" t="s">
        <v>22</v>
      </c>
      <c r="I1142" s="1" t="n">
        <v>20240430085015</v>
      </c>
      <c r="J1142" s="3" t="s">
        <v>4748</v>
      </c>
      <c r="K1142" s="3" t="s">
        <v>4749</v>
      </c>
      <c r="L1142" s="3" t="s">
        <v>4750</v>
      </c>
      <c r="M1142" s="3" t="n">
        <v>277968</v>
      </c>
      <c r="N1142" s="3" t="s">
        <v>1307</v>
      </c>
      <c r="O1142" s="1" t="n">
        <v>261582</v>
      </c>
      <c r="P1142" s="1" t="n">
        <v>94.11</v>
      </c>
      <c r="Q1142" s="1" t="s">
        <v>20</v>
      </c>
      <c r="R1142" s="1" t="s">
        <v>27</v>
      </c>
      <c r="S1142" s="1" t="s">
        <v>28</v>
      </c>
      <c r="T1142" s="1" t="s">
        <v>29</v>
      </c>
    </row>
    <row r="1143" customFormat="false" ht="18.7" hidden="false" customHeight="true" outlineLevel="0" collapsed="false">
      <c r="A1143" s="1" t="n">
        <v>1142</v>
      </c>
      <c r="B1143" s="6" t="str">
        <f aca="false">HYPERLINK("https://mncourtfraud.com/file/MCRO_27-CR-20-3244_Returned Mail_2023-05-18_20240430085008.pdf","MCRO_27-CR-20-3244_Returned Mail_2023-05-18_20240430085008.pdf")</f>
        <v>MCRO_27-CR-20-3244_Returned Mail_2023-05-18_20240430085008.pdf</v>
      </c>
      <c r="C1143" s="1" t="n">
        <v>4</v>
      </c>
      <c r="D1143" s="1" t="n">
        <v>1</v>
      </c>
      <c r="E1143" s="1" t="n">
        <v>1</v>
      </c>
      <c r="F1143" s="3" t="s">
        <v>20</v>
      </c>
      <c r="G1143" s="3" t="s">
        <v>4751</v>
      </c>
      <c r="H1143" s="1" t="s">
        <v>22</v>
      </c>
      <c r="I1143" s="1" t="n">
        <v>20240430085008</v>
      </c>
      <c r="J1143" s="3" t="s">
        <v>4752</v>
      </c>
      <c r="K1143" s="3" t="s">
        <v>4753</v>
      </c>
      <c r="L1143" s="3" t="s">
        <v>4754</v>
      </c>
      <c r="M1143" s="3" t="n">
        <v>227168</v>
      </c>
      <c r="N1143" s="3" t="s">
        <v>119</v>
      </c>
      <c r="O1143" s="1" t="n">
        <v>210782</v>
      </c>
      <c r="P1143" s="1" t="n">
        <v>92.79</v>
      </c>
      <c r="Q1143" s="1" t="s">
        <v>20</v>
      </c>
      <c r="R1143" s="1" t="s">
        <v>27</v>
      </c>
      <c r="S1143" s="1" t="s">
        <v>28</v>
      </c>
      <c r="T1143" s="1" t="s">
        <v>29</v>
      </c>
    </row>
    <row r="1144" customFormat="false" ht="18.7" hidden="false" customHeight="true" outlineLevel="0" collapsed="false">
      <c r="A1144" s="1" t="n">
        <v>1143</v>
      </c>
      <c r="B1144" s="6" t="str">
        <f aca="false">HYPERLINK("https://mncourtfraud.com/file/MCRO_27-CR-20-3244_Returned Mail_2023-10-11_20240430085003.pdf","MCRO_27-CR-20-3244_Returned Mail_2023-10-11_20240430085003.pdf")</f>
        <v>MCRO_27-CR-20-3244_Returned Mail_2023-10-11_20240430085003.pdf</v>
      </c>
      <c r="C1144" s="1" t="n">
        <v>4</v>
      </c>
      <c r="D1144" s="1" t="n">
        <v>1</v>
      </c>
      <c r="E1144" s="1" t="n">
        <v>1</v>
      </c>
      <c r="F1144" s="3" t="s">
        <v>20</v>
      </c>
      <c r="G1144" s="3" t="s">
        <v>4755</v>
      </c>
      <c r="H1144" s="1" t="s">
        <v>22</v>
      </c>
      <c r="I1144" s="1" t="n">
        <v>20240430085003</v>
      </c>
      <c r="J1144" s="3" t="s">
        <v>4756</v>
      </c>
      <c r="K1144" s="3" t="s">
        <v>4757</v>
      </c>
      <c r="L1144" s="3" t="s">
        <v>4758</v>
      </c>
      <c r="M1144" s="3" t="n">
        <v>205888</v>
      </c>
      <c r="N1144" s="3" t="s">
        <v>119</v>
      </c>
      <c r="O1144" s="1" t="n">
        <v>189502</v>
      </c>
      <c r="P1144" s="1" t="n">
        <v>92.04</v>
      </c>
      <c r="Q1144" s="1" t="s">
        <v>20</v>
      </c>
      <c r="R1144" s="1" t="s">
        <v>27</v>
      </c>
      <c r="S1144" s="1" t="s">
        <v>28</v>
      </c>
      <c r="T1144" s="1" t="s">
        <v>29</v>
      </c>
    </row>
    <row r="1145" customFormat="false" ht="18.7" hidden="false" customHeight="true" outlineLevel="0" collapsed="false">
      <c r="A1145" s="1" t="n">
        <v>1144</v>
      </c>
      <c r="B1145" s="6" t="str">
        <f aca="false">HYPERLINK("https://mncourtfraud.com/file/MCRO_27-CR-20-3244_Returned Mail_2023-11-14_20240430084959.pdf","MCRO_27-CR-20-3244_Returned Mail_2023-11-14_20240430084959.pdf")</f>
        <v>MCRO_27-CR-20-3244_Returned Mail_2023-11-14_20240430084959.pdf</v>
      </c>
      <c r="C1145" s="1" t="n">
        <v>4</v>
      </c>
      <c r="D1145" s="1" t="n">
        <v>1</v>
      </c>
      <c r="E1145" s="1" t="n">
        <v>1</v>
      </c>
      <c r="F1145" s="3" t="s">
        <v>20</v>
      </c>
      <c r="G1145" s="3" t="s">
        <v>4759</v>
      </c>
      <c r="H1145" s="1" t="s">
        <v>22</v>
      </c>
      <c r="I1145" s="1" t="n">
        <v>20240430084959</v>
      </c>
      <c r="J1145" s="3" t="s">
        <v>4760</v>
      </c>
      <c r="K1145" s="3" t="s">
        <v>4761</v>
      </c>
      <c r="L1145" s="3" t="s">
        <v>4762</v>
      </c>
      <c r="M1145" s="3" t="n">
        <v>211301</v>
      </c>
      <c r="N1145" s="3" t="s">
        <v>119</v>
      </c>
      <c r="O1145" s="1" t="n">
        <v>194915</v>
      </c>
      <c r="P1145" s="1" t="n">
        <v>92.25</v>
      </c>
      <c r="Q1145" s="1" t="s">
        <v>20</v>
      </c>
      <c r="R1145" s="1" t="s">
        <v>27</v>
      </c>
      <c r="S1145" s="1" t="s">
        <v>28</v>
      </c>
      <c r="T1145" s="1" t="s">
        <v>29</v>
      </c>
    </row>
    <row r="1146" customFormat="false" ht="18.7" hidden="false" customHeight="true" outlineLevel="0" collapsed="false">
      <c r="A1146" s="1" t="n">
        <v>1145</v>
      </c>
      <c r="B1146" s="6" t="str">
        <f aca="false">HYPERLINK("https://mncourtfraud.com/file/MCRO_27-CR-20-3244_Returned Mail_2023-12-04_20240430084959.pdf","MCRO_27-CR-20-3244_Returned Mail_2023-12-04_20240430084959.pdf")</f>
        <v>MCRO_27-CR-20-3244_Returned Mail_2023-12-04_20240430084959.pdf</v>
      </c>
      <c r="C1146" s="1" t="n">
        <v>4</v>
      </c>
      <c r="D1146" s="1" t="n">
        <v>1</v>
      </c>
      <c r="E1146" s="1" t="n">
        <v>1</v>
      </c>
      <c r="F1146" s="3" t="s">
        <v>20</v>
      </c>
      <c r="G1146" s="3" t="s">
        <v>4763</v>
      </c>
      <c r="H1146" s="1" t="s">
        <v>22</v>
      </c>
      <c r="I1146" s="1" t="n">
        <v>20240430084959</v>
      </c>
      <c r="J1146" s="3" t="s">
        <v>4760</v>
      </c>
      <c r="K1146" s="3" t="s">
        <v>4761</v>
      </c>
      <c r="L1146" s="3" t="s">
        <v>4764</v>
      </c>
      <c r="M1146" s="3" t="n">
        <v>102180</v>
      </c>
      <c r="N1146" s="3" t="s">
        <v>435</v>
      </c>
      <c r="O1146" s="1" t="n">
        <v>85794</v>
      </c>
      <c r="P1146" s="1" t="n">
        <v>83.96</v>
      </c>
      <c r="Q1146" s="1" t="s">
        <v>20</v>
      </c>
      <c r="R1146" s="1" t="s">
        <v>27</v>
      </c>
      <c r="S1146" s="1" t="s">
        <v>28</v>
      </c>
      <c r="T1146" s="1" t="s">
        <v>29</v>
      </c>
    </row>
    <row r="1147" customFormat="false" ht="18.7" hidden="false" customHeight="true" outlineLevel="0" collapsed="false">
      <c r="A1147" s="1" t="n">
        <v>1146</v>
      </c>
      <c r="B1147" s="6" t="str">
        <f aca="false">HYPERLINK("https://mncourtfraud.com/file/MCRO_27-CR-20-3244_Sentencing Order_2023-12-11_20240430084955.pdf","MCRO_27-CR-20-3244_Sentencing Order_2023-12-11_20240430084955.pdf")</f>
        <v>MCRO_27-CR-20-3244_Sentencing Order_2023-12-11_20240430084955.pdf</v>
      </c>
      <c r="C1147" s="1" t="n">
        <v>4</v>
      </c>
      <c r="D1147" s="1" t="n">
        <v>1</v>
      </c>
      <c r="E1147" s="1" t="n">
        <v>1</v>
      </c>
      <c r="F1147" s="3" t="s">
        <v>20</v>
      </c>
      <c r="G1147" s="3" t="s">
        <v>4765</v>
      </c>
      <c r="H1147" s="1" t="s">
        <v>22</v>
      </c>
      <c r="I1147" s="1" t="n">
        <v>20240430084955</v>
      </c>
      <c r="J1147" s="3" t="s">
        <v>4766</v>
      </c>
      <c r="K1147" s="3" t="s">
        <v>4767</v>
      </c>
      <c r="L1147" s="3" t="s">
        <v>4768</v>
      </c>
      <c r="M1147" s="3" t="n">
        <v>276737</v>
      </c>
      <c r="N1147" s="3" t="s">
        <v>4769</v>
      </c>
      <c r="O1147" s="1" t="n">
        <v>260351</v>
      </c>
      <c r="P1147" s="1" t="n">
        <v>94.08</v>
      </c>
      <c r="Q1147" s="1" t="s">
        <v>20</v>
      </c>
      <c r="R1147" s="1" t="s">
        <v>27</v>
      </c>
      <c r="S1147" s="1" t="s">
        <v>28</v>
      </c>
      <c r="T1147" s="1" t="s">
        <v>29</v>
      </c>
    </row>
    <row r="1148" customFormat="false" ht="18.7" hidden="false" customHeight="true" outlineLevel="0" collapsed="false">
      <c r="A1148" s="1" t="n">
        <v>1147</v>
      </c>
      <c r="B1148" s="6" t="str">
        <f aca="false">HYPERLINK("https://mncourtfraud.com/file/MCRO_27-CR-20-3244_Summons_2020-02-05_20240430085046.pdf","MCRO_27-CR-20-3244_Summons_2020-02-05_20240430085046.pdf")</f>
        <v>MCRO_27-CR-20-3244_Summons_2020-02-05_20240430085046.pdf</v>
      </c>
      <c r="C1148" s="1" t="n">
        <v>4</v>
      </c>
      <c r="D1148" s="1" t="n">
        <v>1</v>
      </c>
      <c r="E1148" s="1" t="n">
        <v>1</v>
      </c>
      <c r="F1148" s="3" t="s">
        <v>20</v>
      </c>
      <c r="G1148" s="3" t="s">
        <v>4770</v>
      </c>
      <c r="H1148" s="1" t="s">
        <v>22</v>
      </c>
      <c r="I1148" s="1" t="n">
        <v>20240430085046</v>
      </c>
      <c r="J1148" s="3" t="s">
        <v>4771</v>
      </c>
      <c r="K1148" s="3" t="s">
        <v>4772</v>
      </c>
      <c r="L1148" s="3" t="s">
        <v>4773</v>
      </c>
      <c r="M1148" s="3" t="n">
        <v>249082</v>
      </c>
      <c r="N1148" s="3" t="s">
        <v>3215</v>
      </c>
      <c r="O1148" s="1" t="n">
        <v>232696</v>
      </c>
      <c r="P1148" s="1" t="n">
        <v>93.42</v>
      </c>
      <c r="Q1148" s="1" t="s">
        <v>20</v>
      </c>
      <c r="R1148" s="1" t="s">
        <v>27</v>
      </c>
      <c r="S1148" s="1" t="s">
        <v>28</v>
      </c>
      <c r="T1148" s="1" t="s">
        <v>29</v>
      </c>
    </row>
    <row r="1149" customFormat="false" ht="18.7" hidden="false" customHeight="true" outlineLevel="0" collapsed="false">
      <c r="A1149" s="1" t="n">
        <v>1148</v>
      </c>
      <c r="B1149" s="6" t="str">
        <f aca="false">HYPERLINK("https://mncourtfraud.com/file/MCRO_27-CR-20-3244_Warrant Issued_2020-03-05_20240430085044.pdf","MCRO_27-CR-20-3244_Warrant Issued_2020-03-05_20240430085044.pdf")</f>
        <v>MCRO_27-CR-20-3244_Warrant Issued_2020-03-05_20240430085044.pdf</v>
      </c>
      <c r="C1149" s="1" t="n">
        <v>4</v>
      </c>
      <c r="D1149" s="1" t="n">
        <v>1</v>
      </c>
      <c r="E1149" s="1" t="n">
        <v>1</v>
      </c>
      <c r="F1149" s="3" t="s">
        <v>20</v>
      </c>
      <c r="G1149" s="3" t="s">
        <v>4774</v>
      </c>
      <c r="H1149" s="1" t="s">
        <v>22</v>
      </c>
      <c r="I1149" s="1" t="n">
        <v>20240430085044</v>
      </c>
      <c r="J1149" s="3" t="s">
        <v>4775</v>
      </c>
      <c r="K1149" s="3" t="s">
        <v>4776</v>
      </c>
      <c r="L1149" s="3" t="s">
        <v>4777</v>
      </c>
      <c r="M1149" s="3" t="n">
        <v>252405</v>
      </c>
      <c r="N1149" s="3" t="s">
        <v>1145</v>
      </c>
      <c r="O1149" s="1" t="n">
        <v>236019</v>
      </c>
      <c r="P1149" s="1" t="n">
        <v>93.51</v>
      </c>
      <c r="Q1149" s="1" t="s">
        <v>20</v>
      </c>
      <c r="R1149" s="1" t="s">
        <v>27</v>
      </c>
      <c r="S1149" s="1" t="s">
        <v>28</v>
      </c>
      <c r="T1149" s="1" t="s">
        <v>29</v>
      </c>
    </row>
    <row r="1150" customFormat="false" ht="18.7" hidden="false" customHeight="true" outlineLevel="0" collapsed="false">
      <c r="A1150" s="1" t="n">
        <v>1149</v>
      </c>
      <c r="B1150" s="6" t="str">
        <f aca="false">HYPERLINK("https://mncourtfraud.com/file/MCRO_27-CR-20-423_Correspondence for Judicial Approval_2021-01-25_20240430084817.pdf","MCRO_27-CR-20-423_Correspondence for Judicial Approval_2021-01-25_20240430084817.pdf")</f>
        <v>MCRO_27-CR-20-423_Correspondence for Judicial Approval_2021-01-25_20240430084817.pdf</v>
      </c>
      <c r="C1150" s="1" t="n">
        <v>4</v>
      </c>
      <c r="D1150" s="1" t="n">
        <v>1</v>
      </c>
      <c r="E1150" s="1" t="n">
        <v>1</v>
      </c>
      <c r="F1150" s="3" t="s">
        <v>20</v>
      </c>
      <c r="G1150" s="3" t="s">
        <v>4778</v>
      </c>
      <c r="H1150" s="1" t="s">
        <v>22</v>
      </c>
      <c r="I1150" s="1" t="n">
        <v>20240430084817</v>
      </c>
      <c r="J1150" s="3" t="s">
        <v>4779</v>
      </c>
      <c r="K1150" s="3" t="s">
        <v>4780</v>
      </c>
      <c r="L1150" s="3" t="s">
        <v>4781</v>
      </c>
      <c r="M1150" s="3" t="n">
        <v>206082</v>
      </c>
      <c r="N1150" s="3" t="s">
        <v>854</v>
      </c>
      <c r="O1150" s="1" t="n">
        <v>189696</v>
      </c>
      <c r="P1150" s="1" t="n">
        <v>92.05</v>
      </c>
      <c r="Q1150" s="1" t="s">
        <v>20</v>
      </c>
      <c r="R1150" s="1" t="s">
        <v>27</v>
      </c>
      <c r="S1150" s="1" t="s">
        <v>28</v>
      </c>
      <c r="T1150" s="1" t="s">
        <v>29</v>
      </c>
    </row>
    <row r="1151" customFormat="false" ht="18.7" hidden="false" customHeight="true" outlineLevel="0" collapsed="false">
      <c r="A1151" s="1" t="n">
        <v>1150</v>
      </c>
      <c r="B1151" s="6" t="str">
        <f aca="false">HYPERLINK("https://mncourtfraud.com/file/MCRO_27-CR-20-423_Demand or Request for Discovery_2020-01-08_20240430084825.pdf","MCRO_27-CR-20-423_Demand or Request for Discovery_2020-01-08_20240430084825.pdf")</f>
        <v>MCRO_27-CR-20-423_Demand or Request for Discovery_2020-01-08_20240430084825.pdf</v>
      </c>
      <c r="C1151" s="1" t="n">
        <v>3</v>
      </c>
      <c r="D1151" s="1" t="n">
        <v>1</v>
      </c>
      <c r="E1151" s="1" t="n">
        <v>1</v>
      </c>
      <c r="F1151" s="3" t="s">
        <v>20</v>
      </c>
      <c r="G1151" s="3" t="s">
        <v>4782</v>
      </c>
      <c r="H1151" s="1" t="s">
        <v>22</v>
      </c>
      <c r="I1151" s="1" t="n">
        <v>20240430084825</v>
      </c>
      <c r="J1151" s="3" t="s">
        <v>4783</v>
      </c>
      <c r="K1151" s="3" t="s">
        <v>4784</v>
      </c>
      <c r="L1151" s="3" t="s">
        <v>4785</v>
      </c>
      <c r="M1151" s="3" t="n">
        <v>372263</v>
      </c>
      <c r="N1151" s="3" t="s">
        <v>877</v>
      </c>
      <c r="O1151" s="1" t="n">
        <v>355877</v>
      </c>
      <c r="P1151" s="1" t="n">
        <v>95.6</v>
      </c>
      <c r="Q1151" s="1" t="s">
        <v>20</v>
      </c>
      <c r="R1151" s="1" t="s">
        <v>27</v>
      </c>
      <c r="S1151" s="1" t="s">
        <v>28</v>
      </c>
      <c r="T1151" s="1" t="s">
        <v>29</v>
      </c>
    </row>
    <row r="1152" customFormat="false" ht="18.7" hidden="false" customHeight="true" outlineLevel="0" collapsed="false">
      <c r="A1152" s="1" t="n">
        <v>1151</v>
      </c>
      <c r="B1152" s="6" t="str">
        <f aca="false">HYPERLINK("https://mncourtfraud.com/file/MCRO_27-CR-20-423_E-filed Comp-Order for Detention_2020-01-06_20240430084827.pdf","MCRO_27-CR-20-423_E-filed Comp-Order for Detention_2020-01-06_20240430084827.pdf")</f>
        <v>MCRO_27-CR-20-423_E-filed Comp-Order for Detention_2020-01-06_20240430084827.pdf</v>
      </c>
      <c r="C1152" s="1" t="n">
        <v>4</v>
      </c>
      <c r="D1152" s="1" t="n">
        <v>2</v>
      </c>
      <c r="E1152" s="1" t="n">
        <v>2</v>
      </c>
      <c r="F1152" s="3" t="s">
        <v>20</v>
      </c>
      <c r="G1152" s="3" t="s">
        <v>4786</v>
      </c>
      <c r="H1152" s="1" t="s">
        <v>22</v>
      </c>
      <c r="I1152" s="1" t="n">
        <v>20240430084827</v>
      </c>
      <c r="J1152" s="3" t="s">
        <v>4787</v>
      </c>
      <c r="K1152" s="3" t="s">
        <v>4788</v>
      </c>
      <c r="L1152" s="3" t="s">
        <v>4789</v>
      </c>
      <c r="M1152" s="3" t="n">
        <v>481397</v>
      </c>
      <c r="N1152" s="3" t="s">
        <v>4568</v>
      </c>
      <c r="O1152" s="1" t="n">
        <v>465011</v>
      </c>
      <c r="P1152" s="1" t="n">
        <v>96.6</v>
      </c>
      <c r="Q1152" s="1" t="s">
        <v>20</v>
      </c>
      <c r="R1152" s="1" t="s">
        <v>27</v>
      </c>
      <c r="S1152" s="1" t="s">
        <v>28</v>
      </c>
      <c r="T1152" s="1" t="s">
        <v>29</v>
      </c>
    </row>
    <row r="1153" customFormat="false" ht="18.7" hidden="false" customHeight="true" outlineLevel="0" collapsed="false">
      <c r="A1153" s="1" t="n">
        <v>1152</v>
      </c>
      <c r="B1153" s="6" t="str">
        <f aca="false">HYPERLINK("https://mncourtfraud.com/file/MCRO_27-CR-20-423_Findings of Fact, Conclusions of Law and Order_2020-09-04_20240430084819.pdf","MCRO_27-CR-20-423_Findings of Fact, Conclusions of Law and Order_2020-09-04_20240430084819.pdf")</f>
        <v>MCRO_27-CR-20-423_Findings of Fact, Conclusions of Law and Order_2020-09-04_20240430084819.pdf</v>
      </c>
      <c r="C1153" s="1" t="n">
        <v>3</v>
      </c>
      <c r="D1153" s="1" t="n">
        <v>1</v>
      </c>
      <c r="E1153" s="1" t="n">
        <v>1</v>
      </c>
      <c r="F1153" s="3" t="s">
        <v>20</v>
      </c>
      <c r="G1153" s="3" t="s">
        <v>4790</v>
      </c>
      <c r="H1153" s="1" t="s">
        <v>22</v>
      </c>
      <c r="I1153" s="1" t="n">
        <v>20240430084819</v>
      </c>
      <c r="J1153" s="3" t="s">
        <v>4791</v>
      </c>
      <c r="K1153" s="3" t="s">
        <v>4792</v>
      </c>
      <c r="L1153" s="3" t="s">
        <v>4793</v>
      </c>
      <c r="M1153" s="3" t="n">
        <v>377327</v>
      </c>
      <c r="N1153" s="3" t="s">
        <v>872</v>
      </c>
      <c r="O1153" s="1" t="n">
        <v>360941</v>
      </c>
      <c r="P1153" s="1" t="n">
        <v>95.66</v>
      </c>
      <c r="Q1153" s="1" t="s">
        <v>20</v>
      </c>
      <c r="R1153" s="1" t="s">
        <v>27</v>
      </c>
      <c r="S1153" s="1" t="s">
        <v>28</v>
      </c>
      <c r="T1153" s="1" t="s">
        <v>29</v>
      </c>
    </row>
    <row r="1154" customFormat="false" ht="18.7" hidden="false" customHeight="true" outlineLevel="0" collapsed="false">
      <c r="A1154" s="1" t="n">
        <v>1153</v>
      </c>
      <c r="B1154" s="6" t="str">
        <f aca="false">HYPERLINK("https://mncourtfraud.com/file/MCRO_27-CR-20-423_Findings of Fact, Conclusions of Law and Order_2022-02-25_20240430084808.pdf","MCRO_27-CR-20-423_Findings of Fact, Conclusions of Law and Order_2022-02-25_20240430084808.pdf")</f>
        <v>MCRO_27-CR-20-423_Findings of Fact, Conclusions of Law and Order_2022-02-25_20240430084808.pdf</v>
      </c>
      <c r="C1154" s="1" t="n">
        <v>3</v>
      </c>
      <c r="D1154" s="1" t="n">
        <v>1</v>
      </c>
      <c r="E1154" s="1" t="n">
        <v>1</v>
      </c>
      <c r="F1154" s="3" t="s">
        <v>20</v>
      </c>
      <c r="G1154" s="3" t="s">
        <v>4794</v>
      </c>
      <c r="H1154" s="1" t="s">
        <v>22</v>
      </c>
      <c r="I1154" s="1" t="n">
        <v>20240430084808</v>
      </c>
      <c r="J1154" s="3" t="s">
        <v>4795</v>
      </c>
      <c r="K1154" s="3" t="s">
        <v>4796</v>
      </c>
      <c r="L1154" s="3" t="s">
        <v>4797</v>
      </c>
      <c r="M1154" s="3" t="n">
        <v>434165</v>
      </c>
      <c r="N1154" s="3" t="s">
        <v>877</v>
      </c>
      <c r="O1154" s="1" t="n">
        <v>417779</v>
      </c>
      <c r="P1154" s="1" t="n">
        <v>96.23</v>
      </c>
      <c r="Q1154" s="1" t="s">
        <v>20</v>
      </c>
      <c r="R1154" s="1" t="s">
        <v>27</v>
      </c>
      <c r="S1154" s="1" t="s">
        <v>28</v>
      </c>
      <c r="T1154" s="1" t="s">
        <v>29</v>
      </c>
    </row>
    <row r="1155" customFormat="false" ht="18.7" hidden="false" customHeight="true" outlineLevel="0" collapsed="false">
      <c r="A1155" s="1" t="n">
        <v>1154</v>
      </c>
      <c r="B1155" s="6" t="str">
        <f aca="false">HYPERLINK("https://mncourtfraud.com/file/MCRO_27-CR-20-423_Find of Fact-Order, Pet Commitment-Dfd Found Incompetent_2020-02-18_20240430084824.pdf","MCRO_27-CR-20-423_Find of Fact-Order, Pet Commitment-Dfd Found Incompetent_2020-02-18_20240430084824.pdf")</f>
        <v>MCRO_27-CR-20-423_Find of Fact-Order, Pet Commitment-Dfd Found Incompetent_2020-02-18_20240430084824.pdf</v>
      </c>
      <c r="C1155" s="1" t="n">
        <v>4</v>
      </c>
      <c r="D1155" s="1" t="n">
        <v>1</v>
      </c>
      <c r="E1155" s="1" t="n">
        <v>1</v>
      </c>
      <c r="F1155" s="3" t="s">
        <v>20</v>
      </c>
      <c r="G1155" s="3" t="s">
        <v>4798</v>
      </c>
      <c r="H1155" s="1" t="s">
        <v>22</v>
      </c>
      <c r="I1155" s="1" t="n">
        <v>20240430084824</v>
      </c>
      <c r="J1155" s="3" t="s">
        <v>4799</v>
      </c>
      <c r="K1155" s="3" t="s">
        <v>4800</v>
      </c>
      <c r="L1155" s="3" t="s">
        <v>4801</v>
      </c>
      <c r="M1155" s="3" t="n">
        <v>791594</v>
      </c>
      <c r="N1155" s="3" t="s">
        <v>1503</v>
      </c>
      <c r="O1155" s="1" t="n">
        <v>775208</v>
      </c>
      <c r="P1155" s="1" t="n">
        <v>97.93</v>
      </c>
      <c r="Q1155" s="1" t="s">
        <v>20</v>
      </c>
      <c r="R1155" s="1" t="s">
        <v>27</v>
      </c>
      <c r="S1155" s="1" t="s">
        <v>28</v>
      </c>
      <c r="T1155" s="1" t="s">
        <v>29</v>
      </c>
    </row>
    <row r="1156" customFormat="false" ht="18.7" hidden="false" customHeight="true" outlineLevel="0" collapsed="false">
      <c r="A1156" s="1" t="n">
        <v>1155</v>
      </c>
      <c r="B1156" s="6" t="str">
        <f aca="false">HYPERLINK("https://mncourtfraud.com/file/MCRO_27-CR-20-423_Notice of Hearing_2020-04-22_20240430084822.pdf","MCRO_27-CR-20-423_Notice of Hearing_2020-04-22_20240430084822.pdf")</f>
        <v>MCRO_27-CR-20-423_Notice of Hearing_2020-04-22_20240430084822.pdf</v>
      </c>
      <c r="C1156" s="1" t="n">
        <v>4</v>
      </c>
      <c r="D1156" s="1" t="n">
        <v>1</v>
      </c>
      <c r="E1156" s="1" t="n">
        <v>1</v>
      </c>
      <c r="F1156" s="3" t="s">
        <v>20</v>
      </c>
      <c r="G1156" s="3" t="s">
        <v>4802</v>
      </c>
      <c r="H1156" s="1" t="s">
        <v>22</v>
      </c>
      <c r="I1156" s="1" t="n">
        <v>20240430084822</v>
      </c>
      <c r="J1156" s="3" t="s">
        <v>4803</v>
      </c>
      <c r="K1156" s="3" t="s">
        <v>4804</v>
      </c>
      <c r="L1156" s="3" t="s">
        <v>4805</v>
      </c>
      <c r="M1156" s="3" t="n">
        <v>107832</v>
      </c>
      <c r="N1156" s="3" t="s">
        <v>137</v>
      </c>
      <c r="O1156" s="1" t="n">
        <v>91446</v>
      </c>
      <c r="P1156" s="1" t="n">
        <v>84.8</v>
      </c>
      <c r="Q1156" s="1" t="s">
        <v>20</v>
      </c>
      <c r="R1156" s="1" t="s">
        <v>27</v>
      </c>
      <c r="S1156" s="1" t="s">
        <v>28</v>
      </c>
      <c r="T1156" s="1" t="s">
        <v>29</v>
      </c>
    </row>
    <row r="1157" customFormat="false" ht="18.7" hidden="false" customHeight="true" outlineLevel="0" collapsed="false">
      <c r="A1157" s="1" t="n">
        <v>1156</v>
      </c>
      <c r="B1157" s="6" t="str">
        <f aca="false">HYPERLINK("https://mncourtfraud.com/file/MCRO_27-CR-20-423_Notice of Hearing_2020-08-06_20240430084820.pdf","MCRO_27-CR-20-423_Notice of Hearing_2020-08-06_20240430084820.pdf")</f>
        <v>MCRO_27-CR-20-423_Notice of Hearing_2020-08-06_20240430084820.pdf</v>
      </c>
      <c r="C1157" s="1" t="n">
        <v>4</v>
      </c>
      <c r="D1157" s="1" t="n">
        <v>1</v>
      </c>
      <c r="E1157" s="1" t="n">
        <v>1</v>
      </c>
      <c r="F1157" s="3" t="s">
        <v>20</v>
      </c>
      <c r="G1157" s="3" t="s">
        <v>4806</v>
      </c>
      <c r="H1157" s="1" t="s">
        <v>22</v>
      </c>
      <c r="I1157" s="1" t="n">
        <v>20240430084820</v>
      </c>
      <c r="J1157" s="3" t="s">
        <v>4807</v>
      </c>
      <c r="K1157" s="3" t="s">
        <v>4808</v>
      </c>
      <c r="L1157" s="3" t="s">
        <v>891</v>
      </c>
      <c r="M1157" s="3" t="n">
        <v>108614</v>
      </c>
      <c r="N1157" s="3" t="s">
        <v>892</v>
      </c>
      <c r="O1157" s="1" t="n">
        <v>92228</v>
      </c>
      <c r="P1157" s="1" t="n">
        <v>84.91</v>
      </c>
      <c r="Q1157" s="1" t="s">
        <v>20</v>
      </c>
      <c r="R1157" s="1" t="s">
        <v>27</v>
      </c>
      <c r="S1157" s="1" t="s">
        <v>28</v>
      </c>
      <c r="T1157" s="1" t="s">
        <v>29</v>
      </c>
    </row>
    <row r="1158" customFormat="false" ht="18.7" hidden="false" customHeight="true" outlineLevel="0" collapsed="false">
      <c r="A1158" s="1" t="n">
        <v>1157</v>
      </c>
      <c r="B1158" s="6" t="str">
        <f aca="false">HYPERLINK("https://mncourtfraud.com/file/MCRO_27-CR-20-423_Notice of Hearing_2020-09-09_20240430084818.pdf","MCRO_27-CR-20-423_Notice of Hearing_2020-09-09_20240430084818.pdf")</f>
        <v>MCRO_27-CR-20-423_Notice of Hearing_2020-09-09_20240430084818.pdf</v>
      </c>
      <c r="C1158" s="1" t="n">
        <v>4</v>
      </c>
      <c r="D1158" s="1" t="n">
        <v>1</v>
      </c>
      <c r="E1158" s="1" t="n">
        <v>1</v>
      </c>
      <c r="F1158" s="3" t="s">
        <v>20</v>
      </c>
      <c r="G1158" s="3" t="s">
        <v>4809</v>
      </c>
      <c r="H1158" s="1" t="s">
        <v>22</v>
      </c>
      <c r="I1158" s="1" t="n">
        <v>20240430084818</v>
      </c>
      <c r="J1158" s="3" t="s">
        <v>4810</v>
      </c>
      <c r="K1158" s="3" t="s">
        <v>4811</v>
      </c>
      <c r="L1158" s="3" t="s">
        <v>4812</v>
      </c>
      <c r="M1158" s="3" t="n">
        <v>89057</v>
      </c>
      <c r="N1158" s="3" t="s">
        <v>137</v>
      </c>
      <c r="O1158" s="1" t="n">
        <v>72671</v>
      </c>
      <c r="P1158" s="1" t="n">
        <v>81.6</v>
      </c>
      <c r="Q1158" s="1" t="s">
        <v>20</v>
      </c>
      <c r="R1158" s="1" t="s">
        <v>27</v>
      </c>
      <c r="S1158" s="1" t="s">
        <v>28</v>
      </c>
      <c r="T1158" s="1" t="s">
        <v>29</v>
      </c>
    </row>
    <row r="1159" customFormat="false" ht="18.7" hidden="false" customHeight="true" outlineLevel="0" collapsed="false">
      <c r="A1159" s="1" t="n">
        <v>1158</v>
      </c>
      <c r="B1159" s="6" t="str">
        <f aca="false">HYPERLINK("https://mncourtfraud.com/file/MCRO_27-CR-20-423_Notice of Hearing_2021-09-16_20240430084813.pdf","MCRO_27-CR-20-423_Notice of Hearing_2021-09-16_20240430084813.pdf")</f>
        <v>MCRO_27-CR-20-423_Notice of Hearing_2021-09-16_20240430084813.pdf</v>
      </c>
      <c r="C1159" s="1" t="n">
        <v>4</v>
      </c>
      <c r="D1159" s="1" t="n">
        <v>1</v>
      </c>
      <c r="E1159" s="1" t="n">
        <v>1</v>
      </c>
      <c r="F1159" s="3" t="s">
        <v>20</v>
      </c>
      <c r="G1159" s="3" t="s">
        <v>4813</v>
      </c>
      <c r="H1159" s="1" t="s">
        <v>22</v>
      </c>
      <c r="I1159" s="1" t="n">
        <v>20240430084813</v>
      </c>
      <c r="J1159" s="3" t="s">
        <v>4814</v>
      </c>
      <c r="K1159" s="3" t="s">
        <v>4815</v>
      </c>
      <c r="L1159" s="3" t="s">
        <v>4816</v>
      </c>
      <c r="M1159" s="3" t="n">
        <v>97300</v>
      </c>
      <c r="N1159" s="3" t="s">
        <v>456</v>
      </c>
      <c r="O1159" s="1" t="n">
        <v>80914</v>
      </c>
      <c r="P1159" s="1" t="n">
        <v>83.16</v>
      </c>
      <c r="Q1159" s="1" t="s">
        <v>20</v>
      </c>
      <c r="R1159" s="1" t="s">
        <v>27</v>
      </c>
      <c r="S1159" s="1" t="s">
        <v>28</v>
      </c>
      <c r="T1159" s="1" t="s">
        <v>29</v>
      </c>
    </row>
    <row r="1160" customFormat="false" ht="18.7" hidden="false" customHeight="true" outlineLevel="0" collapsed="false">
      <c r="A1160" s="1" t="n">
        <v>1159</v>
      </c>
      <c r="B1160" s="6" t="str">
        <f aca="false">HYPERLINK("https://mncourtfraud.com/file/MCRO_27-CR-20-423_Notice of Hearing_2021-12-01_20240430084812.pdf","MCRO_27-CR-20-423_Notice of Hearing_2021-12-01_20240430084812.pdf")</f>
        <v>MCRO_27-CR-20-423_Notice of Hearing_2021-12-01_20240430084812.pdf</v>
      </c>
      <c r="C1160" s="1" t="n">
        <v>4</v>
      </c>
      <c r="D1160" s="1" t="n">
        <v>1</v>
      </c>
      <c r="E1160" s="1" t="n">
        <v>1</v>
      </c>
      <c r="F1160" s="3" t="s">
        <v>20</v>
      </c>
      <c r="G1160" s="3" t="s">
        <v>4817</v>
      </c>
      <c r="H1160" s="1" t="s">
        <v>22</v>
      </c>
      <c r="I1160" s="1" t="n">
        <v>20240430084812</v>
      </c>
      <c r="J1160" s="3" t="s">
        <v>4818</v>
      </c>
      <c r="K1160" s="3" t="s">
        <v>4819</v>
      </c>
      <c r="L1160" s="3" t="s">
        <v>4820</v>
      </c>
      <c r="M1160" s="3" t="n">
        <v>97829</v>
      </c>
      <c r="N1160" s="3" t="s">
        <v>456</v>
      </c>
      <c r="O1160" s="1" t="n">
        <v>81443</v>
      </c>
      <c r="P1160" s="1" t="n">
        <v>83.25</v>
      </c>
      <c r="Q1160" s="1" t="s">
        <v>20</v>
      </c>
      <c r="R1160" s="1" t="s">
        <v>27</v>
      </c>
      <c r="S1160" s="1" t="s">
        <v>28</v>
      </c>
      <c r="T1160" s="1" t="s">
        <v>29</v>
      </c>
    </row>
    <row r="1161" customFormat="false" ht="18.7" hidden="false" customHeight="true" outlineLevel="0" collapsed="false">
      <c r="A1161" s="1" t="n">
        <v>1160</v>
      </c>
      <c r="B1161" s="6" t="str">
        <f aca="false">HYPERLINK("https://mncourtfraud.com/file/MCRO_27-CR-20-423_Notice of Hearing_2022-01-05_20240430084809.pdf","MCRO_27-CR-20-423_Notice of Hearing_2022-01-05_20240430084809.pdf")</f>
        <v>MCRO_27-CR-20-423_Notice of Hearing_2022-01-05_20240430084809.pdf</v>
      </c>
      <c r="C1161" s="1" t="n">
        <v>4</v>
      </c>
      <c r="D1161" s="1" t="n">
        <v>1</v>
      </c>
      <c r="E1161" s="1" t="n">
        <v>1</v>
      </c>
      <c r="F1161" s="3" t="s">
        <v>20</v>
      </c>
      <c r="G1161" s="3" t="s">
        <v>4821</v>
      </c>
      <c r="H1161" s="1" t="s">
        <v>22</v>
      </c>
      <c r="I1161" s="1" t="n">
        <v>20240430084809</v>
      </c>
      <c r="J1161" s="3" t="s">
        <v>4822</v>
      </c>
      <c r="K1161" s="3" t="s">
        <v>4823</v>
      </c>
      <c r="L1161" s="3" t="s">
        <v>908</v>
      </c>
      <c r="M1161" s="3" t="n">
        <v>123142</v>
      </c>
      <c r="N1161" s="3" t="s">
        <v>104</v>
      </c>
      <c r="O1161" s="1" t="n">
        <v>106756</v>
      </c>
      <c r="P1161" s="1" t="n">
        <v>86.69</v>
      </c>
      <c r="Q1161" s="1" t="s">
        <v>20</v>
      </c>
      <c r="R1161" s="1" t="s">
        <v>27</v>
      </c>
      <c r="S1161" s="1" t="s">
        <v>28</v>
      </c>
      <c r="T1161" s="1" t="s">
        <v>29</v>
      </c>
    </row>
    <row r="1162" customFormat="false" ht="18.7" hidden="false" customHeight="true" outlineLevel="0" collapsed="false">
      <c r="A1162" s="1" t="n">
        <v>1161</v>
      </c>
      <c r="B1162" s="6" t="str">
        <f aca="false">HYPERLINK("https://mncourtfraud.com/file/MCRO_27-CR-20-423_Notice of Intent to Prosecute_2021-04-07_20240430084814.pdf","MCRO_27-CR-20-423_Notice of Intent to Prosecute_2021-04-07_20240430084814.pdf")</f>
        <v>MCRO_27-CR-20-423_Notice of Intent to Prosecute_2021-04-07_20240430084814.pdf</v>
      </c>
      <c r="C1162" s="1" t="n">
        <v>4</v>
      </c>
      <c r="D1162" s="1" t="n">
        <v>1</v>
      </c>
      <c r="E1162" s="1" t="n">
        <v>1</v>
      </c>
      <c r="F1162" s="3" t="s">
        <v>20</v>
      </c>
      <c r="G1162" s="3" t="s">
        <v>4824</v>
      </c>
      <c r="H1162" s="1" t="s">
        <v>22</v>
      </c>
      <c r="I1162" s="1" t="n">
        <v>20240430084814</v>
      </c>
      <c r="J1162" s="3" t="s">
        <v>4825</v>
      </c>
      <c r="K1162" s="3" t="s">
        <v>4826</v>
      </c>
      <c r="L1162" s="3" t="s">
        <v>4827</v>
      </c>
      <c r="M1162" s="3" t="n">
        <v>339741</v>
      </c>
      <c r="N1162" s="3" t="s">
        <v>1659</v>
      </c>
      <c r="O1162" s="1" t="n">
        <v>323355</v>
      </c>
      <c r="P1162" s="1" t="n">
        <v>95.18</v>
      </c>
      <c r="Q1162" s="1" t="s">
        <v>20</v>
      </c>
      <c r="R1162" s="1" t="s">
        <v>27</v>
      </c>
      <c r="S1162" s="1" t="s">
        <v>28</v>
      </c>
      <c r="T1162" s="1" t="s">
        <v>29</v>
      </c>
    </row>
    <row r="1163" customFormat="false" ht="18.7" hidden="false" customHeight="true" outlineLevel="0" collapsed="false">
      <c r="A1163" s="1" t="n">
        <v>1162</v>
      </c>
      <c r="B1163" s="6" t="str">
        <f aca="false">HYPERLINK("https://mncourtfraud.com/file/MCRO_27-CR-20-423_Notice of Remote Hearing with Instructions_2022-04-25_20240430084807.pdf","MCRO_27-CR-20-423_Notice of Remote Hearing with Instructions_2022-04-25_20240430084807.pdf")</f>
        <v>MCRO_27-CR-20-423_Notice of Remote Hearing with Instructions_2022-04-25_20240430084807.pdf</v>
      </c>
      <c r="C1163" s="1" t="n">
        <v>4</v>
      </c>
      <c r="D1163" s="1" t="n">
        <v>1</v>
      </c>
      <c r="E1163" s="1" t="n">
        <v>1</v>
      </c>
      <c r="F1163" s="3" t="s">
        <v>20</v>
      </c>
      <c r="G1163" s="3" t="s">
        <v>4828</v>
      </c>
      <c r="H1163" s="1" t="s">
        <v>22</v>
      </c>
      <c r="I1163" s="1" t="n">
        <v>20240430084807</v>
      </c>
      <c r="J1163" s="3" t="s">
        <v>4829</v>
      </c>
      <c r="K1163" s="3" t="s">
        <v>4830</v>
      </c>
      <c r="L1163" s="3" t="s">
        <v>4831</v>
      </c>
      <c r="M1163" s="3" t="n">
        <v>758329</v>
      </c>
      <c r="N1163" s="3" t="s">
        <v>922</v>
      </c>
      <c r="O1163" s="1" t="n">
        <v>741943</v>
      </c>
      <c r="P1163" s="1" t="n">
        <v>97.84</v>
      </c>
      <c r="Q1163" s="1" t="s">
        <v>20</v>
      </c>
      <c r="R1163" s="1" t="s">
        <v>27</v>
      </c>
      <c r="S1163" s="1" t="s">
        <v>28</v>
      </c>
      <c r="T1163" s="1" t="s">
        <v>29</v>
      </c>
    </row>
    <row r="1164" customFormat="false" ht="18.7" hidden="false" customHeight="true" outlineLevel="0" collapsed="false">
      <c r="A1164" s="1" t="n">
        <v>1163</v>
      </c>
      <c r="B1164" s="6" t="str">
        <f aca="false">HYPERLINK("https://mncourtfraud.com/file/MCRO_27-CR-20-423_Notice of Remote Hearing with Instructions_2022-05-16_20240430084804.pdf","MCRO_27-CR-20-423_Notice of Remote Hearing with Instructions_2022-05-16_20240430084804.pdf")</f>
        <v>MCRO_27-CR-20-423_Notice of Remote Hearing with Instructions_2022-05-16_20240430084804.pdf</v>
      </c>
      <c r="C1164" s="1" t="n">
        <v>4</v>
      </c>
      <c r="D1164" s="1" t="n">
        <v>1</v>
      </c>
      <c r="E1164" s="1" t="n">
        <v>1</v>
      </c>
      <c r="F1164" s="3" t="s">
        <v>20</v>
      </c>
      <c r="G1164" s="3" t="s">
        <v>4832</v>
      </c>
      <c r="H1164" s="1" t="s">
        <v>22</v>
      </c>
      <c r="I1164" s="1" t="n">
        <v>20240430084804</v>
      </c>
      <c r="J1164" s="3" t="s">
        <v>4833</v>
      </c>
      <c r="K1164" s="3" t="s">
        <v>4834</v>
      </c>
      <c r="L1164" s="3" t="s">
        <v>4835</v>
      </c>
      <c r="M1164" s="3" t="n">
        <v>758417</v>
      </c>
      <c r="N1164" s="3" t="s">
        <v>922</v>
      </c>
      <c r="O1164" s="1" t="n">
        <v>742031</v>
      </c>
      <c r="P1164" s="1" t="n">
        <v>97.84</v>
      </c>
      <c r="Q1164" s="1" t="s">
        <v>20</v>
      </c>
      <c r="R1164" s="1" t="s">
        <v>27</v>
      </c>
      <c r="S1164" s="1" t="s">
        <v>28</v>
      </c>
      <c r="T1164" s="1" t="s">
        <v>29</v>
      </c>
    </row>
    <row r="1165" customFormat="false" ht="18.7" hidden="false" customHeight="true" outlineLevel="0" collapsed="false">
      <c r="A1165" s="1" t="n">
        <v>1164</v>
      </c>
      <c r="B1165" s="6" t="str">
        <f aca="false">HYPERLINK("https://mncourtfraud.com/file/MCRO_27-CR-20-423_Notice of Remote Hearing with Instructions_2022-05-16_20240430084806.pdf","MCRO_27-CR-20-423_Notice of Remote Hearing with Instructions_2022-05-16_20240430084806.pdf")</f>
        <v>MCRO_27-CR-20-423_Notice of Remote Hearing with Instructions_2022-05-16_20240430084806.pdf</v>
      </c>
      <c r="C1165" s="1" t="n">
        <v>4</v>
      </c>
      <c r="D1165" s="1" t="n">
        <v>1</v>
      </c>
      <c r="E1165" s="1" t="n">
        <v>1</v>
      </c>
      <c r="F1165" s="3" t="s">
        <v>20</v>
      </c>
      <c r="G1165" s="3" t="s">
        <v>4836</v>
      </c>
      <c r="H1165" s="1" t="s">
        <v>22</v>
      </c>
      <c r="I1165" s="1" t="n">
        <v>20240430084806</v>
      </c>
      <c r="J1165" s="3" t="s">
        <v>4837</v>
      </c>
      <c r="K1165" s="3" t="s">
        <v>4838</v>
      </c>
      <c r="L1165" s="3" t="s">
        <v>4839</v>
      </c>
      <c r="M1165" s="3" t="n">
        <v>734432</v>
      </c>
      <c r="N1165" s="3" t="s">
        <v>1659</v>
      </c>
      <c r="O1165" s="1" t="n">
        <v>718046</v>
      </c>
      <c r="P1165" s="1" t="n">
        <v>97.77</v>
      </c>
      <c r="Q1165" s="1" t="s">
        <v>20</v>
      </c>
      <c r="R1165" s="1" t="s">
        <v>27</v>
      </c>
      <c r="S1165" s="1" t="s">
        <v>28</v>
      </c>
      <c r="T1165" s="1" t="s">
        <v>29</v>
      </c>
    </row>
    <row r="1166" customFormat="false" ht="18.7" hidden="false" customHeight="true" outlineLevel="0" collapsed="false">
      <c r="A1166" s="1" t="n">
        <v>1165</v>
      </c>
      <c r="B1166" s="6" t="str">
        <f aca="false">HYPERLINK("https://mncourtfraud.com/file/MCRO_27-CR-20-423_Notice of Remote Hearing with Instructions_2022-09-26_20240430084803.pdf","MCRO_27-CR-20-423_Notice of Remote Hearing with Instructions_2022-09-26_20240430084803.pdf")</f>
        <v>MCRO_27-CR-20-423_Notice of Remote Hearing with Instructions_2022-09-26_20240430084803.pdf</v>
      </c>
      <c r="C1166" s="1" t="n">
        <v>4</v>
      </c>
      <c r="D1166" s="1" t="n">
        <v>1</v>
      </c>
      <c r="E1166" s="1" t="n">
        <v>1</v>
      </c>
      <c r="F1166" s="3" t="s">
        <v>20</v>
      </c>
      <c r="G1166" s="3" t="s">
        <v>4840</v>
      </c>
      <c r="H1166" s="1" t="s">
        <v>22</v>
      </c>
      <c r="I1166" s="1" t="n">
        <v>20240430084803</v>
      </c>
      <c r="J1166" s="3" t="s">
        <v>4841</v>
      </c>
      <c r="K1166" s="3" t="s">
        <v>4842</v>
      </c>
      <c r="L1166" s="3" t="s">
        <v>4843</v>
      </c>
      <c r="M1166" s="3" t="n">
        <v>770645</v>
      </c>
      <c r="N1166" s="3" t="s">
        <v>505</v>
      </c>
      <c r="O1166" s="1" t="n">
        <v>754259</v>
      </c>
      <c r="P1166" s="1" t="n">
        <v>97.87</v>
      </c>
      <c r="Q1166" s="1" t="s">
        <v>20</v>
      </c>
      <c r="R1166" s="1" t="s">
        <v>27</v>
      </c>
      <c r="S1166" s="1" t="s">
        <v>28</v>
      </c>
      <c r="T1166" s="1" t="s">
        <v>29</v>
      </c>
    </row>
    <row r="1167" customFormat="false" ht="18.7" hidden="false" customHeight="true" outlineLevel="0" collapsed="false">
      <c r="A1167" s="1" t="n">
        <v>1166</v>
      </c>
      <c r="B1167" s="6" t="str">
        <f aca="false">HYPERLINK("https://mncourtfraud.com/file/MCRO_27-CR-20-423_Notice of Remote Hearing with Instructions_2023-03-24_20240430084759.pdf","MCRO_27-CR-20-423_Notice of Remote Hearing with Instructions_2023-03-24_20240430084759.pdf")</f>
        <v>MCRO_27-CR-20-423_Notice of Remote Hearing with Instructions_2023-03-24_20240430084759.pdf</v>
      </c>
      <c r="C1167" s="1" t="n">
        <v>5</v>
      </c>
      <c r="D1167" s="1" t="n">
        <v>1</v>
      </c>
      <c r="E1167" s="1" t="n">
        <v>1</v>
      </c>
      <c r="F1167" s="3" t="s">
        <v>20</v>
      </c>
      <c r="G1167" s="3" t="s">
        <v>4844</v>
      </c>
      <c r="H1167" s="1" t="s">
        <v>22</v>
      </c>
      <c r="I1167" s="1" t="n">
        <v>20240430084759</v>
      </c>
      <c r="J1167" s="3" t="s">
        <v>4845</v>
      </c>
      <c r="K1167" s="3" t="s">
        <v>4846</v>
      </c>
      <c r="L1167" s="3" t="s">
        <v>4847</v>
      </c>
      <c r="M1167" s="3" t="n">
        <v>854275</v>
      </c>
      <c r="N1167" s="3" t="s">
        <v>505</v>
      </c>
      <c r="O1167" s="1" t="n">
        <v>837889</v>
      </c>
      <c r="P1167" s="1" t="n">
        <v>98.08</v>
      </c>
      <c r="Q1167" s="1" t="s">
        <v>20</v>
      </c>
      <c r="R1167" s="1" t="s">
        <v>27</v>
      </c>
      <c r="S1167" s="1" t="s">
        <v>28</v>
      </c>
      <c r="T1167" s="1" t="s">
        <v>29</v>
      </c>
    </row>
    <row r="1168" customFormat="false" ht="18.7" hidden="false" customHeight="true" outlineLevel="0" collapsed="false">
      <c r="A1168" s="1" t="n">
        <v>1167</v>
      </c>
      <c r="B1168" s="6" t="str">
        <f aca="false">HYPERLINK("https://mncourtfraud.com/file/MCRO_27-CR-20-423_Notice of Remote Hearing with Instructions_2023-09-19_20240430084757.pdf","MCRO_27-CR-20-423_Notice of Remote Hearing with Instructions_2023-09-19_20240430084757.pdf")</f>
        <v>MCRO_27-CR-20-423_Notice of Remote Hearing with Instructions_2023-09-19_20240430084757.pdf</v>
      </c>
      <c r="C1168" s="1" t="n">
        <v>6</v>
      </c>
      <c r="D1168" s="1" t="n">
        <v>1</v>
      </c>
      <c r="E1168" s="1" t="n">
        <v>1</v>
      </c>
      <c r="F1168" s="3" t="s">
        <v>20</v>
      </c>
      <c r="G1168" s="3" t="s">
        <v>4848</v>
      </c>
      <c r="H1168" s="1" t="s">
        <v>22</v>
      </c>
      <c r="I1168" s="1" t="n">
        <v>20240430084757</v>
      </c>
      <c r="J1168" s="3" t="s">
        <v>4849</v>
      </c>
      <c r="K1168" s="3" t="s">
        <v>4850</v>
      </c>
      <c r="L1168" s="3" t="s">
        <v>4851</v>
      </c>
      <c r="M1168" s="3" t="n">
        <v>915009</v>
      </c>
      <c r="N1168" s="3" t="s">
        <v>931</v>
      </c>
      <c r="O1168" s="1" t="n">
        <v>898623</v>
      </c>
      <c r="P1168" s="1" t="n">
        <v>98.21</v>
      </c>
      <c r="Q1168" s="1" t="s">
        <v>20</v>
      </c>
      <c r="R1168" s="1" t="s">
        <v>27</v>
      </c>
      <c r="S1168" s="1" t="s">
        <v>28</v>
      </c>
      <c r="T1168" s="1" t="s">
        <v>29</v>
      </c>
    </row>
    <row r="1169" customFormat="false" ht="18.7" hidden="false" customHeight="true" outlineLevel="0" collapsed="false">
      <c r="A1169" s="1" t="n">
        <v>1168</v>
      </c>
      <c r="B1169" s="6" t="str">
        <f aca="false">HYPERLINK("https://mncourtfraud.com/file/MCRO_27-CR-20-423_Notice of Remote Hearing with Instructions_2023-10-09_20240430084755.pdf","MCRO_27-CR-20-423_Notice of Remote Hearing with Instructions_2023-10-09_20240430084755.pdf")</f>
        <v>MCRO_27-CR-20-423_Notice of Remote Hearing with Instructions_2023-10-09_20240430084755.pdf</v>
      </c>
      <c r="C1169" s="1" t="n">
        <v>4</v>
      </c>
      <c r="D1169" s="1" t="n">
        <v>1</v>
      </c>
      <c r="E1169" s="1" t="n">
        <v>1</v>
      </c>
      <c r="F1169" s="3" t="s">
        <v>20</v>
      </c>
      <c r="G1169" s="3" t="s">
        <v>4852</v>
      </c>
      <c r="H1169" s="1" t="s">
        <v>22</v>
      </c>
      <c r="I1169" s="1" t="n">
        <v>20240430084755</v>
      </c>
      <c r="J1169" s="3" t="s">
        <v>4853</v>
      </c>
      <c r="K1169" s="3" t="s">
        <v>4854</v>
      </c>
      <c r="L1169" s="3" t="s">
        <v>4855</v>
      </c>
      <c r="M1169" s="3" t="n">
        <v>260079</v>
      </c>
      <c r="N1169" s="3" t="s">
        <v>936</v>
      </c>
      <c r="O1169" s="1" t="n">
        <v>243693</v>
      </c>
      <c r="P1169" s="1" t="n">
        <v>93.7</v>
      </c>
      <c r="Q1169" s="1" t="s">
        <v>20</v>
      </c>
      <c r="R1169" s="1" t="s">
        <v>27</v>
      </c>
      <c r="S1169" s="1" t="s">
        <v>28</v>
      </c>
      <c r="T1169" s="1" t="s">
        <v>29</v>
      </c>
    </row>
    <row r="1170" customFormat="false" ht="18.7" hidden="false" customHeight="true" outlineLevel="0" collapsed="false">
      <c r="A1170" s="1" t="n">
        <v>1169</v>
      </c>
      <c r="B1170" s="6" t="str">
        <f aca="false">HYPERLINK("https://mncourtfraud.com/file/MCRO_27-CR-20-423_Notice of Remote Hearing with Instructions_2024-04-03_20240430084753.pdf","MCRO_27-CR-20-423_Notice of Remote Hearing with Instructions_2024-04-03_20240430084753.pdf")</f>
        <v>MCRO_27-CR-20-423_Notice of Remote Hearing with Instructions_2024-04-03_20240430084753.pdf</v>
      </c>
      <c r="C1170" s="1" t="n">
        <v>4</v>
      </c>
      <c r="D1170" s="1" t="n">
        <v>1</v>
      </c>
      <c r="E1170" s="1" t="n">
        <v>1</v>
      </c>
      <c r="F1170" s="3" t="s">
        <v>20</v>
      </c>
      <c r="G1170" s="3" t="s">
        <v>4856</v>
      </c>
      <c r="H1170" s="1" t="s">
        <v>22</v>
      </c>
      <c r="I1170" s="1" t="n">
        <v>20240430084753</v>
      </c>
      <c r="J1170" s="3" t="s">
        <v>4857</v>
      </c>
      <c r="K1170" s="3" t="s">
        <v>4858</v>
      </c>
      <c r="L1170" s="3" t="s">
        <v>4859</v>
      </c>
      <c r="M1170" s="3" t="n">
        <v>258595</v>
      </c>
      <c r="N1170" s="3" t="s">
        <v>727</v>
      </c>
      <c r="O1170" s="1" t="n">
        <v>242209</v>
      </c>
      <c r="P1170" s="1" t="n">
        <v>93.66</v>
      </c>
      <c r="Q1170" s="1" t="s">
        <v>20</v>
      </c>
      <c r="R1170" s="1" t="s">
        <v>27</v>
      </c>
      <c r="S1170" s="1" t="s">
        <v>28</v>
      </c>
      <c r="T1170" s="1" t="s">
        <v>29</v>
      </c>
    </row>
    <row r="1171" customFormat="false" ht="18.7" hidden="false" customHeight="true" outlineLevel="0" collapsed="false">
      <c r="A1171" s="1" t="n">
        <v>1170</v>
      </c>
      <c r="B1171" s="6" t="str">
        <f aca="false">HYPERLINK("https://mncourtfraud.com/file/MCRO_27-CR-20-423_Order-Evaluation for Competency to Proceed (Rule 20.01)_2020-01-07_20240430084826.pdf","MCRO_27-CR-20-423_Order-Evaluation for Competency to Proceed (Rule 20.01)_2020-01-07_20240430084826.pdf")</f>
        <v>MCRO_27-CR-20-423_Order-Evaluation for Competency to Proceed (Rule 20.01)_2020-01-07_20240430084826.pdf</v>
      </c>
      <c r="C1171" s="1" t="n">
        <v>4</v>
      </c>
      <c r="D1171" s="1" t="n">
        <v>1</v>
      </c>
      <c r="E1171" s="1" t="n">
        <v>1</v>
      </c>
      <c r="F1171" s="3" t="s">
        <v>20</v>
      </c>
      <c r="G1171" s="3" t="s">
        <v>4860</v>
      </c>
      <c r="H1171" s="1" t="s">
        <v>22</v>
      </c>
      <c r="I1171" s="1" t="n">
        <v>20240430084826</v>
      </c>
      <c r="J1171" s="3" t="s">
        <v>4861</v>
      </c>
      <c r="K1171" s="3" t="s">
        <v>4862</v>
      </c>
      <c r="L1171" s="3" t="s">
        <v>4863</v>
      </c>
      <c r="M1171" s="3" t="n">
        <v>749223</v>
      </c>
      <c r="N1171" s="3" t="s">
        <v>4864</v>
      </c>
      <c r="O1171" s="1" t="n">
        <v>732837</v>
      </c>
      <c r="P1171" s="1" t="n">
        <v>97.81</v>
      </c>
      <c r="Q1171" s="1" t="s">
        <v>20</v>
      </c>
      <c r="R1171" s="1" t="s">
        <v>27</v>
      </c>
      <c r="S1171" s="1" t="s">
        <v>28</v>
      </c>
      <c r="T1171" s="1" t="s">
        <v>29</v>
      </c>
    </row>
    <row r="1172" customFormat="false" ht="18.7" hidden="false" customHeight="true" outlineLevel="0" collapsed="false">
      <c r="A1172" s="1" t="n">
        <v>1171</v>
      </c>
      <c r="B1172" s="6" t="str">
        <f aca="false">HYPERLINK("https://mncourtfraud.com/file/MCRO_27-CR-20-423_Order-Evaluation for Competency to Proceed (Rule 20.01)_2022-11-10_20240430084800.pdf","MCRO_27-CR-20-423_Order-Evaluation for Competency to Proceed (Rule 20.01)_2022-11-10_20240430084800.pdf")</f>
        <v>MCRO_27-CR-20-423_Order-Evaluation for Competency to Proceed (Rule 20.01)_2022-11-10_20240430084800.pdf</v>
      </c>
      <c r="C1172" s="1" t="n">
        <v>6</v>
      </c>
      <c r="D1172" s="1" t="n">
        <v>5</v>
      </c>
      <c r="E1172" s="1" t="n">
        <v>5</v>
      </c>
      <c r="F1172" s="3" t="s">
        <v>20</v>
      </c>
      <c r="G1172" s="3" t="s">
        <v>4865</v>
      </c>
      <c r="H1172" s="1" t="s">
        <v>22</v>
      </c>
      <c r="I1172" s="1" t="n">
        <v>20240430084800</v>
      </c>
      <c r="J1172" s="3" t="s">
        <v>4866</v>
      </c>
      <c r="K1172" s="3" t="s">
        <v>4867</v>
      </c>
      <c r="L1172" s="3" t="s">
        <v>4868</v>
      </c>
      <c r="M1172" s="3" t="n">
        <v>1045331</v>
      </c>
      <c r="N1172" s="3" t="s">
        <v>949</v>
      </c>
      <c r="O1172" s="1" t="n">
        <v>1028945</v>
      </c>
      <c r="P1172" s="1" t="n">
        <v>98.43</v>
      </c>
      <c r="Q1172" s="1" t="s">
        <v>20</v>
      </c>
      <c r="R1172" s="1" t="s">
        <v>27</v>
      </c>
      <c r="S1172" s="1" t="s">
        <v>28</v>
      </c>
      <c r="T1172" s="1" t="s">
        <v>29</v>
      </c>
    </row>
    <row r="1173" customFormat="false" ht="18.7" hidden="false" customHeight="true" outlineLevel="0" collapsed="false">
      <c r="A1173" s="1" t="n">
        <v>1172</v>
      </c>
      <c r="B1173" s="6" t="str">
        <f aca="false">HYPERLINK("https://mncourtfraud.com/file/MCRO_27-CR-20-423_Order-Evaluation for Competency to Proceed (Rule 20.01)_2023-07-13_20240430084758.pdf","MCRO_27-CR-20-423_Order-Evaluation for Competency to Proceed (Rule 20.01)_2023-07-13_20240430084758.pdf")</f>
        <v>MCRO_27-CR-20-423_Order-Evaluation for Competency to Proceed (Rule 20.01)_2023-07-13_20240430084758.pdf</v>
      </c>
      <c r="C1173" s="1" t="n">
        <v>6</v>
      </c>
      <c r="D1173" s="1" t="n">
        <v>2</v>
      </c>
      <c r="E1173" s="1" t="n">
        <v>2</v>
      </c>
      <c r="F1173" s="3" t="s">
        <v>27</v>
      </c>
      <c r="G1173" s="3" t="s">
        <v>4869</v>
      </c>
      <c r="H1173" s="1" t="s">
        <v>22</v>
      </c>
      <c r="I1173" s="1" t="n">
        <v>20240430084758</v>
      </c>
      <c r="J1173" s="3" t="s">
        <v>4870</v>
      </c>
      <c r="K1173" s="3" t="s">
        <v>4871</v>
      </c>
      <c r="L1173" s="3" t="s">
        <v>4872</v>
      </c>
      <c r="M1173" s="3" t="n">
        <v>889181</v>
      </c>
      <c r="N1173" s="3" t="s">
        <v>810</v>
      </c>
      <c r="O1173" s="1" t="n">
        <v>872795</v>
      </c>
      <c r="P1173" s="1" t="n">
        <v>98.16</v>
      </c>
      <c r="Q1173" s="1" t="s">
        <v>20</v>
      </c>
      <c r="R1173" s="1" t="s">
        <v>27</v>
      </c>
      <c r="S1173" s="1" t="s">
        <v>28</v>
      </c>
      <c r="T1173" s="1" t="s">
        <v>29</v>
      </c>
    </row>
    <row r="1174" customFormat="false" ht="18.7" hidden="false" customHeight="true" outlineLevel="0" collapsed="false">
      <c r="A1174" s="1" t="n">
        <v>1173</v>
      </c>
      <c r="B1174" s="6" t="str">
        <f aca="false">HYPERLINK("https://mncourtfraud.com/file/MCRO_27-CR-20-423_Order-Evaluation for Competency to Proceed (Rule 20.01)_2023-10-09_20240430084756.pdf","MCRO_27-CR-20-423_Order-Evaluation for Competency to Proceed (Rule 20.01)_2023-10-09_20240430084756.pdf")</f>
        <v>MCRO_27-CR-20-423_Order-Evaluation for Competency to Proceed (Rule 20.01)_2023-10-09_20240430084756.pdf</v>
      </c>
      <c r="C1174" s="1" t="n">
        <v>5</v>
      </c>
      <c r="D1174" s="1" t="n">
        <v>1</v>
      </c>
      <c r="E1174" s="1" t="n">
        <v>1</v>
      </c>
      <c r="F1174" s="3" t="s">
        <v>20</v>
      </c>
      <c r="G1174" s="3" t="s">
        <v>4873</v>
      </c>
      <c r="H1174" s="1" t="s">
        <v>22</v>
      </c>
      <c r="I1174" s="1" t="n">
        <v>20240430084756</v>
      </c>
      <c r="J1174" s="3" t="s">
        <v>4874</v>
      </c>
      <c r="K1174" s="3" t="s">
        <v>4875</v>
      </c>
      <c r="L1174" s="3" t="s">
        <v>957</v>
      </c>
      <c r="M1174" s="3" t="n">
        <v>806387</v>
      </c>
      <c r="N1174" s="3" t="s">
        <v>958</v>
      </c>
      <c r="O1174" s="1" t="n">
        <v>790001</v>
      </c>
      <c r="P1174" s="1" t="n">
        <v>97.97</v>
      </c>
      <c r="Q1174" s="1" t="s">
        <v>20</v>
      </c>
      <c r="R1174" s="1" t="s">
        <v>27</v>
      </c>
      <c r="S1174" s="1" t="s">
        <v>28</v>
      </c>
      <c r="T1174" s="1" t="s">
        <v>29</v>
      </c>
    </row>
    <row r="1175" customFormat="false" ht="18.7" hidden="false" customHeight="true" outlineLevel="0" collapsed="false">
      <c r="A1175" s="1" t="n">
        <v>1174</v>
      </c>
      <c r="B1175" s="6" t="str">
        <f aca="false">HYPERLINK("https://mncourtfraud.com/file/MCRO_27-CR-20-423_Order-Evaluation for Competency to Proceed (Rule 20.01)_2024-04-03_20240430084754.pdf","MCRO_27-CR-20-423_Order-Evaluation for Competency to Proceed (Rule 20.01)_2024-04-03_20240430084754.pdf")</f>
        <v>MCRO_27-CR-20-423_Order-Evaluation for Competency to Proceed (Rule 20.01)_2024-04-03_20240430084754.pdf</v>
      </c>
      <c r="C1175" s="1" t="n">
        <v>6</v>
      </c>
      <c r="D1175" s="1" t="n">
        <v>2</v>
      </c>
      <c r="E1175" s="1" t="n">
        <v>2</v>
      </c>
      <c r="F1175" s="3" t="s">
        <v>20</v>
      </c>
      <c r="G1175" s="3" t="s">
        <v>4876</v>
      </c>
      <c r="H1175" s="1" t="s">
        <v>22</v>
      </c>
      <c r="I1175" s="1" t="n">
        <v>20240430084754</v>
      </c>
      <c r="J1175" s="3" t="s">
        <v>4877</v>
      </c>
      <c r="K1175" s="3" t="s">
        <v>4878</v>
      </c>
      <c r="L1175" s="3" t="s">
        <v>4879</v>
      </c>
      <c r="M1175" s="3" t="n">
        <v>846574</v>
      </c>
      <c r="N1175" s="3" t="s">
        <v>963</v>
      </c>
      <c r="O1175" s="1" t="n">
        <v>830188</v>
      </c>
      <c r="P1175" s="1" t="n">
        <v>98.06</v>
      </c>
      <c r="Q1175" s="1" t="s">
        <v>20</v>
      </c>
      <c r="R1175" s="1" t="s">
        <v>27</v>
      </c>
      <c r="S1175" s="1" t="s">
        <v>28</v>
      </c>
      <c r="T1175" s="1" t="s">
        <v>29</v>
      </c>
    </row>
    <row r="1176" customFormat="false" ht="18.7" hidden="false" customHeight="true" outlineLevel="0" collapsed="false">
      <c r="A1176" s="1" t="n">
        <v>1175</v>
      </c>
      <c r="B1176" s="6" t="str">
        <f aca="false">HYPERLINK("https://mncourtfraud.com/file/MCRO_27-CR-20-423_Order-Other_2020-04-28_20240430084821.pdf","MCRO_27-CR-20-423_Order-Other_2020-04-28_20240430084821.pdf")</f>
        <v>MCRO_27-CR-20-423_Order-Other_2020-04-28_20240430084821.pdf</v>
      </c>
      <c r="C1176" s="1" t="n">
        <v>3</v>
      </c>
      <c r="D1176" s="1" t="n">
        <v>1</v>
      </c>
      <c r="E1176" s="1" t="n">
        <v>1</v>
      </c>
      <c r="F1176" s="3" t="s">
        <v>20</v>
      </c>
      <c r="G1176" s="3" t="s">
        <v>4880</v>
      </c>
      <c r="H1176" s="1" t="s">
        <v>22</v>
      </c>
      <c r="I1176" s="1" t="n">
        <v>20240430084821</v>
      </c>
      <c r="J1176" s="3" t="s">
        <v>4881</v>
      </c>
      <c r="K1176" s="3" t="s">
        <v>4882</v>
      </c>
      <c r="L1176" s="3" t="s">
        <v>4883</v>
      </c>
      <c r="M1176" s="3" t="n">
        <v>138682</v>
      </c>
      <c r="N1176" s="3" t="s">
        <v>854</v>
      </c>
      <c r="O1176" s="1" t="n">
        <v>122296</v>
      </c>
      <c r="P1176" s="1" t="n">
        <v>88.18</v>
      </c>
      <c r="Q1176" s="1" t="s">
        <v>20</v>
      </c>
      <c r="R1176" s="1" t="s">
        <v>27</v>
      </c>
      <c r="S1176" s="1" t="s">
        <v>28</v>
      </c>
      <c r="T1176" s="1" t="s">
        <v>29</v>
      </c>
    </row>
    <row r="1177" customFormat="false" ht="18.7" hidden="false" customHeight="true" outlineLevel="0" collapsed="false">
      <c r="A1177" s="1" t="n">
        <v>1176</v>
      </c>
      <c r="B1177" s="6" t="str">
        <f aca="false">HYPERLINK("https://mncourtfraud.com/file/MCRO_27-CR-20-423_Order-Other_2021-01-25_20240430084815.pdf","MCRO_27-CR-20-423_Order-Other_2021-01-25_20240430084815.pdf")</f>
        <v>MCRO_27-CR-20-423_Order-Other_2021-01-25_20240430084815.pdf</v>
      </c>
      <c r="C1177" s="1" t="n">
        <v>3</v>
      </c>
      <c r="D1177" s="1" t="n">
        <v>1</v>
      </c>
      <c r="E1177" s="1" t="n">
        <v>1</v>
      </c>
      <c r="F1177" s="3" t="s">
        <v>20</v>
      </c>
      <c r="G1177" s="3" t="s">
        <v>4884</v>
      </c>
      <c r="H1177" s="1" t="s">
        <v>22</v>
      </c>
      <c r="I1177" s="1" t="n">
        <v>20240430084815</v>
      </c>
      <c r="J1177" s="3" t="s">
        <v>4885</v>
      </c>
      <c r="K1177" s="3" t="s">
        <v>4886</v>
      </c>
      <c r="L1177" s="3" t="s">
        <v>4887</v>
      </c>
      <c r="M1177" s="3" t="n">
        <v>156611</v>
      </c>
      <c r="N1177" s="3" t="s">
        <v>984</v>
      </c>
      <c r="O1177" s="1" t="n">
        <v>140225</v>
      </c>
      <c r="P1177" s="1" t="n">
        <v>89.54</v>
      </c>
      <c r="Q1177" s="1" t="s">
        <v>20</v>
      </c>
      <c r="R1177" s="1" t="s">
        <v>27</v>
      </c>
      <c r="S1177" s="1" t="s">
        <v>28</v>
      </c>
      <c r="T1177" s="1" t="s">
        <v>29</v>
      </c>
    </row>
    <row r="1178" customFormat="false" ht="18.7" hidden="false" customHeight="true" outlineLevel="0" collapsed="false">
      <c r="A1178" s="1" t="n">
        <v>1177</v>
      </c>
      <c r="B1178" s="6" t="str">
        <f aca="false">HYPERLINK("https://mncourtfraud.com/file/MCRO_27-CR-20-423_Order-Other_2021-12-16_20240430084810.pdf","MCRO_27-CR-20-423_Order-Other_2021-12-16_20240430084810.pdf")</f>
        <v>MCRO_27-CR-20-423_Order-Other_2021-12-16_20240430084810.pdf</v>
      </c>
      <c r="C1178" s="1" t="n">
        <v>4</v>
      </c>
      <c r="D1178" s="1" t="n">
        <v>1</v>
      </c>
      <c r="E1178" s="1" t="n">
        <v>1</v>
      </c>
      <c r="F1178" s="3" t="s">
        <v>20</v>
      </c>
      <c r="G1178" s="3" t="s">
        <v>4888</v>
      </c>
      <c r="H1178" s="1" t="s">
        <v>22</v>
      </c>
      <c r="I1178" s="1" t="n">
        <v>20240430084810</v>
      </c>
      <c r="J1178" s="3" t="s">
        <v>4889</v>
      </c>
      <c r="K1178" s="3" t="s">
        <v>4890</v>
      </c>
      <c r="L1178" s="3" t="s">
        <v>4891</v>
      </c>
      <c r="M1178" s="3" t="n">
        <v>100419</v>
      </c>
      <c r="N1178" s="3" t="s">
        <v>614</v>
      </c>
      <c r="O1178" s="1" t="n">
        <v>84033</v>
      </c>
      <c r="P1178" s="1" t="n">
        <v>83.68</v>
      </c>
      <c r="Q1178" s="1" t="s">
        <v>20</v>
      </c>
      <c r="R1178" s="1" t="s">
        <v>27</v>
      </c>
      <c r="S1178" s="1" t="s">
        <v>28</v>
      </c>
      <c r="T1178" s="1" t="s">
        <v>29</v>
      </c>
    </row>
    <row r="1179" customFormat="false" ht="18.7" hidden="false" customHeight="true" outlineLevel="0" collapsed="false">
      <c r="A1179" s="1" t="n">
        <v>1178</v>
      </c>
      <c r="B1179" s="6" t="str">
        <f aca="false">HYPERLINK("https://mncourtfraud.com/file/MCRO_27-CR-20-423_Proposed Order or Document_2021-01-25_20240430084816.pdf","MCRO_27-CR-20-423_Proposed Order or Document_2021-01-25_20240430084816.pdf")</f>
        <v>MCRO_27-CR-20-423_Proposed Order or Document_2021-01-25_20240430084816.pdf</v>
      </c>
      <c r="C1179" s="1" t="n">
        <v>3</v>
      </c>
      <c r="D1179" s="1" t="n">
        <v>1</v>
      </c>
      <c r="E1179" s="1" t="n">
        <v>1</v>
      </c>
      <c r="F1179" s="3" t="s">
        <v>20</v>
      </c>
      <c r="G1179" s="3" t="s">
        <v>4892</v>
      </c>
      <c r="H1179" s="1" t="s">
        <v>22</v>
      </c>
      <c r="I1179" s="1" t="n">
        <v>20240430084816</v>
      </c>
      <c r="J1179" s="3" t="s">
        <v>4893</v>
      </c>
      <c r="K1179" s="3" t="s">
        <v>4894</v>
      </c>
      <c r="L1179" s="3" t="s">
        <v>4895</v>
      </c>
      <c r="M1179" s="3" t="n">
        <v>144068</v>
      </c>
      <c r="N1179" s="3" t="s">
        <v>64</v>
      </c>
      <c r="O1179" s="1" t="n">
        <v>127682</v>
      </c>
      <c r="P1179" s="1" t="n">
        <v>88.63</v>
      </c>
      <c r="Q1179" s="1" t="s">
        <v>20</v>
      </c>
      <c r="R1179" s="1" t="s">
        <v>27</v>
      </c>
      <c r="S1179" s="1" t="s">
        <v>28</v>
      </c>
      <c r="T1179" s="1" t="s">
        <v>29</v>
      </c>
    </row>
    <row r="1180" customFormat="false" ht="18.7" hidden="false" customHeight="true" outlineLevel="0" collapsed="false">
      <c r="A1180" s="1" t="n">
        <v>1179</v>
      </c>
      <c r="B1180" s="6" t="str">
        <f aca="false">HYPERLINK("https://mncourtfraud.com/file/MCRO_27-CR-20-423_Witness List_2021-12-06_20240430084811.pdf","MCRO_27-CR-20-423_Witness List_2021-12-06_20240430084811.pdf")</f>
        <v>MCRO_27-CR-20-423_Witness List_2021-12-06_20240430084811.pdf</v>
      </c>
      <c r="C1180" s="1" t="n">
        <v>4</v>
      </c>
      <c r="D1180" s="1" t="n">
        <v>1</v>
      </c>
      <c r="E1180" s="1" t="n">
        <v>1</v>
      </c>
      <c r="F1180" s="3" t="s">
        <v>20</v>
      </c>
      <c r="G1180" s="3" t="s">
        <v>4896</v>
      </c>
      <c r="H1180" s="1" t="s">
        <v>22</v>
      </c>
      <c r="I1180" s="1" t="n">
        <v>20240430084811</v>
      </c>
      <c r="J1180" s="3" t="s">
        <v>4897</v>
      </c>
      <c r="K1180" s="3" t="s">
        <v>4898</v>
      </c>
      <c r="L1180" s="3" t="s">
        <v>4899</v>
      </c>
      <c r="M1180" s="3" t="n">
        <v>252280</v>
      </c>
      <c r="N1180" s="3" t="s">
        <v>1273</v>
      </c>
      <c r="O1180" s="1" t="n">
        <v>235894</v>
      </c>
      <c r="P1180" s="1" t="n">
        <v>93.5</v>
      </c>
      <c r="Q1180" s="1" t="s">
        <v>20</v>
      </c>
      <c r="R1180" s="1" t="s">
        <v>27</v>
      </c>
      <c r="S1180" s="1" t="s">
        <v>28</v>
      </c>
      <c r="T1180" s="1" t="s">
        <v>29</v>
      </c>
    </row>
    <row r="1181" customFormat="false" ht="18.7" hidden="false" customHeight="true" outlineLevel="0" collapsed="false">
      <c r="A1181" s="1" t="n">
        <v>1180</v>
      </c>
      <c r="B1181" s="6" t="str">
        <f aca="false">HYPERLINK("https://mncourtfraud.com/file/MCRO_27-CR-20-423_Witness List_2022-09-29_20240430084802.pdf","MCRO_27-CR-20-423_Witness List_2022-09-29_20240430084802.pdf")</f>
        <v>MCRO_27-CR-20-423_Witness List_2022-09-29_20240430084802.pdf</v>
      </c>
      <c r="C1181" s="1" t="n">
        <v>4</v>
      </c>
      <c r="D1181" s="1" t="n">
        <v>1</v>
      </c>
      <c r="E1181" s="1" t="n">
        <v>1</v>
      </c>
      <c r="F1181" s="3" t="s">
        <v>20</v>
      </c>
      <c r="G1181" s="3" t="s">
        <v>4900</v>
      </c>
      <c r="H1181" s="1" t="s">
        <v>22</v>
      </c>
      <c r="I1181" s="1" t="n">
        <v>20240430084802</v>
      </c>
      <c r="J1181" s="3" t="s">
        <v>4901</v>
      </c>
      <c r="K1181" s="3" t="s">
        <v>4902</v>
      </c>
      <c r="L1181" s="3" t="s">
        <v>4903</v>
      </c>
      <c r="M1181" s="3" t="n">
        <v>211274</v>
      </c>
      <c r="N1181" s="3" t="s">
        <v>1222</v>
      </c>
      <c r="O1181" s="1" t="n">
        <v>194888</v>
      </c>
      <c r="P1181" s="1" t="n">
        <v>92.24</v>
      </c>
      <c r="Q1181" s="1" t="s">
        <v>20</v>
      </c>
      <c r="R1181" s="1" t="s">
        <v>27</v>
      </c>
      <c r="S1181" s="1" t="s">
        <v>28</v>
      </c>
      <c r="T1181" s="1" t="s">
        <v>29</v>
      </c>
    </row>
    <row r="1182" customFormat="false" ht="18.7" hidden="false" customHeight="true" outlineLevel="0" collapsed="false">
      <c r="A1182" s="1" t="n">
        <v>1181</v>
      </c>
      <c r="B1182" s="6" t="str">
        <f aca="false">HYPERLINK("https://mncourtfraud.com/file/MCRO_27-CR-20-423_Witness List_2022-10-03_20240430084801.pdf","MCRO_27-CR-20-423_Witness List_2022-10-03_20240430084801.pdf")</f>
        <v>MCRO_27-CR-20-423_Witness List_2022-10-03_20240430084801.pdf</v>
      </c>
      <c r="C1182" s="1" t="n">
        <v>4</v>
      </c>
      <c r="D1182" s="1" t="n">
        <v>1</v>
      </c>
      <c r="E1182" s="1" t="n">
        <v>1</v>
      </c>
      <c r="F1182" s="3" t="s">
        <v>20</v>
      </c>
      <c r="G1182" s="3" t="s">
        <v>4904</v>
      </c>
      <c r="H1182" s="1" t="s">
        <v>22</v>
      </c>
      <c r="I1182" s="1" t="n">
        <v>20240430084801</v>
      </c>
      <c r="J1182" s="3" t="s">
        <v>4905</v>
      </c>
      <c r="K1182" s="3" t="s">
        <v>4906</v>
      </c>
      <c r="L1182" s="3" t="s">
        <v>4907</v>
      </c>
      <c r="M1182" s="3" t="n">
        <v>235025</v>
      </c>
      <c r="N1182" s="3" t="s">
        <v>74</v>
      </c>
      <c r="O1182" s="1" t="n">
        <v>218639</v>
      </c>
      <c r="P1182" s="1" t="n">
        <v>93.03</v>
      </c>
      <c r="Q1182" s="1" t="s">
        <v>20</v>
      </c>
      <c r="R1182" s="1" t="s">
        <v>27</v>
      </c>
      <c r="S1182" s="1" t="s">
        <v>28</v>
      </c>
      <c r="T1182" s="1" t="s">
        <v>29</v>
      </c>
    </row>
    <row r="1183" customFormat="false" ht="18.7" hidden="false" customHeight="true" outlineLevel="0" collapsed="false">
      <c r="A1183" s="1" t="n">
        <v>1182</v>
      </c>
      <c r="B1183" s="6" t="str">
        <f aca="false">HYPERLINK("https://mncourtfraud.com/file/MCRO_27-CR-20-6301_E-filed Comp-Order for Detention_2020-03-09_20240430085138.pdf","MCRO_27-CR-20-6301_E-filed Comp-Order for Detention_2020-03-09_20240430085138.pdf")</f>
        <v>MCRO_27-CR-20-6301_E-filed Comp-Order for Detention_2020-03-09_20240430085138.pdf</v>
      </c>
      <c r="C1183" s="1" t="n">
        <v>4</v>
      </c>
      <c r="D1183" s="1" t="n">
        <v>2</v>
      </c>
      <c r="E1183" s="1" t="n">
        <v>2</v>
      </c>
      <c r="F1183" s="3" t="s">
        <v>20</v>
      </c>
      <c r="G1183" s="3" t="s">
        <v>4908</v>
      </c>
      <c r="H1183" s="1" t="s">
        <v>22</v>
      </c>
      <c r="I1183" s="1" t="n">
        <v>20240430085138</v>
      </c>
      <c r="J1183" s="3" t="s">
        <v>4909</v>
      </c>
      <c r="K1183" s="3" t="s">
        <v>4910</v>
      </c>
      <c r="L1183" s="3" t="s">
        <v>4911</v>
      </c>
      <c r="M1183" s="3" t="n">
        <v>482323</v>
      </c>
      <c r="N1183" s="3" t="s">
        <v>4912</v>
      </c>
      <c r="O1183" s="1" t="n">
        <v>465937</v>
      </c>
      <c r="P1183" s="1" t="n">
        <v>96.6</v>
      </c>
      <c r="Q1183" s="1" t="s">
        <v>20</v>
      </c>
      <c r="R1183" s="1" t="s">
        <v>27</v>
      </c>
      <c r="S1183" s="1" t="s">
        <v>28</v>
      </c>
      <c r="T1183" s="1" t="s">
        <v>29</v>
      </c>
    </row>
    <row r="1184" customFormat="false" ht="18.7" hidden="false" customHeight="true" outlineLevel="0" collapsed="false">
      <c r="A1184" s="1" t="n">
        <v>1183</v>
      </c>
      <c r="B1184" s="6" t="str">
        <f aca="false">HYPERLINK("https://mncourtfraud.com/file/MCRO_27-CR-20-6301_Notice of Case Reassignment_2021-10-11_20240430085135.pdf","MCRO_27-CR-20-6301_Notice of Case Reassignment_2021-10-11_20240430085135.pdf")</f>
        <v>MCRO_27-CR-20-6301_Notice of Case Reassignment_2021-10-11_20240430085135.pdf</v>
      </c>
      <c r="C1184" s="1" t="n">
        <v>4</v>
      </c>
      <c r="D1184" s="1" t="n">
        <v>1</v>
      </c>
      <c r="E1184" s="1" t="n">
        <v>1</v>
      </c>
      <c r="F1184" s="3" t="s">
        <v>20</v>
      </c>
      <c r="G1184" s="3" t="s">
        <v>4913</v>
      </c>
      <c r="H1184" s="1" t="s">
        <v>22</v>
      </c>
      <c r="I1184" s="1" t="n">
        <v>20240430085135</v>
      </c>
      <c r="J1184" s="3" t="s">
        <v>4914</v>
      </c>
      <c r="K1184" s="3" t="s">
        <v>4915</v>
      </c>
      <c r="L1184" s="3" t="s">
        <v>4916</v>
      </c>
      <c r="M1184" s="3" t="n">
        <v>327434</v>
      </c>
      <c r="N1184" s="3" t="s">
        <v>456</v>
      </c>
      <c r="O1184" s="1" t="n">
        <v>311048</v>
      </c>
      <c r="P1184" s="1" t="n">
        <v>95</v>
      </c>
      <c r="Q1184" s="1" t="s">
        <v>20</v>
      </c>
      <c r="R1184" s="1" t="s">
        <v>27</v>
      </c>
      <c r="S1184" s="1" t="s">
        <v>28</v>
      </c>
      <c r="T1184" s="1" t="s">
        <v>29</v>
      </c>
    </row>
    <row r="1185" customFormat="false" ht="18.7" hidden="false" customHeight="true" outlineLevel="0" collapsed="false">
      <c r="A1185" s="1" t="n">
        <v>1184</v>
      </c>
      <c r="B1185" s="6" t="str">
        <f aca="false">HYPERLINK("https://mncourtfraud.com/file/MCRO_27-CR-20-6301_Notice of Case Reassignment_2022-03-11_20240430085134.pdf","MCRO_27-CR-20-6301_Notice of Case Reassignment_2022-03-11_20240430085134.pdf")</f>
        <v>MCRO_27-CR-20-6301_Notice of Case Reassignment_2022-03-11_20240430085134.pdf</v>
      </c>
      <c r="C1185" s="1" t="n">
        <v>4</v>
      </c>
      <c r="D1185" s="1" t="n">
        <v>1</v>
      </c>
      <c r="E1185" s="1" t="n">
        <v>1</v>
      </c>
      <c r="F1185" s="3" t="s">
        <v>20</v>
      </c>
      <c r="G1185" s="3" t="s">
        <v>4917</v>
      </c>
      <c r="H1185" s="1" t="s">
        <v>22</v>
      </c>
      <c r="I1185" s="1" t="n">
        <v>20240430085134</v>
      </c>
      <c r="J1185" s="3" t="s">
        <v>4918</v>
      </c>
      <c r="K1185" s="3" t="s">
        <v>4919</v>
      </c>
      <c r="L1185" s="3" t="s">
        <v>4920</v>
      </c>
      <c r="M1185" s="3" t="n">
        <v>315993</v>
      </c>
      <c r="N1185" s="3" t="s">
        <v>456</v>
      </c>
      <c r="O1185" s="1" t="n">
        <v>299607</v>
      </c>
      <c r="P1185" s="1" t="n">
        <v>94.81</v>
      </c>
      <c r="Q1185" s="1" t="s">
        <v>20</v>
      </c>
      <c r="R1185" s="1" t="s">
        <v>27</v>
      </c>
      <c r="S1185" s="1" t="s">
        <v>28</v>
      </c>
      <c r="T1185" s="1" t="s">
        <v>29</v>
      </c>
    </row>
    <row r="1186" customFormat="false" ht="18.7" hidden="false" customHeight="true" outlineLevel="0" collapsed="false">
      <c r="A1186" s="1" t="n">
        <v>1185</v>
      </c>
      <c r="B1186" s="6" t="str">
        <f aca="false">HYPERLINK("https://mncourtfraud.com/file/MCRO_27-CR-20-6301_Notice of Hearing_2020-03-10_20240430085137.pdf","MCRO_27-CR-20-6301_Notice of Hearing_2020-03-10_20240430085137.pdf")</f>
        <v>MCRO_27-CR-20-6301_Notice of Hearing_2020-03-10_20240430085137.pdf</v>
      </c>
      <c r="C1186" s="1" t="n">
        <v>4</v>
      </c>
      <c r="D1186" s="1" t="n">
        <v>1</v>
      </c>
      <c r="E1186" s="1" t="n">
        <v>1</v>
      </c>
      <c r="F1186" s="3" t="s">
        <v>20</v>
      </c>
      <c r="G1186" s="3" t="s">
        <v>4921</v>
      </c>
      <c r="H1186" s="1" t="s">
        <v>22</v>
      </c>
      <c r="I1186" s="1" t="n">
        <v>20240430085137</v>
      </c>
      <c r="J1186" s="3" t="s">
        <v>4922</v>
      </c>
      <c r="K1186" s="3" t="s">
        <v>4923</v>
      </c>
      <c r="L1186" s="3" t="s">
        <v>4924</v>
      </c>
      <c r="M1186" s="3" t="n">
        <v>117470</v>
      </c>
      <c r="N1186" s="3" t="s">
        <v>137</v>
      </c>
      <c r="O1186" s="1" t="n">
        <v>101084</v>
      </c>
      <c r="P1186" s="1" t="n">
        <v>86.05</v>
      </c>
      <c r="Q1186" s="1" t="s">
        <v>20</v>
      </c>
      <c r="R1186" s="1" t="s">
        <v>27</v>
      </c>
      <c r="S1186" s="1" t="s">
        <v>28</v>
      </c>
      <c r="T1186" s="1" t="s">
        <v>29</v>
      </c>
    </row>
    <row r="1187" customFormat="false" ht="18.7" hidden="false" customHeight="true" outlineLevel="0" collapsed="false">
      <c r="A1187" s="1" t="n">
        <v>1186</v>
      </c>
      <c r="B1187" s="6" t="str">
        <f aca="false">HYPERLINK("https://mncourtfraud.com/file/MCRO_27-CR-20-6301_Notice of Hearing_2023-06-05_20240430085132.pdf","MCRO_27-CR-20-6301_Notice of Hearing_2023-06-05_20240430085132.pdf")</f>
        <v>MCRO_27-CR-20-6301_Notice of Hearing_2023-06-05_20240430085132.pdf</v>
      </c>
      <c r="C1187" s="1" t="n">
        <v>4</v>
      </c>
      <c r="D1187" s="1" t="n">
        <v>1</v>
      </c>
      <c r="E1187" s="1" t="n">
        <v>1</v>
      </c>
      <c r="F1187" s="3" t="s">
        <v>20</v>
      </c>
      <c r="G1187" s="3" t="s">
        <v>4925</v>
      </c>
      <c r="H1187" s="1" t="s">
        <v>22</v>
      </c>
      <c r="I1187" s="1" t="n">
        <v>20240430085132</v>
      </c>
      <c r="J1187" s="3" t="s">
        <v>4926</v>
      </c>
      <c r="K1187" s="3" t="s">
        <v>4927</v>
      </c>
      <c r="L1187" s="3" t="s">
        <v>4928</v>
      </c>
      <c r="M1187" s="3" t="n">
        <v>865684</v>
      </c>
      <c r="N1187" s="3" t="s">
        <v>4929</v>
      </c>
      <c r="O1187" s="1" t="n">
        <v>849298</v>
      </c>
      <c r="P1187" s="1" t="n">
        <v>98.11</v>
      </c>
      <c r="Q1187" s="1" t="s">
        <v>20</v>
      </c>
      <c r="R1187" s="1" t="s">
        <v>27</v>
      </c>
      <c r="S1187" s="1" t="s">
        <v>28</v>
      </c>
      <c r="T1187" s="1" t="s">
        <v>29</v>
      </c>
    </row>
    <row r="1188" customFormat="false" ht="18.7" hidden="false" customHeight="true" outlineLevel="0" collapsed="false">
      <c r="A1188" s="1" t="n">
        <v>1187</v>
      </c>
      <c r="B1188" s="6" t="str">
        <f aca="false">HYPERLINK("https://mncourtfraud.com/file/MCRO_27-CR-20-6301_Order-Evaluation for Competency to Proceed (Rule 20.01)_2023-06-05_20240430085133.pdf","MCRO_27-CR-20-6301_Order-Evaluation for Competency to Proceed (Rule 20.01)_2023-06-05_20240430085133.pdf")</f>
        <v>MCRO_27-CR-20-6301_Order-Evaluation for Competency to Proceed (Rule 20.01)_2023-06-05_20240430085133.pdf</v>
      </c>
      <c r="C1188" s="1" t="n">
        <v>5</v>
      </c>
      <c r="D1188" s="1" t="n">
        <v>2</v>
      </c>
      <c r="E1188" s="1" t="n">
        <v>2</v>
      </c>
      <c r="F1188" s="3" t="s">
        <v>20</v>
      </c>
      <c r="G1188" s="3" t="s">
        <v>4930</v>
      </c>
      <c r="H1188" s="1" t="s">
        <v>22</v>
      </c>
      <c r="I1188" s="1" t="n">
        <v>20240430085133</v>
      </c>
      <c r="J1188" s="3" t="s">
        <v>4931</v>
      </c>
      <c r="K1188" s="3" t="s">
        <v>4932</v>
      </c>
      <c r="L1188" s="3" t="s">
        <v>4933</v>
      </c>
      <c r="M1188" s="3" t="n">
        <v>1035722</v>
      </c>
      <c r="N1188" s="3" t="s">
        <v>4934</v>
      </c>
      <c r="O1188" s="1" t="n">
        <v>1019336</v>
      </c>
      <c r="P1188" s="1" t="n">
        <v>98.42</v>
      </c>
      <c r="Q1188" s="1" t="s">
        <v>20</v>
      </c>
      <c r="R1188" s="1" t="s">
        <v>27</v>
      </c>
      <c r="S1188" s="1" t="s">
        <v>28</v>
      </c>
      <c r="T1188" s="1" t="s">
        <v>29</v>
      </c>
    </row>
    <row r="1189" customFormat="false" ht="18.7" hidden="false" customHeight="true" outlineLevel="0" collapsed="false">
      <c r="A1189" s="1" t="n">
        <v>1188</v>
      </c>
      <c r="B1189" s="6" t="str">
        <f aca="false">HYPERLINK("https://mncourtfraud.com/file/MCRO_27-CR-20-6301_Other Document_2020-03-13_20240430085136.pdf","MCRO_27-CR-20-6301_Other Document_2020-03-13_20240430085136.pdf")</f>
        <v>MCRO_27-CR-20-6301_Other Document_2020-03-13_20240430085136.pdf</v>
      </c>
      <c r="C1189" s="1" t="n">
        <v>3</v>
      </c>
      <c r="D1189" s="1" t="n">
        <v>1</v>
      </c>
      <c r="E1189" s="1" t="n">
        <v>1</v>
      </c>
      <c r="F1189" s="3" t="s">
        <v>20</v>
      </c>
      <c r="G1189" s="3" t="s">
        <v>4935</v>
      </c>
      <c r="H1189" s="1" t="s">
        <v>22</v>
      </c>
      <c r="I1189" s="1" t="n">
        <v>20240430085136</v>
      </c>
      <c r="J1189" s="3" t="s">
        <v>4936</v>
      </c>
      <c r="K1189" s="3" t="s">
        <v>4937</v>
      </c>
      <c r="L1189" s="3" t="s">
        <v>4938</v>
      </c>
      <c r="M1189" s="3" t="n">
        <v>242813</v>
      </c>
      <c r="N1189" s="3" t="s">
        <v>849</v>
      </c>
      <c r="O1189" s="1" t="n">
        <v>226427</v>
      </c>
      <c r="P1189" s="1" t="n">
        <v>93.25</v>
      </c>
      <c r="Q1189" s="1" t="s">
        <v>20</v>
      </c>
      <c r="R1189" s="1" t="s">
        <v>27</v>
      </c>
      <c r="S1189" s="1" t="s">
        <v>28</v>
      </c>
      <c r="T1189" s="1" t="s">
        <v>29</v>
      </c>
    </row>
    <row r="1190" customFormat="false" ht="18.7" hidden="false" customHeight="true" outlineLevel="0" collapsed="false">
      <c r="A1190" s="1" t="n">
        <v>1189</v>
      </c>
      <c r="B1190" s="6" t="str">
        <f aca="false">HYPERLINK("https://mncourtfraud.com/file/MCRO_27-CR-20-6517_Demand or Request for Discovery_2020-07-23_20240430085229.pdf","MCRO_27-CR-20-6517_Demand or Request for Discovery_2020-07-23_20240430085229.pdf")</f>
        <v>MCRO_27-CR-20-6517_Demand or Request for Discovery_2020-07-23_20240430085229.pdf</v>
      </c>
      <c r="C1190" s="1" t="n">
        <v>3</v>
      </c>
      <c r="D1190" s="1" t="n">
        <v>1</v>
      </c>
      <c r="E1190" s="1" t="n">
        <v>1</v>
      </c>
      <c r="F1190" s="3" t="s">
        <v>20</v>
      </c>
      <c r="G1190" s="3" t="s">
        <v>4939</v>
      </c>
      <c r="H1190" s="1" t="s">
        <v>22</v>
      </c>
      <c r="I1190" s="1" t="n">
        <v>20240430085229</v>
      </c>
      <c r="J1190" s="3" t="s">
        <v>4940</v>
      </c>
      <c r="K1190" s="3" t="s">
        <v>4941</v>
      </c>
      <c r="L1190" s="3" t="s">
        <v>4942</v>
      </c>
      <c r="M1190" s="3" t="n">
        <v>400425</v>
      </c>
      <c r="N1190" s="3" t="s">
        <v>4943</v>
      </c>
      <c r="O1190" s="1" t="n">
        <v>384039</v>
      </c>
      <c r="P1190" s="1" t="n">
        <v>95.91</v>
      </c>
      <c r="Q1190" s="1" t="s">
        <v>20</v>
      </c>
      <c r="R1190" s="1" t="s">
        <v>27</v>
      </c>
      <c r="S1190" s="1" t="s">
        <v>28</v>
      </c>
      <c r="T1190" s="1" t="s">
        <v>29</v>
      </c>
    </row>
    <row r="1191" customFormat="false" ht="18.7" hidden="false" customHeight="true" outlineLevel="0" collapsed="false">
      <c r="A1191" s="1" t="n">
        <v>1190</v>
      </c>
      <c r="B1191" s="6" t="str">
        <f aca="false">HYPERLINK("https://mncourtfraud.com/file/MCRO_27-CR-20-6517_Dismissal by Prosecuting Attorney_2023-03-16_20240430085207.pdf","MCRO_27-CR-20-6517_Dismissal by Prosecuting Attorney_2023-03-16_20240430085207.pdf")</f>
        <v>MCRO_27-CR-20-6517_Dismissal by Prosecuting Attorney_2023-03-16_20240430085207.pdf</v>
      </c>
      <c r="C1191" s="1" t="n">
        <v>3</v>
      </c>
      <c r="D1191" s="1" t="n">
        <v>1</v>
      </c>
      <c r="E1191" s="1" t="n">
        <v>1</v>
      </c>
      <c r="F1191" s="3" t="s">
        <v>20</v>
      </c>
      <c r="G1191" s="3" t="s">
        <v>4944</v>
      </c>
      <c r="H1191" s="1" t="s">
        <v>22</v>
      </c>
      <c r="I1191" s="1" t="n">
        <v>20240430085207</v>
      </c>
      <c r="J1191" s="3" t="s">
        <v>4945</v>
      </c>
      <c r="K1191" s="3" t="s">
        <v>4946</v>
      </c>
      <c r="L1191" s="3" t="s">
        <v>4947</v>
      </c>
      <c r="M1191" s="3" t="n">
        <v>111402</v>
      </c>
      <c r="N1191" s="3" t="s">
        <v>4948</v>
      </c>
      <c r="O1191" s="1" t="n">
        <v>95016</v>
      </c>
      <c r="P1191" s="1" t="n">
        <v>85.29</v>
      </c>
      <c r="Q1191" s="1" t="s">
        <v>20</v>
      </c>
      <c r="R1191" s="1" t="s">
        <v>27</v>
      </c>
      <c r="S1191" s="1" t="s">
        <v>28</v>
      </c>
      <c r="T1191" s="1" t="s">
        <v>29</v>
      </c>
    </row>
    <row r="1192" customFormat="false" ht="18.7" hidden="false" customHeight="true" outlineLevel="0" collapsed="false">
      <c r="A1192" s="1" t="n">
        <v>1191</v>
      </c>
      <c r="B1192" s="6" t="str">
        <f aca="false">HYPERLINK("https://mncourtfraud.com/file/MCRO_27-CR-20-6517_E-filed Comp-Summons_2020-03-11_20240430085239.pdf","MCRO_27-CR-20-6517_E-filed Comp-Summons_2020-03-11_20240430085239.pdf")</f>
        <v>MCRO_27-CR-20-6517_E-filed Comp-Summons_2020-03-11_20240430085239.pdf</v>
      </c>
      <c r="C1192" s="1" t="n">
        <v>4</v>
      </c>
      <c r="D1192" s="1" t="n">
        <v>2</v>
      </c>
      <c r="E1192" s="1" t="n">
        <v>2</v>
      </c>
      <c r="F1192" s="3" t="s">
        <v>20</v>
      </c>
      <c r="G1192" s="3" t="s">
        <v>4949</v>
      </c>
      <c r="H1192" s="1" t="s">
        <v>22</v>
      </c>
      <c r="I1192" s="1" t="n">
        <v>20240430085239</v>
      </c>
      <c r="J1192" s="3" t="s">
        <v>4950</v>
      </c>
      <c r="K1192" s="3" t="s">
        <v>4951</v>
      </c>
      <c r="L1192" s="3" t="s">
        <v>4952</v>
      </c>
      <c r="M1192" s="3" t="n">
        <v>483450</v>
      </c>
      <c r="N1192" s="3" t="s">
        <v>877</v>
      </c>
      <c r="O1192" s="1" t="n">
        <v>467064</v>
      </c>
      <c r="P1192" s="1" t="n">
        <v>96.61</v>
      </c>
      <c r="Q1192" s="1" t="s">
        <v>20</v>
      </c>
      <c r="R1192" s="1" t="s">
        <v>27</v>
      </c>
      <c r="S1192" s="1" t="s">
        <v>28</v>
      </c>
      <c r="T1192" s="1" t="s">
        <v>29</v>
      </c>
    </row>
    <row r="1193" customFormat="false" ht="18.7" hidden="false" customHeight="true" outlineLevel="0" collapsed="false">
      <c r="A1193" s="1" t="n">
        <v>1192</v>
      </c>
      <c r="B1193" s="6" t="str">
        <f aca="false">HYPERLINK("https://mncourtfraud.com/file/MCRO_27-CR-20-6517_Finding of Incompetency and Order_2023-03-08_20240430085208.pdf","MCRO_27-CR-20-6517_Finding of Incompetency and Order_2023-03-08_20240430085208.pdf")</f>
        <v>MCRO_27-CR-20-6517_Finding of Incompetency and Order_2023-03-08_20240430085208.pdf</v>
      </c>
      <c r="C1193" s="1" t="n">
        <v>8</v>
      </c>
      <c r="D1193" s="1" t="n">
        <v>2</v>
      </c>
      <c r="E1193" s="1" t="n">
        <v>2</v>
      </c>
      <c r="F1193" s="3" t="s">
        <v>27</v>
      </c>
      <c r="G1193" s="3" t="s">
        <v>4953</v>
      </c>
      <c r="H1193" s="1" t="s">
        <v>22</v>
      </c>
      <c r="I1193" s="1" t="n">
        <v>20240430085208</v>
      </c>
      <c r="J1193" s="3" t="s">
        <v>4954</v>
      </c>
      <c r="K1193" s="3" t="s">
        <v>4955</v>
      </c>
      <c r="L1193" s="3" t="s">
        <v>4956</v>
      </c>
      <c r="M1193" s="3" t="n">
        <v>995739</v>
      </c>
      <c r="N1193" s="3" t="s">
        <v>4099</v>
      </c>
      <c r="O1193" s="1" t="n">
        <v>979353</v>
      </c>
      <c r="P1193" s="1" t="n">
        <v>98.35</v>
      </c>
      <c r="Q1193" s="1" t="s">
        <v>20</v>
      </c>
      <c r="R1193" s="1" t="s">
        <v>27</v>
      </c>
      <c r="S1193" s="1" t="s">
        <v>28</v>
      </c>
      <c r="T1193" s="1" t="s">
        <v>29</v>
      </c>
    </row>
    <row r="1194" customFormat="false" ht="18.7" hidden="false" customHeight="true" outlineLevel="0" collapsed="false">
      <c r="A1194" s="1" t="n">
        <v>1193</v>
      </c>
      <c r="B1194" s="6" t="str">
        <f aca="false">HYPERLINK("https://mncourtfraud.com/file/MCRO_27-CR-20-6517_Findings and Order_2021-08-24_20240430085217.pdf","MCRO_27-CR-20-6517_Findings and Order_2021-08-24_20240430085217.pdf")</f>
        <v>MCRO_27-CR-20-6517_Findings and Order_2021-08-24_20240430085217.pdf</v>
      </c>
      <c r="C1194" s="1" t="n">
        <v>4</v>
      </c>
      <c r="D1194" s="1" t="n">
        <v>2</v>
      </c>
      <c r="E1194" s="1" t="n">
        <v>2</v>
      </c>
      <c r="F1194" s="3" t="s">
        <v>20</v>
      </c>
      <c r="G1194" s="3" t="s">
        <v>4957</v>
      </c>
      <c r="H1194" s="1" t="s">
        <v>22</v>
      </c>
      <c r="I1194" s="1" t="n">
        <v>20240430085217</v>
      </c>
      <c r="J1194" s="3" t="s">
        <v>4958</v>
      </c>
      <c r="K1194" s="3" t="s">
        <v>4959</v>
      </c>
      <c r="L1194" s="3" t="s">
        <v>4960</v>
      </c>
      <c r="M1194" s="3" t="n">
        <v>313806</v>
      </c>
      <c r="N1194" s="3" t="s">
        <v>4961</v>
      </c>
      <c r="O1194" s="1" t="n">
        <v>297420</v>
      </c>
      <c r="P1194" s="1" t="n">
        <v>94.78</v>
      </c>
      <c r="Q1194" s="1" t="s">
        <v>20</v>
      </c>
      <c r="R1194" s="1" t="s">
        <v>27</v>
      </c>
      <c r="S1194" s="1" t="s">
        <v>28</v>
      </c>
      <c r="T1194" s="1" t="s">
        <v>29</v>
      </c>
    </row>
    <row r="1195" customFormat="false" ht="18.7" hidden="false" customHeight="true" outlineLevel="0" collapsed="false">
      <c r="A1195" s="1" t="n">
        <v>1194</v>
      </c>
      <c r="B1195" s="6" t="str">
        <f aca="false">HYPERLINK("https://mncourtfraud.com/file/MCRO_27-CR-20-6517_Findings and Order_2022-09-06_20240430085210.pdf","MCRO_27-CR-20-6517_Findings and Order_2022-09-06_20240430085210.pdf")</f>
        <v>MCRO_27-CR-20-6517_Findings and Order_2022-09-06_20240430085210.pdf</v>
      </c>
      <c r="C1195" s="1" t="n">
        <v>4</v>
      </c>
      <c r="D1195" s="1" t="n">
        <v>2</v>
      </c>
      <c r="E1195" s="1" t="n">
        <v>2</v>
      </c>
      <c r="F1195" s="3" t="s">
        <v>20</v>
      </c>
      <c r="G1195" s="3" t="s">
        <v>4962</v>
      </c>
      <c r="H1195" s="1" t="s">
        <v>22</v>
      </c>
      <c r="I1195" s="1" t="n">
        <v>20240430085210</v>
      </c>
      <c r="J1195" s="3" t="s">
        <v>4963</v>
      </c>
      <c r="K1195" s="3" t="s">
        <v>4964</v>
      </c>
      <c r="L1195" s="3" t="s">
        <v>4965</v>
      </c>
      <c r="M1195" s="3" t="n">
        <v>300746</v>
      </c>
      <c r="N1195" s="3" t="s">
        <v>3832</v>
      </c>
      <c r="O1195" s="1" t="n">
        <v>284360</v>
      </c>
      <c r="P1195" s="1" t="n">
        <v>94.55</v>
      </c>
      <c r="Q1195" s="1" t="s">
        <v>20</v>
      </c>
      <c r="R1195" s="1" t="s">
        <v>27</v>
      </c>
      <c r="S1195" s="1" t="s">
        <v>28</v>
      </c>
      <c r="T1195" s="1" t="s">
        <v>29</v>
      </c>
    </row>
    <row r="1196" customFormat="false" ht="18.7" hidden="false" customHeight="true" outlineLevel="0" collapsed="false">
      <c r="A1196" s="1" t="n">
        <v>1195</v>
      </c>
      <c r="B1196" s="6" t="str">
        <f aca="false">HYPERLINK("https://mncourtfraud.com/file/MCRO_27-CR-20-6517_Law Enforcement Notice of Release and Appearance_2020-10-19_20240430085228.pdf","MCRO_27-CR-20-6517_Law Enforcement Notice of Release and Appearance_2020-10-19_20240430085228.pdf")</f>
        <v>MCRO_27-CR-20-6517_Law Enforcement Notice of Release and Appearance_2020-10-19_20240430085228.pdf</v>
      </c>
      <c r="C1196" s="1" t="n">
        <v>4</v>
      </c>
      <c r="D1196" s="1" t="n">
        <v>1</v>
      </c>
      <c r="E1196" s="1" t="n">
        <v>1</v>
      </c>
      <c r="F1196" s="3" t="s">
        <v>20</v>
      </c>
      <c r="G1196" s="3" t="s">
        <v>4966</v>
      </c>
      <c r="H1196" s="1" t="s">
        <v>22</v>
      </c>
      <c r="I1196" s="1" t="n">
        <v>20240430085228</v>
      </c>
      <c r="J1196" s="3" t="s">
        <v>4967</v>
      </c>
      <c r="K1196" s="3" t="s">
        <v>4968</v>
      </c>
      <c r="L1196" s="3" t="s">
        <v>4969</v>
      </c>
      <c r="M1196" s="3" t="n">
        <v>1473355</v>
      </c>
      <c r="N1196" s="3" t="s">
        <v>3225</v>
      </c>
      <c r="O1196" s="1" t="n">
        <v>1456969</v>
      </c>
      <c r="P1196" s="1" t="n">
        <v>98.89</v>
      </c>
      <c r="Q1196" s="1" t="s">
        <v>20</v>
      </c>
      <c r="R1196" s="1" t="s">
        <v>27</v>
      </c>
      <c r="S1196" s="1" t="s">
        <v>28</v>
      </c>
      <c r="T1196" s="1" t="s">
        <v>29</v>
      </c>
    </row>
    <row r="1197" customFormat="false" ht="18.7" hidden="false" customHeight="true" outlineLevel="0" collapsed="false">
      <c r="A1197" s="1" t="n">
        <v>1196</v>
      </c>
      <c r="B1197" s="6" t="str">
        <f aca="false">HYPERLINK("https://mncourtfraud.com/file/MCRO_27-CR-20-6517_Notice of Case Reassignment_2021-10-11_20240430085214.pdf","MCRO_27-CR-20-6517_Notice of Case Reassignment_2021-10-11_20240430085214.pdf")</f>
        <v>MCRO_27-CR-20-6517_Notice of Case Reassignment_2021-10-11_20240430085214.pdf</v>
      </c>
      <c r="C1197" s="1" t="n">
        <v>4</v>
      </c>
      <c r="D1197" s="1" t="n">
        <v>1</v>
      </c>
      <c r="E1197" s="1" t="n">
        <v>1</v>
      </c>
      <c r="F1197" s="3" t="s">
        <v>20</v>
      </c>
      <c r="G1197" s="3" t="s">
        <v>4970</v>
      </c>
      <c r="H1197" s="1" t="s">
        <v>22</v>
      </c>
      <c r="I1197" s="1" t="n">
        <v>20240430085214</v>
      </c>
      <c r="J1197" s="3" t="s">
        <v>4971</v>
      </c>
      <c r="K1197" s="3" t="s">
        <v>4972</v>
      </c>
      <c r="L1197" s="3" t="s">
        <v>4973</v>
      </c>
      <c r="M1197" s="3" t="n">
        <v>322068</v>
      </c>
      <c r="N1197" s="3" t="s">
        <v>456</v>
      </c>
      <c r="O1197" s="1" t="n">
        <v>305682</v>
      </c>
      <c r="P1197" s="1" t="n">
        <v>94.91</v>
      </c>
      <c r="Q1197" s="1" t="s">
        <v>20</v>
      </c>
      <c r="R1197" s="1" t="s">
        <v>27</v>
      </c>
      <c r="S1197" s="1" t="s">
        <v>28</v>
      </c>
      <c r="T1197" s="1" t="s">
        <v>29</v>
      </c>
    </row>
    <row r="1198" customFormat="false" ht="18.7" hidden="false" customHeight="true" outlineLevel="0" collapsed="false">
      <c r="A1198" s="1" t="n">
        <v>1197</v>
      </c>
      <c r="B1198" s="6" t="str">
        <f aca="false">HYPERLINK("https://mncourtfraud.com/file/MCRO_27-CR-20-6517_Notice of Hearing_2020-06-10_20240430085231.pdf","MCRO_27-CR-20-6517_Notice of Hearing_2020-06-10_20240430085231.pdf")</f>
        <v>MCRO_27-CR-20-6517_Notice of Hearing_2020-06-10_20240430085231.pdf</v>
      </c>
      <c r="C1198" s="1" t="n">
        <v>4</v>
      </c>
      <c r="D1198" s="1" t="n">
        <v>1</v>
      </c>
      <c r="E1198" s="1" t="n">
        <v>1</v>
      </c>
      <c r="F1198" s="3" t="s">
        <v>20</v>
      </c>
      <c r="G1198" s="3" t="s">
        <v>4974</v>
      </c>
      <c r="H1198" s="1" t="s">
        <v>22</v>
      </c>
      <c r="I1198" s="1" t="n">
        <v>20240430085231</v>
      </c>
      <c r="J1198" s="3" t="s">
        <v>4975</v>
      </c>
      <c r="K1198" s="3" t="s">
        <v>4976</v>
      </c>
      <c r="L1198" s="3" t="s">
        <v>4977</v>
      </c>
      <c r="M1198" s="3" t="n">
        <v>95721</v>
      </c>
      <c r="N1198" s="3" t="s">
        <v>137</v>
      </c>
      <c r="O1198" s="1" t="n">
        <v>79335</v>
      </c>
      <c r="P1198" s="1" t="n">
        <v>82.88</v>
      </c>
      <c r="Q1198" s="1" t="s">
        <v>20</v>
      </c>
      <c r="R1198" s="1" t="s">
        <v>27</v>
      </c>
      <c r="S1198" s="1" t="s">
        <v>28</v>
      </c>
      <c r="T1198" s="1" t="s">
        <v>29</v>
      </c>
    </row>
    <row r="1199" customFormat="false" ht="18.7" hidden="false" customHeight="true" outlineLevel="0" collapsed="false">
      <c r="A1199" s="1" t="n">
        <v>1198</v>
      </c>
      <c r="B1199" s="6" t="str">
        <f aca="false">HYPERLINK("https://mncourtfraud.com/file/MCRO_27-CR-20-6517_Notice of Hearing_2020-07-15_20240430085230.pdf","MCRO_27-CR-20-6517_Notice of Hearing_2020-07-15_20240430085230.pdf")</f>
        <v>MCRO_27-CR-20-6517_Notice of Hearing_2020-07-15_20240430085230.pdf</v>
      </c>
      <c r="C1199" s="1" t="n">
        <v>4</v>
      </c>
      <c r="D1199" s="1" t="n">
        <v>1</v>
      </c>
      <c r="E1199" s="1" t="n">
        <v>1</v>
      </c>
      <c r="F1199" s="3" t="s">
        <v>20</v>
      </c>
      <c r="G1199" s="3" t="s">
        <v>4978</v>
      </c>
      <c r="H1199" s="1" t="s">
        <v>22</v>
      </c>
      <c r="I1199" s="1" t="n">
        <v>20240430085230</v>
      </c>
      <c r="J1199" s="3" t="s">
        <v>4979</v>
      </c>
      <c r="K1199" s="3" t="s">
        <v>4980</v>
      </c>
      <c r="L1199" s="3" t="s">
        <v>4981</v>
      </c>
      <c r="M1199" s="3" t="n">
        <v>598219</v>
      </c>
      <c r="N1199" s="3" t="s">
        <v>137</v>
      </c>
      <c r="O1199" s="1" t="n">
        <v>581833</v>
      </c>
      <c r="P1199" s="1" t="n">
        <v>97.26</v>
      </c>
      <c r="Q1199" s="1" t="s">
        <v>20</v>
      </c>
      <c r="R1199" s="1" t="s">
        <v>27</v>
      </c>
      <c r="S1199" s="1" t="s">
        <v>28</v>
      </c>
      <c r="T1199" s="1" t="s">
        <v>29</v>
      </c>
    </row>
    <row r="1200" customFormat="false" ht="18.7" hidden="false" customHeight="true" outlineLevel="0" collapsed="false">
      <c r="A1200" s="1" t="n">
        <v>1199</v>
      </c>
      <c r="B1200" s="6" t="str">
        <f aca="false">HYPERLINK("https://mncourtfraud.com/file/MCRO_27-CR-20-6517_Notice of Hearing_2020-11-13_20240430085225.pdf","MCRO_27-CR-20-6517_Notice of Hearing_2020-11-13_20240430085225.pdf")</f>
        <v>MCRO_27-CR-20-6517_Notice of Hearing_2020-11-13_20240430085225.pdf</v>
      </c>
      <c r="C1200" s="1" t="n">
        <v>4</v>
      </c>
      <c r="D1200" s="1" t="n">
        <v>1</v>
      </c>
      <c r="E1200" s="1" t="n">
        <v>1</v>
      </c>
      <c r="F1200" s="3" t="s">
        <v>20</v>
      </c>
      <c r="G1200" s="3" t="s">
        <v>4982</v>
      </c>
      <c r="H1200" s="1" t="s">
        <v>22</v>
      </c>
      <c r="I1200" s="1" t="n">
        <v>20240430085225</v>
      </c>
      <c r="J1200" s="3" t="s">
        <v>4983</v>
      </c>
      <c r="K1200" s="3" t="s">
        <v>4984</v>
      </c>
      <c r="L1200" s="3" t="s">
        <v>4985</v>
      </c>
      <c r="M1200" s="3" t="n">
        <v>106364</v>
      </c>
      <c r="N1200" s="3" t="s">
        <v>456</v>
      </c>
      <c r="O1200" s="1" t="n">
        <v>89978</v>
      </c>
      <c r="P1200" s="1" t="n">
        <v>84.59</v>
      </c>
      <c r="Q1200" s="1" t="s">
        <v>20</v>
      </c>
      <c r="R1200" s="1" t="s">
        <v>27</v>
      </c>
      <c r="S1200" s="1" t="s">
        <v>28</v>
      </c>
      <c r="T1200" s="1" t="s">
        <v>29</v>
      </c>
    </row>
    <row r="1201" customFormat="false" ht="18.7" hidden="false" customHeight="true" outlineLevel="0" collapsed="false">
      <c r="A1201" s="1" t="n">
        <v>1200</v>
      </c>
      <c r="B1201" s="6" t="str">
        <f aca="false">HYPERLINK("https://mncourtfraud.com/file/MCRO_27-CR-20-6517_Notice of Hearing_2020-12-23_20240430085222.pdf","MCRO_27-CR-20-6517_Notice of Hearing_2020-12-23_20240430085222.pdf")</f>
        <v>MCRO_27-CR-20-6517_Notice of Hearing_2020-12-23_20240430085222.pdf</v>
      </c>
      <c r="C1201" s="1" t="n">
        <v>4</v>
      </c>
      <c r="D1201" s="1" t="n">
        <v>1</v>
      </c>
      <c r="E1201" s="1" t="n">
        <v>1</v>
      </c>
      <c r="F1201" s="3" t="s">
        <v>20</v>
      </c>
      <c r="G1201" s="3" t="s">
        <v>4986</v>
      </c>
      <c r="H1201" s="1" t="s">
        <v>22</v>
      </c>
      <c r="I1201" s="1" t="n">
        <v>20240430085222</v>
      </c>
      <c r="J1201" s="3" t="s">
        <v>4987</v>
      </c>
      <c r="K1201" s="3" t="s">
        <v>4988</v>
      </c>
      <c r="L1201" s="3" t="s">
        <v>4989</v>
      </c>
      <c r="M1201" s="3" t="n">
        <v>108519</v>
      </c>
      <c r="N1201" s="3" t="s">
        <v>456</v>
      </c>
      <c r="O1201" s="1" t="n">
        <v>92133</v>
      </c>
      <c r="P1201" s="1" t="n">
        <v>84.9</v>
      </c>
      <c r="Q1201" s="1" t="s">
        <v>20</v>
      </c>
      <c r="R1201" s="1" t="s">
        <v>27</v>
      </c>
      <c r="S1201" s="1" t="s">
        <v>28</v>
      </c>
      <c r="T1201" s="1" t="s">
        <v>29</v>
      </c>
    </row>
    <row r="1202" customFormat="false" ht="18.7" hidden="false" customHeight="true" outlineLevel="0" collapsed="false">
      <c r="A1202" s="1" t="n">
        <v>1201</v>
      </c>
      <c r="B1202" s="6" t="str">
        <f aca="false">HYPERLINK("https://mncourtfraud.com/file/MCRO_27-CR-20-6517_Notice of Hearing_2021-08-27_20240430085215.pdf","MCRO_27-CR-20-6517_Notice of Hearing_2021-08-27_20240430085215.pdf")</f>
        <v>MCRO_27-CR-20-6517_Notice of Hearing_2021-08-27_20240430085215.pdf</v>
      </c>
      <c r="C1202" s="1" t="n">
        <v>4</v>
      </c>
      <c r="D1202" s="1" t="n">
        <v>1</v>
      </c>
      <c r="E1202" s="1" t="n">
        <v>1</v>
      </c>
      <c r="F1202" s="3" t="s">
        <v>20</v>
      </c>
      <c r="G1202" s="3" t="s">
        <v>4990</v>
      </c>
      <c r="H1202" s="1" t="s">
        <v>22</v>
      </c>
      <c r="I1202" s="1" t="n">
        <v>20240430085215</v>
      </c>
      <c r="J1202" s="3" t="s">
        <v>4991</v>
      </c>
      <c r="K1202" s="3" t="s">
        <v>4992</v>
      </c>
      <c r="L1202" s="3" t="s">
        <v>4993</v>
      </c>
      <c r="M1202" s="3" t="n">
        <v>96743</v>
      </c>
      <c r="N1202" s="3" t="s">
        <v>456</v>
      </c>
      <c r="O1202" s="1" t="n">
        <v>80357</v>
      </c>
      <c r="P1202" s="1" t="n">
        <v>83.06</v>
      </c>
      <c r="Q1202" s="1" t="s">
        <v>20</v>
      </c>
      <c r="R1202" s="1" t="s">
        <v>27</v>
      </c>
      <c r="S1202" s="1" t="s">
        <v>28</v>
      </c>
      <c r="T1202" s="1" t="s">
        <v>29</v>
      </c>
    </row>
    <row r="1203" customFormat="false" ht="18.7" hidden="false" customHeight="true" outlineLevel="0" collapsed="false">
      <c r="A1203" s="1" t="n">
        <v>1202</v>
      </c>
      <c r="B1203" s="6" t="str">
        <f aca="false">HYPERLINK("https://mncourtfraud.com/file/MCRO_27-CR-20-6517_Notice of Remote Hearing with Instructions_2020-12-14_20240430085224.pdf","MCRO_27-CR-20-6517_Notice of Remote Hearing with Instructions_2020-12-14_20240430085224.pdf")</f>
        <v>MCRO_27-CR-20-6517_Notice of Remote Hearing with Instructions_2020-12-14_20240430085224.pdf</v>
      </c>
      <c r="C1203" s="1" t="n">
        <v>4</v>
      </c>
      <c r="D1203" s="1" t="n">
        <v>1</v>
      </c>
      <c r="E1203" s="1" t="n">
        <v>1</v>
      </c>
      <c r="F1203" s="3" t="s">
        <v>20</v>
      </c>
      <c r="G1203" s="3" t="s">
        <v>4994</v>
      </c>
      <c r="H1203" s="1" t="s">
        <v>22</v>
      </c>
      <c r="I1203" s="1" t="n">
        <v>20240430085224</v>
      </c>
      <c r="J1203" s="3" t="s">
        <v>4995</v>
      </c>
      <c r="K1203" s="3" t="s">
        <v>4996</v>
      </c>
      <c r="L1203" s="3" t="s">
        <v>4997</v>
      </c>
      <c r="M1203" s="3" t="n">
        <v>793032</v>
      </c>
      <c r="N1203" s="3" t="s">
        <v>1065</v>
      </c>
      <c r="O1203" s="1" t="n">
        <v>776646</v>
      </c>
      <c r="P1203" s="1" t="n">
        <v>97.93</v>
      </c>
      <c r="Q1203" s="1" t="s">
        <v>20</v>
      </c>
      <c r="R1203" s="1" t="s">
        <v>27</v>
      </c>
      <c r="S1203" s="1" t="s">
        <v>28</v>
      </c>
      <c r="T1203" s="1" t="s">
        <v>29</v>
      </c>
    </row>
    <row r="1204" customFormat="false" ht="18.7" hidden="false" customHeight="true" outlineLevel="0" collapsed="false">
      <c r="A1204" s="1" t="n">
        <v>1203</v>
      </c>
      <c r="B1204" s="6" t="str">
        <f aca="false">HYPERLINK("https://mncourtfraud.com/file/MCRO_27-CR-20-6517_Notice of Remote Hearing with Instructions_2021-05-05_20240430085219.pdf","MCRO_27-CR-20-6517_Notice of Remote Hearing with Instructions_2021-05-05_20240430085219.pdf")</f>
        <v>MCRO_27-CR-20-6517_Notice of Remote Hearing with Instructions_2021-05-05_20240430085219.pdf</v>
      </c>
      <c r="C1204" s="1" t="n">
        <v>3</v>
      </c>
      <c r="D1204" s="1" t="n">
        <v>1</v>
      </c>
      <c r="E1204" s="1" t="n">
        <v>1</v>
      </c>
      <c r="F1204" s="3" t="s">
        <v>20</v>
      </c>
      <c r="G1204" s="3" t="s">
        <v>4998</v>
      </c>
      <c r="H1204" s="1" t="s">
        <v>22</v>
      </c>
      <c r="I1204" s="1" t="n">
        <v>20240430085219</v>
      </c>
      <c r="J1204" s="3" t="s">
        <v>4999</v>
      </c>
      <c r="K1204" s="3" t="s">
        <v>5000</v>
      </c>
      <c r="L1204" s="3" t="s">
        <v>5001</v>
      </c>
      <c r="M1204" s="3" t="n">
        <v>195212</v>
      </c>
      <c r="N1204" s="3" t="s">
        <v>1257</v>
      </c>
      <c r="O1204" s="1" t="n">
        <v>178826</v>
      </c>
      <c r="P1204" s="1" t="n">
        <v>91.61</v>
      </c>
      <c r="Q1204" s="1" t="s">
        <v>20</v>
      </c>
      <c r="R1204" s="1" t="s">
        <v>27</v>
      </c>
      <c r="S1204" s="1" t="s">
        <v>28</v>
      </c>
      <c r="T1204" s="1" t="s">
        <v>29</v>
      </c>
    </row>
    <row r="1205" customFormat="false" ht="18.7" hidden="false" customHeight="true" outlineLevel="0" collapsed="false">
      <c r="A1205" s="1" t="n">
        <v>1204</v>
      </c>
      <c r="B1205" s="6" t="str">
        <f aca="false">HYPERLINK("https://mncourtfraud.com/file/MCRO_27-CR-20-6517_Notice of Remote Hearing with Instructions_2022-02-22_20240430085212.pdf","MCRO_27-CR-20-6517_Notice of Remote Hearing with Instructions_2022-02-22_20240430085212.pdf")</f>
        <v>MCRO_27-CR-20-6517_Notice of Remote Hearing with Instructions_2022-02-22_20240430085212.pdf</v>
      </c>
      <c r="C1205" s="1" t="n">
        <v>4</v>
      </c>
      <c r="D1205" s="1" t="n">
        <v>1</v>
      </c>
      <c r="E1205" s="1" t="n">
        <v>1</v>
      </c>
      <c r="F1205" s="3" t="s">
        <v>20</v>
      </c>
      <c r="G1205" s="3" t="s">
        <v>5002</v>
      </c>
      <c r="H1205" s="1" t="s">
        <v>22</v>
      </c>
      <c r="I1205" s="1" t="n">
        <v>20240430085212</v>
      </c>
      <c r="J1205" s="3" t="s">
        <v>5003</v>
      </c>
      <c r="K1205" s="3" t="s">
        <v>5004</v>
      </c>
      <c r="L1205" s="3" t="s">
        <v>5005</v>
      </c>
      <c r="M1205" s="3" t="n">
        <v>348479</v>
      </c>
      <c r="N1205" s="3" t="s">
        <v>5006</v>
      </c>
      <c r="O1205" s="1" t="n">
        <v>332093</v>
      </c>
      <c r="P1205" s="1" t="n">
        <v>95.3</v>
      </c>
      <c r="Q1205" s="1" t="s">
        <v>20</v>
      </c>
      <c r="R1205" s="1" t="s">
        <v>27</v>
      </c>
      <c r="S1205" s="1" t="s">
        <v>28</v>
      </c>
      <c r="T1205" s="1" t="s">
        <v>29</v>
      </c>
    </row>
    <row r="1206" customFormat="false" ht="18.7" hidden="false" customHeight="true" outlineLevel="0" collapsed="false">
      <c r="A1206" s="1" t="n">
        <v>1205</v>
      </c>
      <c r="B1206" s="6" t="str">
        <f aca="false">HYPERLINK("https://mncourtfraud.com/file/MCRO_27-CR-20-6517_Order-Evaluation for Competency to Proceed (Rule 20.01)_2021-03-18_20240430085220.pdf","MCRO_27-CR-20-6517_Order-Evaluation for Competency to Proceed (Rule 20.01)_2021-03-18_20240430085220.pdf")</f>
        <v>MCRO_27-CR-20-6517_Order-Evaluation for Competency to Proceed (Rule 20.01)_2021-03-18_20240430085220.pdf</v>
      </c>
      <c r="C1206" s="1" t="n">
        <v>5</v>
      </c>
      <c r="D1206" s="1" t="n">
        <v>16</v>
      </c>
      <c r="E1206" s="1" t="n">
        <v>2</v>
      </c>
      <c r="F1206" s="3" t="s">
        <v>27</v>
      </c>
      <c r="G1206" s="3" t="s">
        <v>5007</v>
      </c>
      <c r="H1206" s="1" t="s">
        <v>22</v>
      </c>
      <c r="I1206" s="1" t="n">
        <v>20240430085220</v>
      </c>
      <c r="J1206" s="3" t="s">
        <v>5008</v>
      </c>
      <c r="K1206" s="3" t="s">
        <v>5009</v>
      </c>
      <c r="L1206" s="3" t="s">
        <v>5010</v>
      </c>
      <c r="M1206" s="3" t="n">
        <v>1409623</v>
      </c>
      <c r="N1206" s="3" t="s">
        <v>5011</v>
      </c>
      <c r="O1206" s="1" t="n">
        <v>1393237</v>
      </c>
      <c r="P1206" s="1" t="n">
        <v>98.84</v>
      </c>
      <c r="Q1206" s="1" t="s">
        <v>20</v>
      </c>
      <c r="R1206" s="1" t="s">
        <v>27</v>
      </c>
      <c r="S1206" s="1" t="s">
        <v>28</v>
      </c>
      <c r="T1206" s="1" t="s">
        <v>29</v>
      </c>
    </row>
    <row r="1207" customFormat="false" ht="18.7" hidden="false" customHeight="true" outlineLevel="0" collapsed="false">
      <c r="A1207" s="1" t="n">
        <v>1206</v>
      </c>
      <c r="B1207" s="6" t="str">
        <f aca="false">HYPERLINK("https://mncourtfraud.com/file/MCRO_27-CR-20-6517_Order-Evaluation for Competency to Proceed (Rule 20.01)_2021-05-13_20240430085218.pdf","MCRO_27-CR-20-6517_Order-Evaluation for Competency to Proceed (Rule 20.01)_2021-05-13_20240430085218.pdf")</f>
        <v>MCRO_27-CR-20-6517_Order-Evaluation for Competency to Proceed (Rule 20.01)_2021-05-13_20240430085218.pdf</v>
      </c>
      <c r="C1207" s="1" t="n">
        <v>4</v>
      </c>
      <c r="D1207" s="1" t="n">
        <v>1</v>
      </c>
      <c r="E1207" s="1" t="n">
        <v>1</v>
      </c>
      <c r="F1207" s="3" t="s">
        <v>20</v>
      </c>
      <c r="G1207" s="3" t="s">
        <v>5012</v>
      </c>
      <c r="H1207" s="1" t="s">
        <v>22</v>
      </c>
      <c r="I1207" s="1" t="n">
        <v>20240430085218</v>
      </c>
      <c r="J1207" s="3" t="s">
        <v>5013</v>
      </c>
      <c r="K1207" s="3" t="s">
        <v>5014</v>
      </c>
      <c r="L1207" s="3" t="s">
        <v>5015</v>
      </c>
      <c r="M1207" s="3" t="n">
        <v>245625</v>
      </c>
      <c r="N1207" s="3" t="s">
        <v>2363</v>
      </c>
      <c r="O1207" s="1" t="n">
        <v>229239</v>
      </c>
      <c r="P1207" s="1" t="n">
        <v>93.33</v>
      </c>
      <c r="Q1207" s="1" t="s">
        <v>20</v>
      </c>
      <c r="R1207" s="1" t="s">
        <v>27</v>
      </c>
      <c r="S1207" s="1" t="s">
        <v>28</v>
      </c>
      <c r="T1207" s="1" t="s">
        <v>29</v>
      </c>
    </row>
    <row r="1208" customFormat="false" ht="18.7" hidden="false" customHeight="true" outlineLevel="0" collapsed="false">
      <c r="A1208" s="1" t="n">
        <v>1207</v>
      </c>
      <c r="B1208" s="6" t="str">
        <f aca="false">HYPERLINK("https://mncourtfraud.com/file/MCRO_27-CR-20-6517_Order-Evaluation for Competency to Proceed (Rule 20.01)_2021-12-06_20240430085214.pdf","MCRO_27-CR-20-6517_Order-Evaluation for Competency to Proceed (Rule 20.01)_2021-12-06_20240430085214.pdf")</f>
        <v>MCRO_27-CR-20-6517_Order-Evaluation for Competency to Proceed (Rule 20.01)_2021-12-06_20240430085214.pdf</v>
      </c>
      <c r="C1208" s="1" t="n">
        <v>3</v>
      </c>
      <c r="D1208" s="1" t="n">
        <v>1</v>
      </c>
      <c r="E1208" s="1" t="n">
        <v>1</v>
      </c>
      <c r="F1208" s="3" t="s">
        <v>20</v>
      </c>
      <c r="G1208" s="3" t="s">
        <v>5016</v>
      </c>
      <c r="H1208" s="1" t="s">
        <v>22</v>
      </c>
      <c r="I1208" s="1" t="n">
        <v>20240430085214</v>
      </c>
      <c r="J1208" s="3" t="s">
        <v>5017</v>
      </c>
      <c r="K1208" s="3" t="s">
        <v>5018</v>
      </c>
      <c r="L1208" s="3" t="s">
        <v>5019</v>
      </c>
      <c r="M1208" s="3" t="n">
        <v>234097</v>
      </c>
      <c r="N1208" s="3" t="s">
        <v>559</v>
      </c>
      <c r="O1208" s="1" t="n">
        <v>217711</v>
      </c>
      <c r="P1208" s="1" t="n">
        <v>93</v>
      </c>
      <c r="Q1208" s="1" t="s">
        <v>20</v>
      </c>
      <c r="R1208" s="1" t="s">
        <v>27</v>
      </c>
      <c r="S1208" s="1" t="s">
        <v>28</v>
      </c>
      <c r="T1208" s="1" t="s">
        <v>29</v>
      </c>
    </row>
    <row r="1209" customFormat="false" ht="18.7" hidden="false" customHeight="true" outlineLevel="0" collapsed="false">
      <c r="A1209" s="1" t="n">
        <v>1208</v>
      </c>
      <c r="B1209" s="6" t="str">
        <f aca="false">HYPERLINK("https://mncourtfraud.com/file/MCRO_27-CR-20-6517_Order-Evaluation for Competency to Proceed (Rule 20.01)_2022-06-21_20240430085211.pdf","MCRO_27-CR-20-6517_Order-Evaluation for Competency to Proceed (Rule 20.01)_2022-06-21_20240430085211.pdf")</f>
        <v>MCRO_27-CR-20-6517_Order-Evaluation for Competency to Proceed (Rule 20.01)_2022-06-21_20240430085211.pdf</v>
      </c>
      <c r="C1209" s="1" t="n">
        <v>5</v>
      </c>
      <c r="D1209" s="1" t="n">
        <v>2</v>
      </c>
      <c r="E1209" s="1" t="n">
        <v>2</v>
      </c>
      <c r="F1209" s="3" t="s">
        <v>20</v>
      </c>
      <c r="G1209" s="3" t="s">
        <v>5020</v>
      </c>
      <c r="H1209" s="1" t="s">
        <v>22</v>
      </c>
      <c r="I1209" s="1" t="n">
        <v>20240430085211</v>
      </c>
      <c r="J1209" s="3" t="s">
        <v>5021</v>
      </c>
      <c r="K1209" s="3" t="s">
        <v>5022</v>
      </c>
      <c r="L1209" s="3" t="s">
        <v>5023</v>
      </c>
      <c r="M1209" s="3" t="n">
        <v>992279</v>
      </c>
      <c r="N1209" s="3" t="s">
        <v>5024</v>
      </c>
      <c r="O1209" s="1" t="n">
        <v>975893</v>
      </c>
      <c r="P1209" s="1" t="n">
        <v>98.35</v>
      </c>
      <c r="Q1209" s="1" t="s">
        <v>20</v>
      </c>
      <c r="R1209" s="1" t="s">
        <v>27</v>
      </c>
      <c r="S1209" s="1" t="s">
        <v>28</v>
      </c>
      <c r="T1209" s="1" t="s">
        <v>29</v>
      </c>
    </row>
    <row r="1210" customFormat="false" ht="18.7" hidden="false" customHeight="true" outlineLevel="0" collapsed="false">
      <c r="A1210" s="1" t="n">
        <v>1209</v>
      </c>
      <c r="B1210" s="6" t="str">
        <f aca="false">HYPERLINK("https://mncourtfraud.com/file/MCRO_27-CR-20-6517_Order-Evaluation for Competency to Proceed (Rule 20.01)_2022-12-30_20240430085209.pdf","MCRO_27-CR-20-6517_Order-Evaluation for Competency to Proceed (Rule 20.01)_2022-12-30_20240430085209.pdf")</f>
        <v>MCRO_27-CR-20-6517_Order-Evaluation for Competency to Proceed (Rule 20.01)_2022-12-30_20240430085209.pdf</v>
      </c>
      <c r="C1210" s="1" t="n">
        <v>7</v>
      </c>
      <c r="D1210" s="1" t="n">
        <v>2</v>
      </c>
      <c r="E1210" s="1" t="n">
        <v>2</v>
      </c>
      <c r="F1210" s="3" t="s">
        <v>27</v>
      </c>
      <c r="G1210" s="3" t="s">
        <v>5025</v>
      </c>
      <c r="H1210" s="1" t="s">
        <v>22</v>
      </c>
      <c r="I1210" s="1" t="n">
        <v>20240430085209</v>
      </c>
      <c r="J1210" s="3" t="s">
        <v>5026</v>
      </c>
      <c r="K1210" s="3" t="s">
        <v>5027</v>
      </c>
      <c r="L1210" s="3" t="s">
        <v>5028</v>
      </c>
      <c r="M1210" s="3" t="n">
        <v>971779</v>
      </c>
      <c r="N1210" s="3" t="s">
        <v>5029</v>
      </c>
      <c r="O1210" s="1" t="n">
        <v>955393</v>
      </c>
      <c r="P1210" s="1" t="n">
        <v>98.31</v>
      </c>
      <c r="Q1210" s="1" t="s">
        <v>20</v>
      </c>
      <c r="R1210" s="1" t="s">
        <v>27</v>
      </c>
      <c r="S1210" s="1" t="s">
        <v>28</v>
      </c>
      <c r="T1210" s="1" t="s">
        <v>29</v>
      </c>
    </row>
    <row r="1211" customFormat="false" ht="18.7" hidden="false" customHeight="true" outlineLevel="0" collapsed="false">
      <c r="A1211" s="1" t="n">
        <v>1210</v>
      </c>
      <c r="B1211" s="6" t="str">
        <f aca="false">HYPERLINK("https://mncourtfraud.com/file/MCRO_27-CR-20-6517_Order for Conditional Release_2020-11-13_20240430085226.pdf","MCRO_27-CR-20-6517_Order for Conditional Release_2020-11-13_20240430085226.pdf")</f>
        <v>MCRO_27-CR-20-6517_Order for Conditional Release_2020-11-13_20240430085226.pdf</v>
      </c>
      <c r="C1211" s="1" t="n">
        <v>4</v>
      </c>
      <c r="D1211" s="1" t="n">
        <v>1</v>
      </c>
      <c r="E1211" s="1" t="n">
        <v>1</v>
      </c>
      <c r="F1211" s="3" t="s">
        <v>20</v>
      </c>
      <c r="G1211" s="3" t="s">
        <v>5030</v>
      </c>
      <c r="H1211" s="1" t="s">
        <v>22</v>
      </c>
      <c r="I1211" s="1" t="n">
        <v>20240430085226</v>
      </c>
      <c r="J1211" s="3" t="s">
        <v>5031</v>
      </c>
      <c r="K1211" s="3" t="s">
        <v>5032</v>
      </c>
      <c r="L1211" s="3" t="s">
        <v>5033</v>
      </c>
      <c r="M1211" s="3" t="n">
        <v>134539</v>
      </c>
      <c r="N1211" s="3" t="s">
        <v>456</v>
      </c>
      <c r="O1211" s="1" t="n">
        <v>118153</v>
      </c>
      <c r="P1211" s="1" t="n">
        <v>87.82</v>
      </c>
      <c r="Q1211" s="1" t="s">
        <v>20</v>
      </c>
      <c r="R1211" s="1" t="s">
        <v>27</v>
      </c>
      <c r="S1211" s="1" t="s">
        <v>28</v>
      </c>
      <c r="T1211" s="1" t="s">
        <v>29</v>
      </c>
    </row>
    <row r="1212" customFormat="false" ht="18.7" hidden="false" customHeight="true" outlineLevel="0" collapsed="false">
      <c r="A1212" s="1" t="n">
        <v>1211</v>
      </c>
      <c r="B1212" s="6" t="str">
        <f aca="false">HYPERLINK("https://mncourtfraud.com/file/MCRO_27-CR-20-6517_Order for Conditional Release_2020-12-23_20240430085223.pdf","MCRO_27-CR-20-6517_Order for Conditional Release_2020-12-23_20240430085223.pdf")</f>
        <v>MCRO_27-CR-20-6517_Order for Conditional Release_2020-12-23_20240430085223.pdf</v>
      </c>
      <c r="C1212" s="1" t="n">
        <v>4</v>
      </c>
      <c r="D1212" s="1" t="n">
        <v>1</v>
      </c>
      <c r="E1212" s="1" t="n">
        <v>1</v>
      </c>
      <c r="F1212" s="3" t="s">
        <v>20</v>
      </c>
      <c r="G1212" s="3" t="s">
        <v>5034</v>
      </c>
      <c r="H1212" s="1" t="s">
        <v>22</v>
      </c>
      <c r="I1212" s="1" t="n">
        <v>20240430085223</v>
      </c>
      <c r="J1212" s="3" t="s">
        <v>5035</v>
      </c>
      <c r="K1212" s="3" t="s">
        <v>5036</v>
      </c>
      <c r="L1212" s="3" t="s">
        <v>5037</v>
      </c>
      <c r="M1212" s="3" t="n">
        <v>135887</v>
      </c>
      <c r="N1212" s="3" t="s">
        <v>456</v>
      </c>
      <c r="O1212" s="1" t="n">
        <v>119501</v>
      </c>
      <c r="P1212" s="1" t="n">
        <v>87.94</v>
      </c>
      <c r="Q1212" s="1" t="s">
        <v>20</v>
      </c>
      <c r="R1212" s="1" t="s">
        <v>27</v>
      </c>
      <c r="S1212" s="1" t="s">
        <v>28</v>
      </c>
      <c r="T1212" s="1" t="s">
        <v>29</v>
      </c>
    </row>
    <row r="1213" customFormat="false" ht="18.7" hidden="false" customHeight="true" outlineLevel="0" collapsed="false">
      <c r="A1213" s="1" t="n">
        <v>1212</v>
      </c>
      <c r="B1213" s="6" t="str">
        <f aca="false">HYPERLINK("https://mncourtfraud.com/file/MCRO_27-CR-20-6517_Order for Conditional Release_2021-03-18_20240430085221.pdf","MCRO_27-CR-20-6517_Order for Conditional Release_2021-03-18_20240430085221.pdf")</f>
        <v>MCRO_27-CR-20-6517_Order for Conditional Release_2021-03-18_20240430085221.pdf</v>
      </c>
      <c r="C1213" s="1" t="n">
        <v>5</v>
      </c>
      <c r="D1213" s="1" t="n">
        <v>53</v>
      </c>
      <c r="E1213" s="1" t="n">
        <v>2</v>
      </c>
      <c r="F1213" s="3" t="s">
        <v>27</v>
      </c>
      <c r="G1213" s="3" t="s">
        <v>5038</v>
      </c>
      <c r="H1213" s="1" t="s">
        <v>22</v>
      </c>
      <c r="I1213" s="1" t="n">
        <v>20240430085221</v>
      </c>
      <c r="J1213" s="3" t="s">
        <v>5039</v>
      </c>
      <c r="K1213" s="3" t="s">
        <v>5040</v>
      </c>
      <c r="L1213" s="3" t="s">
        <v>5041</v>
      </c>
      <c r="M1213" s="3" t="n">
        <v>804450</v>
      </c>
      <c r="N1213" s="3" t="s">
        <v>5042</v>
      </c>
      <c r="O1213" s="1" t="n">
        <v>788064</v>
      </c>
      <c r="P1213" s="1" t="n">
        <v>97.96</v>
      </c>
      <c r="Q1213" s="1" t="s">
        <v>20</v>
      </c>
      <c r="R1213" s="1" t="s">
        <v>27</v>
      </c>
      <c r="S1213" s="1" t="s">
        <v>28</v>
      </c>
      <c r="T1213" s="1" t="s">
        <v>29</v>
      </c>
    </row>
    <row r="1214" customFormat="false" ht="18.7" hidden="false" customHeight="true" outlineLevel="0" collapsed="false">
      <c r="A1214" s="1" t="n">
        <v>1213</v>
      </c>
      <c r="B1214" s="6" t="str">
        <f aca="false">HYPERLINK("https://mncourtfraud.com/file/MCRO_27-CR-20-6517_Pandemic Notice of Cancelled or Rescheduled Hearing_2020-03-25_20240430085234.pdf","MCRO_27-CR-20-6517_Pandemic Notice of Cancelled or Rescheduled Hearing_2020-03-25_20240430085234.pdf")</f>
        <v>MCRO_27-CR-20-6517_Pandemic Notice of Cancelled or Rescheduled Hearing_2020-03-25_20240430085234.pdf</v>
      </c>
      <c r="C1214" s="1" t="n">
        <v>4</v>
      </c>
      <c r="D1214" s="1" t="n">
        <v>1</v>
      </c>
      <c r="E1214" s="1" t="n">
        <v>1</v>
      </c>
      <c r="F1214" s="3" t="s">
        <v>20</v>
      </c>
      <c r="G1214" s="3" t="s">
        <v>5043</v>
      </c>
      <c r="H1214" s="1" t="s">
        <v>22</v>
      </c>
      <c r="I1214" s="1" t="n">
        <v>20240430085234</v>
      </c>
      <c r="J1214" s="3" t="s">
        <v>5044</v>
      </c>
      <c r="K1214" s="3" t="s">
        <v>5045</v>
      </c>
      <c r="L1214" s="3" t="s">
        <v>5046</v>
      </c>
      <c r="M1214" s="3" t="n">
        <v>99994</v>
      </c>
      <c r="N1214" s="3" t="s">
        <v>137</v>
      </c>
      <c r="O1214" s="1" t="n">
        <v>83608</v>
      </c>
      <c r="P1214" s="1" t="n">
        <v>83.61</v>
      </c>
      <c r="Q1214" s="1" t="s">
        <v>20</v>
      </c>
      <c r="R1214" s="1" t="s">
        <v>27</v>
      </c>
      <c r="S1214" s="1" t="s">
        <v>28</v>
      </c>
      <c r="T1214" s="1" t="s">
        <v>29</v>
      </c>
    </row>
    <row r="1215" customFormat="false" ht="18.7" hidden="false" customHeight="true" outlineLevel="0" collapsed="false">
      <c r="A1215" s="1" t="n">
        <v>1214</v>
      </c>
      <c r="B1215" s="6" t="str">
        <f aca="false">HYPERLINK("https://mncourtfraud.com/file/MCRO_27-CR-20-6517_Pandemic Notice of Cancelled or Rescheduled Hearing_2020-05-06_20240430085233.pdf","MCRO_27-CR-20-6517_Pandemic Notice of Cancelled or Rescheduled Hearing_2020-05-06_20240430085233.pdf")</f>
        <v>MCRO_27-CR-20-6517_Pandemic Notice of Cancelled or Rescheduled Hearing_2020-05-06_20240430085233.pdf</v>
      </c>
      <c r="C1215" s="1" t="n">
        <v>4</v>
      </c>
      <c r="D1215" s="1" t="n">
        <v>1</v>
      </c>
      <c r="E1215" s="1" t="n">
        <v>1</v>
      </c>
      <c r="F1215" s="3" t="s">
        <v>20</v>
      </c>
      <c r="G1215" s="3" t="s">
        <v>5047</v>
      </c>
      <c r="H1215" s="1" t="s">
        <v>22</v>
      </c>
      <c r="I1215" s="1" t="n">
        <v>20240430085233</v>
      </c>
      <c r="J1215" s="3" t="s">
        <v>5048</v>
      </c>
      <c r="K1215" s="3" t="s">
        <v>5049</v>
      </c>
      <c r="L1215" s="3" t="s">
        <v>5050</v>
      </c>
      <c r="M1215" s="3" t="n">
        <v>97573</v>
      </c>
      <c r="N1215" s="3" t="s">
        <v>137</v>
      </c>
      <c r="O1215" s="1" t="n">
        <v>81187</v>
      </c>
      <c r="P1215" s="1" t="n">
        <v>83.21</v>
      </c>
      <c r="Q1215" s="1" t="s">
        <v>20</v>
      </c>
      <c r="R1215" s="1" t="s">
        <v>27</v>
      </c>
      <c r="S1215" s="1" t="s">
        <v>28</v>
      </c>
      <c r="T1215" s="1" t="s">
        <v>29</v>
      </c>
    </row>
    <row r="1216" customFormat="false" ht="18.7" hidden="false" customHeight="true" outlineLevel="0" collapsed="false">
      <c r="A1216" s="1" t="n">
        <v>1215</v>
      </c>
      <c r="B1216" s="6" t="str">
        <f aca="false">HYPERLINK("https://mncourtfraud.com/file/MCRO_27-CR-20-6517_Returned Mail_2020-03-19_20240430085235.pdf","MCRO_27-CR-20-6517_Returned Mail_2020-03-19_20240430085235.pdf")</f>
        <v>MCRO_27-CR-20-6517_Returned Mail_2020-03-19_20240430085235.pdf</v>
      </c>
      <c r="C1216" s="1" t="n">
        <v>4</v>
      </c>
      <c r="D1216" s="1" t="n">
        <v>1</v>
      </c>
      <c r="E1216" s="1" t="n">
        <v>1</v>
      </c>
      <c r="F1216" s="3" t="s">
        <v>20</v>
      </c>
      <c r="G1216" s="3" t="s">
        <v>5051</v>
      </c>
      <c r="H1216" s="1" t="s">
        <v>22</v>
      </c>
      <c r="I1216" s="1" t="n">
        <v>20240430085235</v>
      </c>
      <c r="J1216" s="3" t="s">
        <v>5052</v>
      </c>
      <c r="K1216" s="3" t="s">
        <v>5053</v>
      </c>
      <c r="L1216" s="3" t="s">
        <v>5054</v>
      </c>
      <c r="M1216" s="3" t="n">
        <v>185438</v>
      </c>
      <c r="N1216" s="3" t="s">
        <v>892</v>
      </c>
      <c r="O1216" s="1" t="n">
        <v>169052</v>
      </c>
      <c r="P1216" s="1" t="n">
        <v>91.16</v>
      </c>
      <c r="Q1216" s="1" t="s">
        <v>20</v>
      </c>
      <c r="R1216" s="1" t="s">
        <v>27</v>
      </c>
      <c r="S1216" s="1" t="s">
        <v>28</v>
      </c>
      <c r="T1216" s="1" t="s">
        <v>29</v>
      </c>
    </row>
    <row r="1217" customFormat="false" ht="18.7" hidden="false" customHeight="true" outlineLevel="0" collapsed="false">
      <c r="A1217" s="1" t="n">
        <v>1216</v>
      </c>
      <c r="B1217" s="6" t="str">
        <f aca="false">HYPERLINK("https://mncourtfraud.com/file/MCRO_27-CR-20-6517_Returned Mail_2020-08-03_20240430085228.pdf","MCRO_27-CR-20-6517_Returned Mail_2020-08-03_20240430085228.pdf")</f>
        <v>MCRO_27-CR-20-6517_Returned Mail_2020-08-03_20240430085228.pdf</v>
      </c>
      <c r="C1217" s="1" t="n">
        <v>4</v>
      </c>
      <c r="D1217" s="1" t="n">
        <v>1</v>
      </c>
      <c r="E1217" s="1" t="n">
        <v>1</v>
      </c>
      <c r="F1217" s="3" t="s">
        <v>20</v>
      </c>
      <c r="G1217" s="3" t="s">
        <v>5055</v>
      </c>
      <c r="H1217" s="1" t="s">
        <v>22</v>
      </c>
      <c r="I1217" s="1" t="n">
        <v>20240430085228</v>
      </c>
      <c r="J1217" s="3" t="s">
        <v>5056</v>
      </c>
      <c r="K1217" s="3" t="s">
        <v>5057</v>
      </c>
      <c r="L1217" s="3" t="s">
        <v>5058</v>
      </c>
      <c r="M1217" s="3" t="n">
        <v>89750</v>
      </c>
      <c r="N1217" s="3" t="s">
        <v>137</v>
      </c>
      <c r="O1217" s="1" t="n">
        <v>73364</v>
      </c>
      <c r="P1217" s="1" t="n">
        <v>81.74</v>
      </c>
      <c r="Q1217" s="1" t="s">
        <v>20</v>
      </c>
      <c r="R1217" s="1" t="s">
        <v>27</v>
      </c>
      <c r="S1217" s="1" t="s">
        <v>28</v>
      </c>
      <c r="T1217" s="1" t="s">
        <v>29</v>
      </c>
    </row>
    <row r="1218" customFormat="false" ht="18.7" hidden="false" customHeight="true" outlineLevel="0" collapsed="false">
      <c r="A1218" s="1" t="n">
        <v>1217</v>
      </c>
      <c r="B1218" s="6" t="str">
        <f aca="false">HYPERLINK("https://mncourtfraud.com/file/MCRO_27-CR-20-6517_Summons_2020-03-11_20240430085236.pdf","MCRO_27-CR-20-6517_Summons_2020-03-11_20240430085236.pdf")</f>
        <v>MCRO_27-CR-20-6517_Summons_2020-03-11_20240430085236.pdf</v>
      </c>
      <c r="C1218" s="1" t="n">
        <v>4</v>
      </c>
      <c r="D1218" s="1" t="n">
        <v>1</v>
      </c>
      <c r="E1218" s="1" t="n">
        <v>1</v>
      </c>
      <c r="F1218" s="3" t="s">
        <v>20</v>
      </c>
      <c r="G1218" s="3" t="s">
        <v>5059</v>
      </c>
      <c r="H1218" s="1" t="s">
        <v>22</v>
      </c>
      <c r="I1218" s="1" t="n">
        <v>20240430085236</v>
      </c>
      <c r="J1218" s="3" t="s">
        <v>5060</v>
      </c>
      <c r="K1218" s="3" t="s">
        <v>5061</v>
      </c>
      <c r="L1218" s="3" t="s">
        <v>5062</v>
      </c>
      <c r="M1218" s="3" t="n">
        <v>248927</v>
      </c>
      <c r="N1218" s="3" t="s">
        <v>5063</v>
      </c>
      <c r="O1218" s="1" t="n">
        <v>232541</v>
      </c>
      <c r="P1218" s="1" t="n">
        <v>93.42</v>
      </c>
      <c r="Q1218" s="1" t="s">
        <v>20</v>
      </c>
      <c r="R1218" s="1" t="s">
        <v>27</v>
      </c>
      <c r="S1218" s="1" t="s">
        <v>28</v>
      </c>
      <c r="T1218" s="1" t="s">
        <v>29</v>
      </c>
    </row>
    <row r="1219" customFormat="false" ht="18.7" hidden="false" customHeight="true" outlineLevel="0" collapsed="false">
      <c r="A1219" s="1" t="n">
        <v>1218</v>
      </c>
      <c r="B1219" s="6" t="str">
        <f aca="false">HYPERLINK("https://mncourtfraud.com/file/MCRO_27-CR-20-7092_Finding of Incompetency and Order_2024-01-23_20240430085300.pdf","MCRO_27-CR-20-7092_Finding of Incompetency and Order_2024-01-23_20240430085300.pdf")</f>
        <v>MCRO_27-CR-20-7092_Finding of Incompetency and Order_2024-01-23_20240430085300.pdf</v>
      </c>
      <c r="C1219" s="1" t="n">
        <v>5</v>
      </c>
      <c r="D1219" s="1" t="n">
        <v>1</v>
      </c>
      <c r="E1219" s="1" t="n">
        <v>1</v>
      </c>
      <c r="F1219" s="3" t="s">
        <v>20</v>
      </c>
      <c r="G1219" s="3" t="s">
        <v>5064</v>
      </c>
      <c r="H1219" s="1" t="s">
        <v>22</v>
      </c>
      <c r="I1219" s="1" t="n">
        <v>20240430085300</v>
      </c>
      <c r="J1219" s="3" t="s">
        <v>5065</v>
      </c>
      <c r="K1219" s="3" t="s">
        <v>5066</v>
      </c>
      <c r="L1219" s="3" t="s">
        <v>5067</v>
      </c>
      <c r="M1219" s="3" t="n">
        <v>803918</v>
      </c>
      <c r="N1219" s="3" t="s">
        <v>922</v>
      </c>
      <c r="O1219" s="1" t="n">
        <v>787532</v>
      </c>
      <c r="P1219" s="1" t="n">
        <v>97.96</v>
      </c>
      <c r="Q1219" s="1" t="s">
        <v>20</v>
      </c>
      <c r="R1219" s="1" t="s">
        <v>27</v>
      </c>
      <c r="S1219" s="1" t="s">
        <v>28</v>
      </c>
      <c r="T1219" s="1" t="s">
        <v>29</v>
      </c>
    </row>
    <row r="1220" customFormat="false" ht="18.7" hidden="false" customHeight="true" outlineLevel="0" collapsed="false">
      <c r="A1220" s="1" t="n">
        <v>1219</v>
      </c>
      <c r="B1220" s="6" t="str">
        <f aca="false">HYPERLINK("https://mncourtfraud.com/file/MCRO_27-CR-20-7092_Findings and Order_2022-12-06_20240430085304.pdf","MCRO_27-CR-20-7092_Findings and Order_2022-12-06_20240430085304.pdf")</f>
        <v>MCRO_27-CR-20-7092_Findings and Order_2022-12-06_20240430085304.pdf</v>
      </c>
      <c r="C1220" s="1" t="n">
        <v>4</v>
      </c>
      <c r="D1220" s="1" t="n">
        <v>2</v>
      </c>
      <c r="E1220" s="1" t="n">
        <v>2</v>
      </c>
      <c r="F1220" s="3" t="s">
        <v>20</v>
      </c>
      <c r="G1220" s="3" t="s">
        <v>5068</v>
      </c>
      <c r="H1220" s="1" t="s">
        <v>22</v>
      </c>
      <c r="I1220" s="1" t="n">
        <v>20240430085304</v>
      </c>
      <c r="J1220" s="3" t="s">
        <v>5069</v>
      </c>
      <c r="K1220" s="3" t="s">
        <v>5070</v>
      </c>
      <c r="L1220" s="3" t="s">
        <v>5071</v>
      </c>
      <c r="M1220" s="3" t="n">
        <v>333012</v>
      </c>
      <c r="N1220" s="3" t="s">
        <v>1024</v>
      </c>
      <c r="O1220" s="1" t="n">
        <v>316626</v>
      </c>
      <c r="P1220" s="1" t="n">
        <v>95.08</v>
      </c>
      <c r="Q1220" s="1" t="s">
        <v>20</v>
      </c>
      <c r="R1220" s="1" t="s">
        <v>27</v>
      </c>
      <c r="S1220" s="1" t="s">
        <v>28</v>
      </c>
      <c r="T1220" s="1" t="s">
        <v>29</v>
      </c>
    </row>
    <row r="1221" customFormat="false" ht="18.7" hidden="false" customHeight="true" outlineLevel="0" collapsed="false">
      <c r="A1221" s="1" t="n">
        <v>1220</v>
      </c>
      <c r="B1221" s="6" t="str">
        <f aca="false">HYPERLINK("https://mncourtfraud.com/file/MCRO_27-CR-20-7092_Notice of Hearing_2020-03-24_20240430085319.pdf","MCRO_27-CR-20-7092_Notice of Hearing_2020-03-24_20240430085319.pdf")</f>
        <v>MCRO_27-CR-20-7092_Notice of Hearing_2020-03-24_20240430085319.pdf</v>
      </c>
      <c r="C1221" s="1" t="n">
        <v>4</v>
      </c>
      <c r="D1221" s="1" t="n">
        <v>1</v>
      </c>
      <c r="E1221" s="1" t="n">
        <v>1</v>
      </c>
      <c r="F1221" s="3" t="s">
        <v>20</v>
      </c>
      <c r="G1221" s="3" t="s">
        <v>5072</v>
      </c>
      <c r="H1221" s="1" t="s">
        <v>22</v>
      </c>
      <c r="I1221" s="1" t="n">
        <v>20240430085319</v>
      </c>
      <c r="J1221" s="3" t="s">
        <v>5073</v>
      </c>
      <c r="K1221" s="3" t="s">
        <v>5074</v>
      </c>
      <c r="L1221" s="3" t="s">
        <v>5075</v>
      </c>
      <c r="M1221" s="3" t="n">
        <v>112548</v>
      </c>
      <c r="N1221" s="3" t="s">
        <v>137</v>
      </c>
      <c r="O1221" s="1" t="n">
        <v>96162</v>
      </c>
      <c r="P1221" s="1" t="n">
        <v>85.44</v>
      </c>
      <c r="Q1221" s="1" t="s">
        <v>20</v>
      </c>
      <c r="R1221" s="1" t="s">
        <v>27</v>
      </c>
      <c r="S1221" s="1" t="s">
        <v>28</v>
      </c>
      <c r="T1221" s="1" t="s">
        <v>29</v>
      </c>
    </row>
    <row r="1222" customFormat="false" ht="18.7" hidden="false" customHeight="true" outlineLevel="0" collapsed="false">
      <c r="A1222" s="1" t="n">
        <v>1221</v>
      </c>
      <c r="B1222" s="6" t="str">
        <f aca="false">HYPERLINK("https://mncourtfraud.com/file/MCRO_27-CR-20-7092_Notice of Intent to Prosecute_2022-12-07_20240430085303.pdf","MCRO_27-CR-20-7092_Notice of Intent to Prosecute_2022-12-07_20240430085303.pdf")</f>
        <v>MCRO_27-CR-20-7092_Notice of Intent to Prosecute_2022-12-07_20240430085303.pdf</v>
      </c>
      <c r="C1222" s="1" t="n">
        <v>3</v>
      </c>
      <c r="D1222" s="1" t="n">
        <v>1</v>
      </c>
      <c r="E1222" s="1" t="n">
        <v>1</v>
      </c>
      <c r="F1222" s="3" t="s">
        <v>20</v>
      </c>
      <c r="G1222" s="3" t="s">
        <v>5076</v>
      </c>
      <c r="H1222" s="1" t="s">
        <v>22</v>
      </c>
      <c r="I1222" s="1" t="n">
        <v>20240430085303</v>
      </c>
      <c r="J1222" s="3" t="s">
        <v>5077</v>
      </c>
      <c r="K1222" s="3" t="s">
        <v>5078</v>
      </c>
      <c r="L1222" s="3" t="s">
        <v>5079</v>
      </c>
      <c r="M1222" s="3" t="n">
        <v>136995</v>
      </c>
      <c r="N1222" s="3" t="s">
        <v>764</v>
      </c>
      <c r="O1222" s="1" t="n">
        <v>120609</v>
      </c>
      <c r="P1222" s="1" t="n">
        <v>88.04</v>
      </c>
      <c r="Q1222" s="1" t="s">
        <v>20</v>
      </c>
      <c r="R1222" s="1" t="s">
        <v>27</v>
      </c>
      <c r="S1222" s="1" t="s">
        <v>28</v>
      </c>
      <c r="T1222" s="1" t="s">
        <v>29</v>
      </c>
    </row>
    <row r="1223" customFormat="false" ht="18.7" hidden="false" customHeight="true" outlineLevel="0" collapsed="false">
      <c r="A1223" s="1" t="n">
        <v>1222</v>
      </c>
      <c r="B1223" s="6" t="str">
        <f aca="false">HYPERLINK("https://mncourtfraud.com/file/MCRO_27-CR-20-7092_Notice of Remote Hearing with Instructions_2020-12-17_20240430085312.pdf","MCRO_27-CR-20-7092_Notice of Remote Hearing with Instructions_2020-12-17_20240430085312.pdf")</f>
        <v>MCRO_27-CR-20-7092_Notice of Remote Hearing with Instructions_2020-12-17_20240430085312.pdf</v>
      </c>
      <c r="C1223" s="1" t="n">
        <v>4</v>
      </c>
      <c r="D1223" s="1" t="n">
        <v>1</v>
      </c>
      <c r="E1223" s="1" t="n">
        <v>1</v>
      </c>
      <c r="F1223" s="3" t="s">
        <v>20</v>
      </c>
      <c r="G1223" s="3" t="s">
        <v>5080</v>
      </c>
      <c r="H1223" s="1" t="s">
        <v>22</v>
      </c>
      <c r="I1223" s="1" t="n">
        <v>20240430085312</v>
      </c>
      <c r="J1223" s="3" t="s">
        <v>5081</v>
      </c>
      <c r="K1223" s="3" t="s">
        <v>5082</v>
      </c>
      <c r="L1223" s="3" t="s">
        <v>5083</v>
      </c>
      <c r="M1223" s="3" t="n">
        <v>158891</v>
      </c>
      <c r="N1223" s="3" t="s">
        <v>1065</v>
      </c>
      <c r="O1223" s="1" t="n">
        <v>142505</v>
      </c>
      <c r="P1223" s="1" t="n">
        <v>89.69</v>
      </c>
      <c r="Q1223" s="1" t="s">
        <v>20</v>
      </c>
      <c r="R1223" s="1" t="s">
        <v>27</v>
      </c>
      <c r="S1223" s="1" t="s">
        <v>28</v>
      </c>
      <c r="T1223" s="1" t="s">
        <v>29</v>
      </c>
    </row>
    <row r="1224" customFormat="false" ht="18.7" hidden="false" customHeight="true" outlineLevel="0" collapsed="false">
      <c r="A1224" s="1" t="n">
        <v>1223</v>
      </c>
      <c r="B1224" s="6" t="str">
        <f aca="false">HYPERLINK("https://mncourtfraud.com/file/MCRO_27-CR-20-7092_Notice of Remote Hearing with Instructions_2020-12-21_20240430085311.pdf","MCRO_27-CR-20-7092_Notice of Remote Hearing with Instructions_2020-12-21_20240430085311.pdf")</f>
        <v>MCRO_27-CR-20-7092_Notice of Remote Hearing with Instructions_2020-12-21_20240430085311.pdf</v>
      </c>
      <c r="C1224" s="1" t="n">
        <v>4</v>
      </c>
      <c r="D1224" s="1" t="n">
        <v>1</v>
      </c>
      <c r="E1224" s="1" t="n">
        <v>1</v>
      </c>
      <c r="F1224" s="3" t="s">
        <v>20</v>
      </c>
      <c r="G1224" s="3" t="s">
        <v>5084</v>
      </c>
      <c r="H1224" s="1" t="s">
        <v>22</v>
      </c>
      <c r="I1224" s="1" t="n">
        <v>20240430085311</v>
      </c>
      <c r="J1224" s="3" t="s">
        <v>5085</v>
      </c>
      <c r="K1224" s="3" t="s">
        <v>5086</v>
      </c>
      <c r="L1224" s="3" t="s">
        <v>5087</v>
      </c>
      <c r="M1224" s="3" t="n">
        <v>142901</v>
      </c>
      <c r="N1224" s="3" t="s">
        <v>1065</v>
      </c>
      <c r="O1224" s="1" t="n">
        <v>126515</v>
      </c>
      <c r="P1224" s="1" t="n">
        <v>88.53</v>
      </c>
      <c r="Q1224" s="1" t="s">
        <v>20</v>
      </c>
      <c r="R1224" s="1" t="s">
        <v>27</v>
      </c>
      <c r="S1224" s="1" t="s">
        <v>28</v>
      </c>
      <c r="T1224" s="1" t="s">
        <v>29</v>
      </c>
    </row>
    <row r="1225" customFormat="false" ht="18.7" hidden="false" customHeight="true" outlineLevel="0" collapsed="false">
      <c r="A1225" s="1" t="n">
        <v>1224</v>
      </c>
      <c r="B1225" s="6" t="str">
        <f aca="false">HYPERLINK("https://mncourtfraud.com/file/MCRO_27-CR-20-7092_Notice of Remote Hearing with Instructions_2021-01-07_20240430085309.pdf","MCRO_27-CR-20-7092_Notice of Remote Hearing with Instructions_2021-01-07_20240430085309.pdf")</f>
        <v>MCRO_27-CR-20-7092_Notice of Remote Hearing with Instructions_2021-01-07_20240430085309.pdf</v>
      </c>
      <c r="C1225" s="1" t="n">
        <v>5</v>
      </c>
      <c r="D1225" s="1" t="n">
        <v>1</v>
      </c>
      <c r="E1225" s="1" t="n">
        <v>1</v>
      </c>
      <c r="F1225" s="3" t="s">
        <v>20</v>
      </c>
      <c r="G1225" s="3" t="s">
        <v>5088</v>
      </c>
      <c r="H1225" s="1" t="s">
        <v>22</v>
      </c>
      <c r="I1225" s="1" t="n">
        <v>20240430085309</v>
      </c>
      <c r="J1225" s="3" t="s">
        <v>5089</v>
      </c>
      <c r="K1225" s="3" t="s">
        <v>5090</v>
      </c>
      <c r="L1225" s="3" t="s">
        <v>5091</v>
      </c>
      <c r="M1225" s="3" t="n">
        <v>331354</v>
      </c>
      <c r="N1225" s="3" t="s">
        <v>607</v>
      </c>
      <c r="O1225" s="1" t="n">
        <v>314968</v>
      </c>
      <c r="P1225" s="1" t="n">
        <v>95.05</v>
      </c>
      <c r="Q1225" s="1" t="s">
        <v>20</v>
      </c>
      <c r="R1225" s="1" t="s">
        <v>27</v>
      </c>
      <c r="S1225" s="1" t="s">
        <v>28</v>
      </c>
      <c r="T1225" s="1" t="s">
        <v>29</v>
      </c>
    </row>
    <row r="1226" customFormat="false" ht="18.7" hidden="false" customHeight="true" outlineLevel="0" collapsed="false">
      <c r="A1226" s="1" t="n">
        <v>1225</v>
      </c>
      <c r="B1226" s="6" t="str">
        <f aca="false">HYPERLINK("https://mncourtfraud.com/file/MCRO_27-CR-20-7092_Notice of Remote Hearing with Instructions_2021-11-30_20240430085306.pdf","MCRO_27-CR-20-7092_Notice of Remote Hearing with Instructions_2021-11-30_20240430085306.pdf")</f>
        <v>MCRO_27-CR-20-7092_Notice of Remote Hearing with Instructions_2021-11-30_20240430085306.pdf</v>
      </c>
      <c r="C1226" s="1" t="n">
        <v>4</v>
      </c>
      <c r="D1226" s="1" t="n">
        <v>1</v>
      </c>
      <c r="E1226" s="1" t="n">
        <v>1</v>
      </c>
      <c r="F1226" s="3" t="s">
        <v>20</v>
      </c>
      <c r="G1226" s="3" t="s">
        <v>5092</v>
      </c>
      <c r="H1226" s="1" t="s">
        <v>22</v>
      </c>
      <c r="I1226" s="1" t="n">
        <v>20240430085306</v>
      </c>
      <c r="J1226" s="3" t="s">
        <v>5093</v>
      </c>
      <c r="K1226" s="3" t="s">
        <v>5094</v>
      </c>
      <c r="L1226" s="3" t="s">
        <v>5095</v>
      </c>
      <c r="M1226" s="3" t="n">
        <v>1273165</v>
      </c>
      <c r="N1226" s="3" t="s">
        <v>5096</v>
      </c>
      <c r="O1226" s="1" t="n">
        <v>1256779</v>
      </c>
      <c r="P1226" s="1" t="n">
        <v>98.71</v>
      </c>
      <c r="Q1226" s="1" t="s">
        <v>20</v>
      </c>
      <c r="R1226" s="1" t="s">
        <v>27</v>
      </c>
      <c r="S1226" s="1" t="s">
        <v>28</v>
      </c>
      <c r="T1226" s="1" t="s">
        <v>29</v>
      </c>
    </row>
    <row r="1227" customFormat="false" ht="18.7" hidden="false" customHeight="true" outlineLevel="0" collapsed="false">
      <c r="A1227" s="1" t="n">
        <v>1226</v>
      </c>
      <c r="B1227" s="6" t="str">
        <f aca="false">HYPERLINK("https://mncourtfraud.com/file/MCRO_27-CR-20-7092_Notice of Remote Hearing with Instructions_2023-12-05_20240430085301.pdf","MCRO_27-CR-20-7092_Notice of Remote Hearing with Instructions_2023-12-05_20240430085301.pdf")</f>
        <v>MCRO_27-CR-20-7092_Notice of Remote Hearing with Instructions_2023-12-05_20240430085301.pdf</v>
      </c>
      <c r="C1227" s="1" t="n">
        <v>5</v>
      </c>
      <c r="D1227" s="1" t="n">
        <v>1</v>
      </c>
      <c r="E1227" s="1" t="n">
        <v>1</v>
      </c>
      <c r="F1227" s="3" t="s">
        <v>20</v>
      </c>
      <c r="G1227" s="3" t="s">
        <v>5097</v>
      </c>
      <c r="H1227" s="1" t="s">
        <v>22</v>
      </c>
      <c r="I1227" s="1" t="n">
        <v>20240430085301</v>
      </c>
      <c r="J1227" s="3" t="s">
        <v>5098</v>
      </c>
      <c r="K1227" s="3" t="s">
        <v>5099</v>
      </c>
      <c r="L1227" s="3" t="s">
        <v>5100</v>
      </c>
      <c r="M1227" s="3" t="n">
        <v>844355</v>
      </c>
      <c r="N1227" s="3" t="s">
        <v>2852</v>
      </c>
      <c r="O1227" s="1" t="n">
        <v>827969</v>
      </c>
      <c r="P1227" s="1" t="n">
        <v>98.06</v>
      </c>
      <c r="Q1227" s="1" t="s">
        <v>20</v>
      </c>
      <c r="R1227" s="1" t="s">
        <v>27</v>
      </c>
      <c r="S1227" s="1" t="s">
        <v>28</v>
      </c>
      <c r="T1227" s="1" t="s">
        <v>29</v>
      </c>
    </row>
    <row r="1228" customFormat="false" ht="18.7" hidden="false" customHeight="true" outlineLevel="0" collapsed="false">
      <c r="A1228" s="1" t="n">
        <v>1227</v>
      </c>
      <c r="B1228" s="6" t="str">
        <f aca="false">HYPERLINK("https://mncourtfraud.com/file/MCRO_27-CR-20-7092_Notice of Remote Hearing with Instructions_2024-01-23_20240430085259.pdf","MCRO_27-CR-20-7092_Notice of Remote Hearing with Instructions_2024-01-23_20240430085259.pdf")</f>
        <v>MCRO_27-CR-20-7092_Notice of Remote Hearing with Instructions_2024-01-23_20240430085259.pdf</v>
      </c>
      <c r="C1228" s="1" t="n">
        <v>5</v>
      </c>
      <c r="D1228" s="1" t="n">
        <v>1</v>
      </c>
      <c r="E1228" s="1" t="n">
        <v>1</v>
      </c>
      <c r="F1228" s="3" t="s">
        <v>20</v>
      </c>
      <c r="G1228" s="3" t="s">
        <v>5101</v>
      </c>
      <c r="H1228" s="1" t="s">
        <v>22</v>
      </c>
      <c r="I1228" s="1" t="n">
        <v>20240430085259</v>
      </c>
      <c r="J1228" s="3" t="s">
        <v>5102</v>
      </c>
      <c r="K1228" s="3" t="s">
        <v>5103</v>
      </c>
      <c r="L1228" s="3" t="s">
        <v>5104</v>
      </c>
      <c r="M1228" s="3" t="n">
        <v>844338</v>
      </c>
      <c r="N1228" s="3" t="s">
        <v>510</v>
      </c>
      <c r="O1228" s="1" t="n">
        <v>827952</v>
      </c>
      <c r="P1228" s="1" t="n">
        <v>98.06</v>
      </c>
      <c r="Q1228" s="1" t="s">
        <v>20</v>
      </c>
      <c r="R1228" s="1" t="s">
        <v>27</v>
      </c>
      <c r="S1228" s="1" t="s">
        <v>28</v>
      </c>
      <c r="T1228" s="1" t="s">
        <v>29</v>
      </c>
    </row>
    <row r="1229" customFormat="false" ht="18.7" hidden="false" customHeight="true" outlineLevel="0" collapsed="false">
      <c r="A1229" s="1" t="n">
        <v>1228</v>
      </c>
      <c r="B1229" s="6" t="str">
        <f aca="false">HYPERLINK("https://mncourtfraud.com/file/MCRO_27-CR-20-7092_Order-Evaluation for Competency to Proceed (Rule 20.01)_2023-09-28_20240430085302.pdf","MCRO_27-CR-20-7092_Order-Evaluation for Competency to Proceed (Rule 20.01)_2023-09-28_20240430085302.pdf")</f>
        <v>MCRO_27-CR-20-7092_Order-Evaluation for Competency to Proceed (Rule 20.01)_2023-09-28_20240430085302.pdf</v>
      </c>
      <c r="C1229" s="1" t="n">
        <v>7</v>
      </c>
      <c r="D1229" s="1" t="n">
        <v>2</v>
      </c>
      <c r="E1229" s="1" t="n">
        <v>2</v>
      </c>
      <c r="F1229" s="3" t="s">
        <v>27</v>
      </c>
      <c r="G1229" s="3" t="s">
        <v>5105</v>
      </c>
      <c r="H1229" s="1" t="s">
        <v>22</v>
      </c>
      <c r="I1229" s="1" t="n">
        <v>20240430085302</v>
      </c>
      <c r="J1229" s="3" t="s">
        <v>5106</v>
      </c>
      <c r="K1229" s="3" t="s">
        <v>5107</v>
      </c>
      <c r="L1229" s="3" t="s">
        <v>5108</v>
      </c>
      <c r="M1229" s="3" t="n">
        <v>922287</v>
      </c>
      <c r="N1229" s="3" t="s">
        <v>5109</v>
      </c>
      <c r="O1229" s="1" t="n">
        <v>905901</v>
      </c>
      <c r="P1229" s="1" t="n">
        <v>98.22</v>
      </c>
      <c r="Q1229" s="1" t="s">
        <v>20</v>
      </c>
      <c r="R1229" s="1" t="s">
        <v>27</v>
      </c>
      <c r="S1229" s="1" t="s">
        <v>28</v>
      </c>
      <c r="T1229" s="1" t="s">
        <v>29</v>
      </c>
    </row>
    <row r="1230" customFormat="false" ht="18.7" hidden="false" customHeight="true" outlineLevel="0" collapsed="false">
      <c r="A1230" s="1" t="n">
        <v>1229</v>
      </c>
      <c r="B1230" s="6" t="str">
        <f aca="false">HYPERLINK("https://mncourtfraud.com/file/MCRO_27-CR-20-7092_Other Document_2020-11-16_20240430085313.pdf","MCRO_27-CR-20-7092_Other Document_2020-11-16_20240430085313.pdf")</f>
        <v>MCRO_27-CR-20-7092_Other Document_2020-11-16_20240430085313.pdf</v>
      </c>
      <c r="C1230" s="1" t="n">
        <v>3</v>
      </c>
      <c r="D1230" s="1" t="n">
        <v>1</v>
      </c>
      <c r="E1230" s="1" t="n">
        <v>1</v>
      </c>
      <c r="F1230" s="3" t="s">
        <v>20</v>
      </c>
      <c r="G1230" s="3" t="s">
        <v>5110</v>
      </c>
      <c r="H1230" s="1" t="s">
        <v>22</v>
      </c>
      <c r="I1230" s="1" t="n">
        <v>20240430085313</v>
      </c>
      <c r="J1230" s="3" t="s">
        <v>5111</v>
      </c>
      <c r="K1230" s="3" t="s">
        <v>5112</v>
      </c>
      <c r="L1230" s="3" t="s">
        <v>5113</v>
      </c>
      <c r="M1230" s="3" t="n">
        <v>188165</v>
      </c>
      <c r="N1230" s="3" t="s">
        <v>109</v>
      </c>
      <c r="O1230" s="1" t="n">
        <v>171779</v>
      </c>
      <c r="P1230" s="1" t="n">
        <v>91.29</v>
      </c>
      <c r="Q1230" s="1" t="s">
        <v>20</v>
      </c>
      <c r="R1230" s="1" t="s">
        <v>27</v>
      </c>
      <c r="S1230" s="1" t="s">
        <v>28</v>
      </c>
      <c r="T1230" s="1" t="s">
        <v>29</v>
      </c>
    </row>
    <row r="1231" customFormat="false" ht="18.7" hidden="false" customHeight="true" outlineLevel="0" collapsed="false">
      <c r="A1231" s="1" t="n">
        <v>1230</v>
      </c>
      <c r="B1231" s="6" t="str">
        <f aca="false">HYPERLINK("https://mncourtfraud.com/file/MCRO_27-CR-20-7092_Other Document_2021-11-19_20240430085307.pdf","MCRO_27-CR-20-7092_Other Document_2021-11-19_20240430085307.pdf")</f>
        <v>MCRO_27-CR-20-7092_Other Document_2021-11-19_20240430085307.pdf</v>
      </c>
      <c r="C1231" s="1" t="n">
        <v>3</v>
      </c>
      <c r="D1231" s="1" t="n">
        <v>1</v>
      </c>
      <c r="E1231" s="1" t="n">
        <v>1</v>
      </c>
      <c r="F1231" s="3" t="s">
        <v>20</v>
      </c>
      <c r="G1231" s="3" t="s">
        <v>5114</v>
      </c>
      <c r="H1231" s="1" t="s">
        <v>22</v>
      </c>
      <c r="I1231" s="1" t="n">
        <v>20240430085307</v>
      </c>
      <c r="J1231" s="3" t="s">
        <v>5115</v>
      </c>
      <c r="K1231" s="3" t="s">
        <v>5116</v>
      </c>
      <c r="L1231" s="3" t="s">
        <v>5117</v>
      </c>
      <c r="M1231" s="3" t="n">
        <v>187360</v>
      </c>
      <c r="N1231" s="3" t="s">
        <v>3673</v>
      </c>
      <c r="O1231" s="1" t="n">
        <v>170974</v>
      </c>
      <c r="P1231" s="1" t="n">
        <v>91.25</v>
      </c>
      <c r="Q1231" s="1" t="s">
        <v>20</v>
      </c>
      <c r="R1231" s="1" t="s">
        <v>27</v>
      </c>
      <c r="S1231" s="1" t="s">
        <v>28</v>
      </c>
      <c r="T1231" s="1" t="s">
        <v>29</v>
      </c>
    </row>
    <row r="1232" customFormat="false" ht="18.7" hidden="false" customHeight="true" outlineLevel="0" collapsed="false">
      <c r="A1232" s="1" t="n">
        <v>1231</v>
      </c>
      <c r="B1232" s="6" t="str">
        <f aca="false">HYPERLINK("https://mncourtfraud.com/file/MCRO_27-CR-20-7092_Pandemic Notice of Cancelled or Rescheduled Hearing_2020-05-12_20240430085316.pdf","MCRO_27-CR-20-7092_Pandemic Notice of Cancelled or Rescheduled Hearing_2020-05-12_20240430085316.pdf")</f>
        <v>MCRO_27-CR-20-7092_Pandemic Notice of Cancelled or Rescheduled Hearing_2020-05-12_20240430085316.pdf</v>
      </c>
      <c r="C1232" s="1" t="n">
        <v>4</v>
      </c>
      <c r="D1232" s="1" t="n">
        <v>1</v>
      </c>
      <c r="E1232" s="1" t="n">
        <v>1</v>
      </c>
      <c r="F1232" s="3" t="s">
        <v>20</v>
      </c>
      <c r="G1232" s="3" t="s">
        <v>5118</v>
      </c>
      <c r="H1232" s="1" t="s">
        <v>22</v>
      </c>
      <c r="I1232" s="1" t="n">
        <v>20240430085316</v>
      </c>
      <c r="J1232" s="3" t="s">
        <v>5119</v>
      </c>
      <c r="K1232" s="3" t="s">
        <v>5120</v>
      </c>
      <c r="L1232" s="3" t="s">
        <v>5121</v>
      </c>
      <c r="M1232" s="3" t="n">
        <v>672168</v>
      </c>
      <c r="N1232" s="3" t="s">
        <v>3085</v>
      </c>
      <c r="O1232" s="1" t="n">
        <v>655782</v>
      </c>
      <c r="P1232" s="1" t="n">
        <v>97.56</v>
      </c>
      <c r="Q1232" s="1" t="s">
        <v>20</v>
      </c>
      <c r="R1232" s="1" t="s">
        <v>27</v>
      </c>
      <c r="S1232" s="1" t="s">
        <v>28</v>
      </c>
      <c r="T1232" s="1" t="s">
        <v>29</v>
      </c>
    </row>
    <row r="1233" customFormat="false" ht="18.7" hidden="false" customHeight="true" outlineLevel="0" collapsed="false">
      <c r="A1233" s="1" t="n">
        <v>1232</v>
      </c>
      <c r="B1233" s="6" t="str">
        <f aca="false">HYPERLINK("https://mncourtfraud.com/file/MCRO_27-CR-20-7092_Returned Mail_2020-03-24_20240430085318.pdf","MCRO_27-CR-20-7092_Returned Mail_2020-03-24_20240430085318.pdf")</f>
        <v>MCRO_27-CR-20-7092_Returned Mail_2020-03-24_20240430085318.pdf</v>
      </c>
      <c r="C1233" s="1" t="n">
        <v>4</v>
      </c>
      <c r="D1233" s="1" t="n">
        <v>1</v>
      </c>
      <c r="E1233" s="1" t="n">
        <v>1</v>
      </c>
      <c r="F1233" s="3" t="s">
        <v>20</v>
      </c>
      <c r="G1233" s="3" t="s">
        <v>5122</v>
      </c>
      <c r="H1233" s="1" t="s">
        <v>22</v>
      </c>
      <c r="I1233" s="1" t="n">
        <v>20240430085318</v>
      </c>
      <c r="J1233" s="3" t="s">
        <v>5123</v>
      </c>
      <c r="K1233" s="3" t="s">
        <v>5124</v>
      </c>
      <c r="L1233" s="3" t="s">
        <v>5125</v>
      </c>
      <c r="M1233" s="3" t="n">
        <v>368310</v>
      </c>
      <c r="N1233" s="3" t="s">
        <v>2813</v>
      </c>
      <c r="O1233" s="1" t="n">
        <v>351924</v>
      </c>
      <c r="P1233" s="1" t="n">
        <v>95.55</v>
      </c>
      <c r="Q1233" s="1" t="s">
        <v>20</v>
      </c>
      <c r="R1233" s="1" t="s">
        <v>27</v>
      </c>
      <c r="S1233" s="1" t="s">
        <v>28</v>
      </c>
      <c r="T1233" s="1" t="s">
        <v>29</v>
      </c>
    </row>
    <row r="1234" customFormat="false" ht="18.7" hidden="false" customHeight="true" outlineLevel="0" collapsed="false">
      <c r="A1234" s="1" t="n">
        <v>1233</v>
      </c>
      <c r="B1234" s="6" t="str">
        <f aca="false">HYPERLINK("https://mncourtfraud.com/file/MCRO_27-CR-20-7092_Returned Mail_2020-03-30_20240430085317.pdf","MCRO_27-CR-20-7092_Returned Mail_2020-03-30_20240430085317.pdf")</f>
        <v>MCRO_27-CR-20-7092_Returned Mail_2020-03-30_20240430085317.pdf</v>
      </c>
      <c r="C1234" s="1" t="n">
        <v>4</v>
      </c>
      <c r="D1234" s="1" t="n">
        <v>1</v>
      </c>
      <c r="E1234" s="1" t="n">
        <v>1</v>
      </c>
      <c r="F1234" s="3" t="s">
        <v>20</v>
      </c>
      <c r="G1234" s="3" t="s">
        <v>5126</v>
      </c>
      <c r="H1234" s="1" t="s">
        <v>22</v>
      </c>
      <c r="I1234" s="1" t="n">
        <v>20240430085317</v>
      </c>
      <c r="J1234" s="3" t="s">
        <v>5127</v>
      </c>
      <c r="K1234" s="3" t="s">
        <v>5128</v>
      </c>
      <c r="L1234" s="3" t="s">
        <v>5129</v>
      </c>
      <c r="M1234" s="3" t="n">
        <v>240154</v>
      </c>
      <c r="N1234" s="3" t="s">
        <v>137</v>
      </c>
      <c r="O1234" s="1" t="n">
        <v>223768</v>
      </c>
      <c r="P1234" s="1" t="n">
        <v>93.18</v>
      </c>
      <c r="Q1234" s="1" t="s">
        <v>20</v>
      </c>
      <c r="R1234" s="1" t="s">
        <v>27</v>
      </c>
      <c r="S1234" s="1" t="s">
        <v>28</v>
      </c>
      <c r="T1234" s="1" t="s">
        <v>29</v>
      </c>
    </row>
    <row r="1235" customFormat="false" ht="18.7" hidden="false" customHeight="true" outlineLevel="0" collapsed="false">
      <c r="A1235" s="1" t="n">
        <v>1234</v>
      </c>
      <c r="B1235" s="6" t="str">
        <f aca="false">HYPERLINK("https://mncourtfraud.com/file/MCRO_27-CR-20-7092_Returned Mail_2021-01-04_20240430085310.pdf","MCRO_27-CR-20-7092_Returned Mail_2021-01-04_20240430085310.pdf")</f>
        <v>MCRO_27-CR-20-7092_Returned Mail_2021-01-04_20240430085310.pdf</v>
      </c>
      <c r="C1235" s="1" t="n">
        <v>4</v>
      </c>
      <c r="D1235" s="1" t="n">
        <v>1</v>
      </c>
      <c r="E1235" s="1" t="n">
        <v>1</v>
      </c>
      <c r="F1235" s="3" t="s">
        <v>20</v>
      </c>
      <c r="G1235" s="3" t="s">
        <v>5130</v>
      </c>
      <c r="H1235" s="1" t="s">
        <v>22</v>
      </c>
      <c r="I1235" s="1" t="n">
        <v>20240430085310</v>
      </c>
      <c r="J1235" s="3" t="s">
        <v>5131</v>
      </c>
      <c r="K1235" s="3" t="s">
        <v>5132</v>
      </c>
      <c r="L1235" s="3" t="s">
        <v>5133</v>
      </c>
      <c r="M1235" s="3" t="n">
        <v>229704</v>
      </c>
      <c r="N1235" s="3" t="s">
        <v>456</v>
      </c>
      <c r="O1235" s="1" t="n">
        <v>213318</v>
      </c>
      <c r="P1235" s="1" t="n">
        <v>92.87</v>
      </c>
      <c r="Q1235" s="1" t="s">
        <v>20</v>
      </c>
      <c r="R1235" s="1" t="s">
        <v>27</v>
      </c>
      <c r="S1235" s="1" t="s">
        <v>28</v>
      </c>
      <c r="T1235" s="1" t="s">
        <v>29</v>
      </c>
    </row>
    <row r="1236" customFormat="false" ht="18.7" hidden="false" customHeight="true" outlineLevel="0" collapsed="false">
      <c r="A1236" s="1" t="n">
        <v>1235</v>
      </c>
      <c r="B1236" s="6" t="str">
        <f aca="false">HYPERLINK("https://mncourtfraud.com/file/MCRO_27-CR-20-7092_Returned Mail_2021-01-25_20240430085308.pdf","MCRO_27-CR-20-7092_Returned Mail_2021-01-25_20240430085308.pdf")</f>
        <v>MCRO_27-CR-20-7092_Returned Mail_2021-01-25_20240430085308.pdf</v>
      </c>
      <c r="C1236" s="1" t="n">
        <v>3</v>
      </c>
      <c r="D1236" s="1" t="n">
        <v>1</v>
      </c>
      <c r="E1236" s="1" t="n">
        <v>1</v>
      </c>
      <c r="F1236" s="3" t="s">
        <v>20</v>
      </c>
      <c r="G1236" s="3" t="s">
        <v>5134</v>
      </c>
      <c r="H1236" s="1" t="s">
        <v>22</v>
      </c>
      <c r="I1236" s="1" t="n">
        <v>20240430085308</v>
      </c>
      <c r="J1236" s="3" t="s">
        <v>5135</v>
      </c>
      <c r="K1236" s="3" t="s">
        <v>5136</v>
      </c>
      <c r="L1236" s="3" t="s">
        <v>5137</v>
      </c>
      <c r="M1236" s="3" t="n">
        <v>67862</v>
      </c>
      <c r="N1236" s="3" t="s">
        <v>5138</v>
      </c>
      <c r="O1236" s="1" t="n">
        <v>51476</v>
      </c>
      <c r="P1236" s="1" t="n">
        <v>75.85</v>
      </c>
      <c r="Q1236" s="1" t="s">
        <v>20</v>
      </c>
      <c r="R1236" s="1" t="s">
        <v>27</v>
      </c>
      <c r="S1236" s="1" t="s">
        <v>28</v>
      </c>
      <c r="T1236" s="1" t="s">
        <v>29</v>
      </c>
    </row>
    <row r="1237" customFormat="false" ht="18.7" hidden="false" customHeight="true" outlineLevel="0" collapsed="false">
      <c r="A1237" s="1" t="n">
        <v>1236</v>
      </c>
      <c r="B1237" s="6" t="str">
        <f aca="false">HYPERLINK("https://mncourtfraud.com/file/MCRO_27-CR-20-7092_Returned Mail_2021-12-22_20240430085305.pdf","MCRO_27-CR-20-7092_Returned Mail_2021-12-22_20240430085305.pdf")</f>
        <v>MCRO_27-CR-20-7092_Returned Mail_2021-12-22_20240430085305.pdf</v>
      </c>
      <c r="C1237" s="1" t="n">
        <v>4</v>
      </c>
      <c r="D1237" s="1" t="n">
        <v>1</v>
      </c>
      <c r="E1237" s="1" t="n">
        <v>1</v>
      </c>
      <c r="F1237" s="3" t="s">
        <v>20</v>
      </c>
      <c r="G1237" s="3" t="s">
        <v>5139</v>
      </c>
      <c r="H1237" s="1" t="s">
        <v>22</v>
      </c>
      <c r="I1237" s="1" t="n">
        <v>20240430085305</v>
      </c>
      <c r="J1237" s="3" t="s">
        <v>5140</v>
      </c>
      <c r="K1237" s="3" t="s">
        <v>5141</v>
      </c>
      <c r="L1237" s="3" t="s">
        <v>5142</v>
      </c>
      <c r="M1237" s="3" t="n">
        <v>196898</v>
      </c>
      <c r="N1237" s="3" t="s">
        <v>1307</v>
      </c>
      <c r="O1237" s="1" t="n">
        <v>180512</v>
      </c>
      <c r="P1237" s="1" t="n">
        <v>91.68</v>
      </c>
      <c r="Q1237" s="1" t="s">
        <v>20</v>
      </c>
      <c r="R1237" s="1" t="s">
        <v>27</v>
      </c>
      <c r="S1237" s="1" t="s">
        <v>28</v>
      </c>
      <c r="T1237" s="1" t="s">
        <v>29</v>
      </c>
    </row>
    <row r="1238" customFormat="false" ht="18.7" hidden="false" customHeight="true" outlineLevel="0" collapsed="false">
      <c r="A1238" s="1" t="n">
        <v>1237</v>
      </c>
      <c r="B1238" s="6" t="str">
        <f aca="false">HYPERLINK("https://mncourtfraud.com/file/MCRO_27-CR-20-7092_Summons_2020-03-17_20240430085320.pdf","MCRO_27-CR-20-7092_Summons_2020-03-17_20240430085320.pdf")</f>
        <v>MCRO_27-CR-20-7092_Summons_2020-03-17_20240430085320.pdf</v>
      </c>
      <c r="C1238" s="1" t="n">
        <v>4</v>
      </c>
      <c r="D1238" s="1" t="n">
        <v>1</v>
      </c>
      <c r="E1238" s="1" t="n">
        <v>1</v>
      </c>
      <c r="F1238" s="3" t="s">
        <v>20</v>
      </c>
      <c r="G1238" s="3" t="s">
        <v>5143</v>
      </c>
      <c r="H1238" s="1" t="s">
        <v>22</v>
      </c>
      <c r="I1238" s="1" t="n">
        <v>20240430085320</v>
      </c>
      <c r="J1238" s="3" t="s">
        <v>5144</v>
      </c>
      <c r="K1238" s="3" t="s">
        <v>5145</v>
      </c>
      <c r="L1238" s="3" t="s">
        <v>5146</v>
      </c>
      <c r="M1238" s="3" t="n">
        <v>249181</v>
      </c>
      <c r="N1238" s="3" t="s">
        <v>1101</v>
      </c>
      <c r="O1238" s="1" t="n">
        <v>232795</v>
      </c>
      <c r="P1238" s="1" t="n">
        <v>93.42</v>
      </c>
      <c r="Q1238" s="1" t="s">
        <v>20</v>
      </c>
      <c r="R1238" s="1" t="s">
        <v>27</v>
      </c>
      <c r="S1238" s="1" t="s">
        <v>28</v>
      </c>
      <c r="T1238" s="1" t="s">
        <v>29</v>
      </c>
    </row>
    <row r="1239" customFormat="false" ht="18.7" hidden="false" customHeight="true" outlineLevel="0" collapsed="false">
      <c r="A1239" s="1" t="n">
        <v>1238</v>
      </c>
      <c r="B1239" s="6" t="str">
        <f aca="false">HYPERLINK("https://mncourtfraud.com/file/MCRO_27-CR-20-7092_Warrant Issued_2020-06-09_20240430085314.pdf","MCRO_27-CR-20-7092_Warrant Issued_2020-06-09_20240430085314.pdf")</f>
        <v>MCRO_27-CR-20-7092_Warrant Issued_2020-06-09_20240430085314.pdf</v>
      </c>
      <c r="C1239" s="1" t="n">
        <v>4</v>
      </c>
      <c r="D1239" s="1" t="n">
        <v>1</v>
      </c>
      <c r="E1239" s="1" t="n">
        <v>1</v>
      </c>
      <c r="F1239" s="3" t="s">
        <v>20</v>
      </c>
      <c r="G1239" s="3" t="s">
        <v>5147</v>
      </c>
      <c r="H1239" s="1" t="s">
        <v>22</v>
      </c>
      <c r="I1239" s="1" t="n">
        <v>20240430085314</v>
      </c>
      <c r="J1239" s="3" t="s">
        <v>5148</v>
      </c>
      <c r="K1239" s="3" t="s">
        <v>5149</v>
      </c>
      <c r="L1239" s="3" t="s">
        <v>5150</v>
      </c>
      <c r="M1239" s="3" t="n">
        <v>111567</v>
      </c>
      <c r="N1239" s="3" t="s">
        <v>2541</v>
      </c>
      <c r="O1239" s="1" t="n">
        <v>95181</v>
      </c>
      <c r="P1239" s="1" t="n">
        <v>85.31</v>
      </c>
      <c r="Q1239" s="1" t="s">
        <v>20</v>
      </c>
      <c r="R1239" s="1" t="s">
        <v>27</v>
      </c>
      <c r="S1239" s="1" t="s">
        <v>28</v>
      </c>
      <c r="T1239" s="1" t="s">
        <v>29</v>
      </c>
    </row>
    <row r="1240" customFormat="false" ht="18.7" hidden="false" customHeight="true" outlineLevel="0" collapsed="false">
      <c r="A1240" s="1" t="n">
        <v>1239</v>
      </c>
      <c r="B1240" s="6" t="str">
        <f aca="false">HYPERLINK("https://mncourtfraud.com/file/MCRO_27-CR-20-8575_Assignment of Bail_2021-03-10_20240430085354.pdf","MCRO_27-CR-20-8575_Assignment of Bail_2021-03-10_20240430085354.pdf")</f>
        <v>MCRO_27-CR-20-8575_Assignment of Bail_2021-03-10_20240430085354.pdf</v>
      </c>
      <c r="C1240" s="1" t="n">
        <v>4</v>
      </c>
      <c r="D1240" s="1" t="n">
        <v>1</v>
      </c>
      <c r="E1240" s="1" t="n">
        <v>1</v>
      </c>
      <c r="F1240" s="3" t="s">
        <v>20</v>
      </c>
      <c r="G1240" s="3" t="s">
        <v>5151</v>
      </c>
      <c r="H1240" s="1" t="s">
        <v>22</v>
      </c>
      <c r="I1240" s="1" t="n">
        <v>20240430085354</v>
      </c>
      <c r="J1240" s="3" t="s">
        <v>5152</v>
      </c>
      <c r="K1240" s="3" t="s">
        <v>5153</v>
      </c>
      <c r="L1240" s="3" t="s">
        <v>5154</v>
      </c>
      <c r="M1240" s="3" t="n">
        <v>90961</v>
      </c>
      <c r="N1240" s="3" t="s">
        <v>456</v>
      </c>
      <c r="O1240" s="1" t="n">
        <v>74575</v>
      </c>
      <c r="P1240" s="1" t="n">
        <v>81.99</v>
      </c>
      <c r="Q1240" s="1" t="s">
        <v>20</v>
      </c>
      <c r="R1240" s="1" t="s">
        <v>27</v>
      </c>
      <c r="S1240" s="1" t="s">
        <v>28</v>
      </c>
      <c r="T1240" s="1" t="s">
        <v>29</v>
      </c>
    </row>
    <row r="1241" customFormat="false" ht="18.7" hidden="false" customHeight="true" outlineLevel="0" collapsed="false">
      <c r="A1241" s="1" t="n">
        <v>1240</v>
      </c>
      <c r="B1241" s="6" t="str">
        <f aca="false">HYPERLINK("https://mncourtfraud.com/file/MCRO_27-CR-20-8575_Demand or Request for Discovery_2020-04-06_20240430085401.pdf","MCRO_27-CR-20-8575_Demand or Request for Discovery_2020-04-06_20240430085401.pdf")</f>
        <v>MCRO_27-CR-20-8575_Demand or Request for Discovery_2020-04-06_20240430085401.pdf</v>
      </c>
      <c r="C1241" s="1" t="n">
        <v>3</v>
      </c>
      <c r="D1241" s="1" t="n">
        <v>1</v>
      </c>
      <c r="E1241" s="1" t="n">
        <v>1</v>
      </c>
      <c r="F1241" s="3" t="s">
        <v>20</v>
      </c>
      <c r="G1241" s="3" t="s">
        <v>5155</v>
      </c>
      <c r="H1241" s="1" t="s">
        <v>22</v>
      </c>
      <c r="I1241" s="1" t="n">
        <v>20240430085401</v>
      </c>
      <c r="J1241" s="3" t="s">
        <v>5156</v>
      </c>
      <c r="K1241" s="3" t="s">
        <v>5157</v>
      </c>
      <c r="L1241" s="3" t="s">
        <v>5158</v>
      </c>
      <c r="M1241" s="3" t="n">
        <v>419459</v>
      </c>
      <c r="N1241" s="3" t="s">
        <v>5159</v>
      </c>
      <c r="O1241" s="1" t="n">
        <v>403073</v>
      </c>
      <c r="P1241" s="1" t="n">
        <v>96.09</v>
      </c>
      <c r="Q1241" s="1" t="s">
        <v>20</v>
      </c>
      <c r="R1241" s="1" t="s">
        <v>27</v>
      </c>
      <c r="S1241" s="1" t="s">
        <v>28</v>
      </c>
      <c r="T1241" s="1" t="s">
        <v>29</v>
      </c>
    </row>
    <row r="1242" customFormat="false" ht="18.7" hidden="false" customHeight="true" outlineLevel="0" collapsed="false">
      <c r="A1242" s="1" t="n">
        <v>1241</v>
      </c>
      <c r="B1242" s="6" t="str">
        <f aca="false">HYPERLINK("https://mncourtfraud.com/file/MCRO_27-CR-20-8575_E-filed Comp-Order for Detention_2020-04-03_20240430085402.pdf","MCRO_27-CR-20-8575_E-filed Comp-Order for Detention_2020-04-03_20240430085402.pdf")</f>
        <v>MCRO_27-CR-20-8575_E-filed Comp-Order for Detention_2020-04-03_20240430085402.pdf</v>
      </c>
      <c r="C1242" s="1" t="n">
        <v>4</v>
      </c>
      <c r="D1242" s="1" t="n">
        <v>2</v>
      </c>
      <c r="E1242" s="1" t="n">
        <v>2</v>
      </c>
      <c r="F1242" s="3" t="s">
        <v>20</v>
      </c>
      <c r="G1242" s="3" t="s">
        <v>5160</v>
      </c>
      <c r="H1242" s="1" t="s">
        <v>22</v>
      </c>
      <c r="I1242" s="1" t="n">
        <v>20240430085402</v>
      </c>
      <c r="J1242" s="3" t="s">
        <v>5161</v>
      </c>
      <c r="K1242" s="3" t="s">
        <v>5162</v>
      </c>
      <c r="L1242" s="3" t="s">
        <v>5163</v>
      </c>
      <c r="M1242" s="3" t="n">
        <v>489502</v>
      </c>
      <c r="N1242" s="3" t="s">
        <v>554</v>
      </c>
      <c r="O1242" s="1" t="n">
        <v>473116</v>
      </c>
      <c r="P1242" s="1" t="n">
        <v>96.65</v>
      </c>
      <c r="Q1242" s="1" t="s">
        <v>20</v>
      </c>
      <c r="R1242" s="1" t="s">
        <v>27</v>
      </c>
      <c r="S1242" s="1" t="s">
        <v>28</v>
      </c>
      <c r="T1242" s="1" t="s">
        <v>29</v>
      </c>
    </row>
    <row r="1243" customFormat="false" ht="18.7" hidden="false" customHeight="true" outlineLevel="0" collapsed="false">
      <c r="A1243" s="1" t="n">
        <v>1242</v>
      </c>
      <c r="B1243" s="6" t="str">
        <f aca="false">HYPERLINK("https://mncourtfraud.com/file/MCRO_27-CR-20-8575_Finding of Incompetency and Order_2023-04-24_20240430085346.pdf","MCRO_27-CR-20-8575_Finding of Incompetency and Order_2023-04-24_20240430085346.pdf")</f>
        <v>MCRO_27-CR-20-8575_Finding of Incompetency and Order_2023-04-24_20240430085346.pdf</v>
      </c>
      <c r="C1243" s="1" t="n">
        <v>7</v>
      </c>
      <c r="D1243" s="1" t="n">
        <v>2</v>
      </c>
      <c r="E1243" s="1" t="n">
        <v>2</v>
      </c>
      <c r="F1243" s="3" t="s">
        <v>27</v>
      </c>
      <c r="G1243" s="3" t="s">
        <v>5164</v>
      </c>
      <c r="H1243" s="1" t="s">
        <v>22</v>
      </c>
      <c r="I1243" s="1" t="n">
        <v>20240430085346</v>
      </c>
      <c r="J1243" s="3" t="s">
        <v>5165</v>
      </c>
      <c r="K1243" s="3" t="s">
        <v>5166</v>
      </c>
      <c r="L1243" s="3" t="s">
        <v>5167</v>
      </c>
      <c r="M1243" s="3" t="n">
        <v>909265</v>
      </c>
      <c r="N1243" s="3" t="s">
        <v>3832</v>
      </c>
      <c r="O1243" s="1" t="n">
        <v>892879</v>
      </c>
      <c r="P1243" s="1" t="n">
        <v>98.2</v>
      </c>
      <c r="Q1243" s="1" t="s">
        <v>20</v>
      </c>
      <c r="R1243" s="1" t="s">
        <v>27</v>
      </c>
      <c r="S1243" s="1" t="s">
        <v>28</v>
      </c>
      <c r="T1243" s="1" t="s">
        <v>29</v>
      </c>
    </row>
    <row r="1244" customFormat="false" ht="18.7" hidden="false" customHeight="true" outlineLevel="0" collapsed="false">
      <c r="A1244" s="1" t="n">
        <v>1243</v>
      </c>
      <c r="B1244" s="6" t="str">
        <f aca="false">HYPERLINK("https://mncourtfraud.com/file/MCRO_27-CR-20-8575_Law Enforcement Notice of Release and Appearance_2020-04-07_20240430085359.pdf","MCRO_27-CR-20-8575_Law Enforcement Notice of Release and Appearance_2020-04-07_20240430085359.pdf")</f>
        <v>MCRO_27-CR-20-8575_Law Enforcement Notice of Release and Appearance_2020-04-07_20240430085359.pdf</v>
      </c>
      <c r="C1244" s="1" t="n">
        <v>4</v>
      </c>
      <c r="D1244" s="1" t="n">
        <v>1</v>
      </c>
      <c r="E1244" s="1" t="n">
        <v>1</v>
      </c>
      <c r="F1244" s="3" t="s">
        <v>20</v>
      </c>
      <c r="G1244" s="3" t="s">
        <v>5168</v>
      </c>
      <c r="H1244" s="1" t="s">
        <v>22</v>
      </c>
      <c r="I1244" s="1" t="n">
        <v>20240430085359</v>
      </c>
      <c r="J1244" s="3" t="s">
        <v>5169</v>
      </c>
      <c r="K1244" s="3" t="s">
        <v>5170</v>
      </c>
      <c r="L1244" s="3" t="s">
        <v>5171</v>
      </c>
      <c r="M1244" s="3" t="n">
        <v>105313</v>
      </c>
      <c r="N1244" s="3" t="s">
        <v>137</v>
      </c>
      <c r="O1244" s="1" t="n">
        <v>88927</v>
      </c>
      <c r="P1244" s="1" t="n">
        <v>84.44</v>
      </c>
      <c r="Q1244" s="1" t="s">
        <v>20</v>
      </c>
      <c r="R1244" s="1" t="s">
        <v>27</v>
      </c>
      <c r="S1244" s="1" t="s">
        <v>28</v>
      </c>
      <c r="T1244" s="1" t="s">
        <v>29</v>
      </c>
    </row>
    <row r="1245" customFormat="false" ht="18.7" hidden="false" customHeight="true" outlineLevel="0" collapsed="false">
      <c r="A1245" s="1" t="n">
        <v>1244</v>
      </c>
      <c r="B1245" s="6" t="str">
        <f aca="false">HYPERLINK("https://mncourtfraud.com/file/MCRO_27-CR-20-8575_Notice of Case Reassignment_2022-01-07_20240430085350.pdf","MCRO_27-CR-20-8575_Notice of Case Reassignment_2022-01-07_20240430085350.pdf")</f>
        <v>MCRO_27-CR-20-8575_Notice of Case Reassignment_2022-01-07_20240430085350.pdf</v>
      </c>
      <c r="C1245" s="1" t="n">
        <v>4</v>
      </c>
      <c r="D1245" s="1" t="n">
        <v>1</v>
      </c>
      <c r="E1245" s="1" t="n">
        <v>1</v>
      </c>
      <c r="F1245" s="3" t="s">
        <v>20</v>
      </c>
      <c r="G1245" s="3" t="s">
        <v>5172</v>
      </c>
      <c r="H1245" s="1" t="s">
        <v>22</v>
      </c>
      <c r="I1245" s="1" t="n">
        <v>20240430085350</v>
      </c>
      <c r="J1245" s="3" t="s">
        <v>5173</v>
      </c>
      <c r="K1245" s="3" t="s">
        <v>5174</v>
      </c>
      <c r="L1245" s="3" t="s">
        <v>5175</v>
      </c>
      <c r="M1245" s="3" t="n">
        <v>337476</v>
      </c>
      <c r="N1245" s="3" t="s">
        <v>777</v>
      </c>
      <c r="O1245" s="1" t="n">
        <v>321090</v>
      </c>
      <c r="P1245" s="1" t="n">
        <v>95.14</v>
      </c>
      <c r="Q1245" s="1" t="s">
        <v>20</v>
      </c>
      <c r="R1245" s="1" t="s">
        <v>27</v>
      </c>
      <c r="S1245" s="1" t="s">
        <v>28</v>
      </c>
      <c r="T1245" s="1" t="s">
        <v>29</v>
      </c>
    </row>
    <row r="1246" customFormat="false" ht="18.7" hidden="false" customHeight="true" outlineLevel="0" collapsed="false">
      <c r="A1246" s="1" t="n">
        <v>1245</v>
      </c>
      <c r="B1246" s="6" t="str">
        <f aca="false">HYPERLINK("https://mncourtfraud.com/file/MCRO_27-CR-20-8575_Notice of Defense and Defense Witnesses_2021-06-22_20240430085353.pdf","MCRO_27-CR-20-8575_Notice of Defense and Defense Witnesses_2021-06-22_20240430085353.pdf")</f>
        <v>MCRO_27-CR-20-8575_Notice of Defense and Defense Witnesses_2021-06-22_20240430085353.pdf</v>
      </c>
      <c r="C1246" s="1" t="n">
        <v>3</v>
      </c>
      <c r="D1246" s="1" t="n">
        <v>1</v>
      </c>
      <c r="E1246" s="1" t="n">
        <v>1</v>
      </c>
      <c r="F1246" s="3" t="s">
        <v>20</v>
      </c>
      <c r="G1246" s="3" t="s">
        <v>5176</v>
      </c>
      <c r="H1246" s="1" t="s">
        <v>22</v>
      </c>
      <c r="I1246" s="1" t="n">
        <v>20240430085353</v>
      </c>
      <c r="J1246" s="3" t="s">
        <v>5177</v>
      </c>
      <c r="K1246" s="3" t="s">
        <v>5178</v>
      </c>
      <c r="L1246" s="3" t="s">
        <v>5179</v>
      </c>
      <c r="M1246" s="3" t="n">
        <v>177711</v>
      </c>
      <c r="N1246" s="3" t="s">
        <v>593</v>
      </c>
      <c r="O1246" s="1" t="n">
        <v>161325</v>
      </c>
      <c r="P1246" s="1" t="n">
        <v>90.78</v>
      </c>
      <c r="Q1246" s="1" t="s">
        <v>20</v>
      </c>
      <c r="R1246" s="1" t="s">
        <v>27</v>
      </c>
      <c r="S1246" s="1" t="s">
        <v>28</v>
      </c>
      <c r="T1246" s="1" t="s">
        <v>29</v>
      </c>
    </row>
    <row r="1247" customFormat="false" ht="18.7" hidden="false" customHeight="true" outlineLevel="0" collapsed="false">
      <c r="A1247" s="1" t="n">
        <v>1246</v>
      </c>
      <c r="B1247" s="6" t="str">
        <f aca="false">HYPERLINK("https://mncourtfraud.com/file/MCRO_27-CR-20-8575_Notice of Hearing_2020-07-14_20240430085357.pdf","MCRO_27-CR-20-8575_Notice of Hearing_2020-07-14_20240430085357.pdf")</f>
        <v>MCRO_27-CR-20-8575_Notice of Hearing_2020-07-14_20240430085357.pdf</v>
      </c>
      <c r="C1247" s="1" t="n">
        <v>4</v>
      </c>
      <c r="D1247" s="1" t="n">
        <v>1</v>
      </c>
      <c r="E1247" s="1" t="n">
        <v>1</v>
      </c>
      <c r="F1247" s="3" t="s">
        <v>20</v>
      </c>
      <c r="G1247" s="3" t="s">
        <v>5180</v>
      </c>
      <c r="H1247" s="1" t="s">
        <v>22</v>
      </c>
      <c r="I1247" s="1" t="n">
        <v>20240430085357</v>
      </c>
      <c r="J1247" s="3" t="s">
        <v>5181</v>
      </c>
      <c r="K1247" s="3" t="s">
        <v>5182</v>
      </c>
      <c r="L1247" s="3" t="s">
        <v>5183</v>
      </c>
      <c r="M1247" s="3" t="n">
        <v>114204</v>
      </c>
      <c r="N1247" s="3" t="s">
        <v>137</v>
      </c>
      <c r="O1247" s="1" t="n">
        <v>97818</v>
      </c>
      <c r="P1247" s="1" t="n">
        <v>85.65</v>
      </c>
      <c r="Q1247" s="1" t="s">
        <v>20</v>
      </c>
      <c r="R1247" s="1" t="s">
        <v>27</v>
      </c>
      <c r="S1247" s="1" t="s">
        <v>28</v>
      </c>
      <c r="T1247" s="1" t="s">
        <v>29</v>
      </c>
    </row>
    <row r="1248" customFormat="false" ht="18.7" hidden="false" customHeight="true" outlineLevel="0" collapsed="false">
      <c r="A1248" s="1" t="n">
        <v>1247</v>
      </c>
      <c r="B1248" s="6" t="str">
        <f aca="false">HYPERLINK("https://mncourtfraud.com/file/MCRO_27-CR-20-8575_Notice of Hearing_2020-07-14_20240430085358.pdf","MCRO_27-CR-20-8575_Notice of Hearing_2020-07-14_20240430085358.pdf")</f>
        <v>MCRO_27-CR-20-8575_Notice of Hearing_2020-07-14_20240430085358.pdf</v>
      </c>
      <c r="C1248" s="1" t="n">
        <v>4</v>
      </c>
      <c r="D1248" s="1" t="n">
        <v>1</v>
      </c>
      <c r="E1248" s="1" t="n">
        <v>1</v>
      </c>
      <c r="F1248" s="3" t="s">
        <v>20</v>
      </c>
      <c r="G1248" s="3" t="s">
        <v>5184</v>
      </c>
      <c r="H1248" s="1" t="s">
        <v>22</v>
      </c>
      <c r="I1248" s="1" t="n">
        <v>20240430085358</v>
      </c>
      <c r="J1248" s="3" t="s">
        <v>5185</v>
      </c>
      <c r="K1248" s="3" t="s">
        <v>5186</v>
      </c>
      <c r="L1248" s="3" t="s">
        <v>5187</v>
      </c>
      <c r="M1248" s="3" t="n">
        <v>116261</v>
      </c>
      <c r="N1248" s="3" t="s">
        <v>137</v>
      </c>
      <c r="O1248" s="1" t="n">
        <v>99875</v>
      </c>
      <c r="P1248" s="1" t="n">
        <v>85.91</v>
      </c>
      <c r="Q1248" s="1" t="s">
        <v>20</v>
      </c>
      <c r="R1248" s="1" t="s">
        <v>27</v>
      </c>
      <c r="S1248" s="1" t="s">
        <v>28</v>
      </c>
      <c r="T1248" s="1" t="s">
        <v>29</v>
      </c>
    </row>
    <row r="1249" customFormat="false" ht="18.7" hidden="false" customHeight="true" outlineLevel="0" collapsed="false">
      <c r="A1249" s="1" t="n">
        <v>1248</v>
      </c>
      <c r="B1249" s="6" t="str">
        <f aca="false">HYPERLINK("https://mncourtfraud.com/file/MCRO_27-CR-20-8575_Notice of Remote Hearing with Instructions_2021-01-26_20240430085356.pdf","MCRO_27-CR-20-8575_Notice of Remote Hearing with Instructions_2021-01-26_20240430085356.pdf")</f>
        <v>MCRO_27-CR-20-8575_Notice of Remote Hearing with Instructions_2021-01-26_20240430085356.pdf</v>
      </c>
      <c r="C1249" s="1" t="n">
        <v>4</v>
      </c>
      <c r="D1249" s="1" t="n">
        <v>1</v>
      </c>
      <c r="E1249" s="1" t="n">
        <v>1</v>
      </c>
      <c r="F1249" s="3" t="s">
        <v>20</v>
      </c>
      <c r="G1249" s="3" t="s">
        <v>5188</v>
      </c>
      <c r="H1249" s="1" t="s">
        <v>22</v>
      </c>
      <c r="I1249" s="1" t="n">
        <v>20240430085356</v>
      </c>
      <c r="J1249" s="3" t="s">
        <v>5189</v>
      </c>
      <c r="K1249" s="3" t="s">
        <v>5190</v>
      </c>
      <c r="L1249" s="3" t="s">
        <v>5191</v>
      </c>
      <c r="M1249" s="3" t="n">
        <v>836143</v>
      </c>
      <c r="N1249" s="3" t="s">
        <v>1065</v>
      </c>
      <c r="O1249" s="1" t="n">
        <v>819757</v>
      </c>
      <c r="P1249" s="1" t="n">
        <v>98.04</v>
      </c>
      <c r="Q1249" s="1" t="s">
        <v>20</v>
      </c>
      <c r="R1249" s="1" t="s">
        <v>27</v>
      </c>
      <c r="S1249" s="1" t="s">
        <v>28</v>
      </c>
      <c r="T1249" s="1" t="s">
        <v>29</v>
      </c>
    </row>
    <row r="1250" customFormat="false" ht="18.7" hidden="false" customHeight="true" outlineLevel="0" collapsed="false">
      <c r="A1250" s="1" t="n">
        <v>1249</v>
      </c>
      <c r="B1250" s="6" t="str">
        <f aca="false">HYPERLINK("https://mncourtfraud.com/file/MCRO_27-CR-20-8575_Notice of Remote Hearing with Instructions_2021-07-26_20240430085351.pdf","MCRO_27-CR-20-8575_Notice of Remote Hearing with Instructions_2021-07-26_20240430085351.pdf")</f>
        <v>MCRO_27-CR-20-8575_Notice of Remote Hearing with Instructions_2021-07-26_20240430085351.pdf</v>
      </c>
      <c r="C1250" s="1" t="n">
        <v>4</v>
      </c>
      <c r="D1250" s="1" t="n">
        <v>1</v>
      </c>
      <c r="E1250" s="1" t="n">
        <v>1</v>
      </c>
      <c r="F1250" s="3" t="s">
        <v>20</v>
      </c>
      <c r="G1250" s="3" t="s">
        <v>5192</v>
      </c>
      <c r="H1250" s="1" t="s">
        <v>22</v>
      </c>
      <c r="I1250" s="1" t="n">
        <v>20240430085351</v>
      </c>
      <c r="J1250" s="3" t="s">
        <v>5193</v>
      </c>
      <c r="K1250" s="3" t="s">
        <v>5194</v>
      </c>
      <c r="L1250" s="3" t="s">
        <v>5195</v>
      </c>
      <c r="M1250" s="3" t="n">
        <v>821686</v>
      </c>
      <c r="N1250" s="3" t="s">
        <v>2818</v>
      </c>
      <c r="O1250" s="1" t="n">
        <v>805300</v>
      </c>
      <c r="P1250" s="1" t="n">
        <v>98.01</v>
      </c>
      <c r="Q1250" s="1" t="s">
        <v>20</v>
      </c>
      <c r="R1250" s="1" t="s">
        <v>27</v>
      </c>
      <c r="S1250" s="1" t="s">
        <v>28</v>
      </c>
      <c r="T1250" s="1" t="s">
        <v>29</v>
      </c>
    </row>
    <row r="1251" customFormat="false" ht="18.7" hidden="false" customHeight="true" outlineLevel="0" collapsed="false">
      <c r="A1251" s="1" t="n">
        <v>1250</v>
      </c>
      <c r="B1251" s="6" t="str">
        <f aca="false">HYPERLINK("https://mncourtfraud.com/file/MCRO_27-CR-20-8575_Notice of Remote Hearing with Instructions_2022-05-03_20240430085349.pdf","MCRO_27-CR-20-8575_Notice of Remote Hearing with Instructions_2022-05-03_20240430085349.pdf")</f>
        <v>MCRO_27-CR-20-8575_Notice of Remote Hearing with Instructions_2022-05-03_20240430085349.pdf</v>
      </c>
      <c r="C1251" s="1" t="n">
        <v>5</v>
      </c>
      <c r="D1251" s="1" t="n">
        <v>1</v>
      </c>
      <c r="E1251" s="1" t="n">
        <v>1</v>
      </c>
      <c r="F1251" s="3" t="s">
        <v>20</v>
      </c>
      <c r="G1251" s="3" t="s">
        <v>5196</v>
      </c>
      <c r="H1251" s="1" t="s">
        <v>22</v>
      </c>
      <c r="I1251" s="1" t="n">
        <v>20240430085349</v>
      </c>
      <c r="J1251" s="3" t="s">
        <v>5197</v>
      </c>
      <c r="K1251" s="3" t="s">
        <v>5198</v>
      </c>
      <c r="L1251" s="3" t="s">
        <v>5199</v>
      </c>
      <c r="M1251" s="3" t="n">
        <v>309231</v>
      </c>
      <c r="N1251" s="3" t="s">
        <v>491</v>
      </c>
      <c r="O1251" s="1" t="n">
        <v>292845</v>
      </c>
      <c r="P1251" s="1" t="n">
        <v>94.7</v>
      </c>
      <c r="Q1251" s="1" t="s">
        <v>20</v>
      </c>
      <c r="R1251" s="1" t="s">
        <v>27</v>
      </c>
      <c r="S1251" s="1" t="s">
        <v>28</v>
      </c>
      <c r="T1251" s="1" t="s">
        <v>29</v>
      </c>
    </row>
    <row r="1252" customFormat="false" ht="18.7" hidden="false" customHeight="true" outlineLevel="0" collapsed="false">
      <c r="A1252" s="1" t="n">
        <v>1251</v>
      </c>
      <c r="B1252" s="6" t="str">
        <f aca="false">HYPERLINK("https://mncourtfraud.com/file/MCRO_27-CR-20-8575_Notice of Remote Hearing with Instructions_2024-04-11_20240430085342.pdf","MCRO_27-CR-20-8575_Notice of Remote Hearing with Instructions_2024-04-11_20240430085342.pdf")</f>
        <v>MCRO_27-CR-20-8575_Notice of Remote Hearing with Instructions_2024-04-11_20240430085342.pdf</v>
      </c>
      <c r="C1252" s="1" t="n">
        <v>4</v>
      </c>
      <c r="D1252" s="1" t="n">
        <v>1</v>
      </c>
      <c r="E1252" s="1" t="n">
        <v>1</v>
      </c>
      <c r="F1252" s="3" t="s">
        <v>20</v>
      </c>
      <c r="G1252" s="3" t="s">
        <v>5200</v>
      </c>
      <c r="H1252" s="1" t="s">
        <v>22</v>
      </c>
      <c r="I1252" s="1" t="n">
        <v>20240430085342</v>
      </c>
      <c r="J1252" s="3" t="s">
        <v>5201</v>
      </c>
      <c r="K1252" s="3" t="s">
        <v>5202</v>
      </c>
      <c r="L1252" s="3" t="s">
        <v>5203</v>
      </c>
      <c r="M1252" s="3" t="n">
        <v>260626</v>
      </c>
      <c r="N1252" s="3" t="s">
        <v>936</v>
      </c>
      <c r="O1252" s="1" t="n">
        <v>244240</v>
      </c>
      <c r="P1252" s="1" t="n">
        <v>93.71</v>
      </c>
      <c r="Q1252" s="1" t="s">
        <v>20</v>
      </c>
      <c r="R1252" s="1" t="s">
        <v>27</v>
      </c>
      <c r="S1252" s="1" t="s">
        <v>28</v>
      </c>
      <c r="T1252" s="1" t="s">
        <v>29</v>
      </c>
    </row>
    <row r="1253" customFormat="false" ht="18.7" hidden="false" customHeight="true" outlineLevel="0" collapsed="false">
      <c r="A1253" s="1" t="n">
        <v>1252</v>
      </c>
      <c r="B1253" s="6" t="str">
        <f aca="false">HYPERLINK("https://mncourtfraud.com/file/MCRO_27-CR-20-8575_Order-Evaluation for Competency to Proceed (Rule 20.01)_2023-02-16_20240430085347.pdf","MCRO_27-CR-20-8575_Order-Evaluation for Competency to Proceed (Rule 20.01)_2023-02-16_20240430085347.pdf")</f>
        <v>MCRO_27-CR-20-8575_Order-Evaluation for Competency to Proceed (Rule 20.01)_2023-02-16_20240430085347.pdf</v>
      </c>
      <c r="C1253" s="1" t="n">
        <v>4</v>
      </c>
      <c r="D1253" s="1" t="n">
        <v>1</v>
      </c>
      <c r="E1253" s="1" t="n">
        <v>1</v>
      </c>
      <c r="F1253" s="3" t="s">
        <v>20</v>
      </c>
      <c r="G1253" s="3" t="s">
        <v>5204</v>
      </c>
      <c r="H1253" s="1" t="s">
        <v>22</v>
      </c>
      <c r="I1253" s="1" t="n">
        <v>20240430085347</v>
      </c>
      <c r="J1253" s="3" t="s">
        <v>5205</v>
      </c>
      <c r="K1253" s="3" t="s">
        <v>5206</v>
      </c>
      <c r="L1253" s="3" t="s">
        <v>5207</v>
      </c>
      <c r="M1253" s="3" t="n">
        <v>142945</v>
      </c>
      <c r="N1253" s="3" t="s">
        <v>1159</v>
      </c>
      <c r="O1253" s="1" t="n">
        <v>126559</v>
      </c>
      <c r="P1253" s="1" t="n">
        <v>88.54</v>
      </c>
      <c r="Q1253" s="1" t="s">
        <v>20</v>
      </c>
      <c r="R1253" s="1" t="s">
        <v>27</v>
      </c>
      <c r="S1253" s="1" t="s">
        <v>28</v>
      </c>
      <c r="T1253" s="1" t="s">
        <v>29</v>
      </c>
    </row>
    <row r="1254" customFormat="false" ht="18.7" hidden="false" customHeight="true" outlineLevel="0" collapsed="false">
      <c r="A1254" s="1" t="n">
        <v>1253</v>
      </c>
      <c r="B1254" s="6" t="str">
        <f aca="false">HYPERLINK("https://mncourtfraud.com/file/MCRO_27-CR-20-8575_Order-Evaluation for Competency to Proceed (Rule 20.01)_2024-01-31_20240430085344.pdf","MCRO_27-CR-20-8575_Order-Evaluation for Competency to Proceed (Rule 20.01)_2024-01-31_20240430085344.pdf")</f>
        <v>MCRO_27-CR-20-8575_Order-Evaluation for Competency to Proceed (Rule 20.01)_2024-01-31_20240430085344.pdf</v>
      </c>
      <c r="C1254" s="1" t="n">
        <v>5</v>
      </c>
      <c r="D1254" s="1" t="n">
        <v>1</v>
      </c>
      <c r="E1254" s="1" t="n">
        <v>1</v>
      </c>
      <c r="F1254" s="3" t="s">
        <v>20</v>
      </c>
      <c r="G1254" s="3" t="s">
        <v>5208</v>
      </c>
      <c r="H1254" s="1" t="s">
        <v>22</v>
      </c>
      <c r="I1254" s="1" t="n">
        <v>20240430085344</v>
      </c>
      <c r="J1254" s="3" t="s">
        <v>5209</v>
      </c>
      <c r="K1254" s="3" t="s">
        <v>5210</v>
      </c>
      <c r="L1254" s="3" t="s">
        <v>5211</v>
      </c>
      <c r="M1254" s="3" t="n">
        <v>760490</v>
      </c>
      <c r="N1254" s="3" t="s">
        <v>1091</v>
      </c>
      <c r="O1254" s="1" t="n">
        <v>744104</v>
      </c>
      <c r="P1254" s="1" t="n">
        <v>97.85</v>
      </c>
      <c r="Q1254" s="1" t="s">
        <v>20</v>
      </c>
      <c r="R1254" s="1" t="s">
        <v>27</v>
      </c>
      <c r="S1254" s="1" t="s">
        <v>28</v>
      </c>
      <c r="T1254" s="1" t="s">
        <v>29</v>
      </c>
    </row>
    <row r="1255" customFormat="false" ht="18.7" hidden="false" customHeight="true" outlineLevel="0" collapsed="false">
      <c r="A1255" s="1" t="n">
        <v>1254</v>
      </c>
      <c r="B1255" s="6" t="str">
        <f aca="false">HYPERLINK("https://mncourtfraud.com/file/MCRO_27-CR-20-8575_Order for Conditional Release_2021-02-09_20240430085355.pdf","MCRO_27-CR-20-8575_Order for Conditional Release_2021-02-09_20240430085355.pdf")</f>
        <v>MCRO_27-CR-20-8575_Order for Conditional Release_2021-02-09_20240430085355.pdf</v>
      </c>
      <c r="C1255" s="1" t="n">
        <v>4</v>
      </c>
      <c r="D1255" s="1" t="n">
        <v>1</v>
      </c>
      <c r="E1255" s="1" t="n">
        <v>1</v>
      </c>
      <c r="F1255" s="3" t="s">
        <v>20</v>
      </c>
      <c r="G1255" s="3" t="s">
        <v>5212</v>
      </c>
      <c r="H1255" s="1" t="s">
        <v>22</v>
      </c>
      <c r="I1255" s="1" t="n">
        <v>20240430085355</v>
      </c>
      <c r="J1255" s="3" t="s">
        <v>5213</v>
      </c>
      <c r="K1255" s="3" t="s">
        <v>5214</v>
      </c>
      <c r="L1255" s="3" t="s">
        <v>5215</v>
      </c>
      <c r="M1255" s="3" t="n">
        <v>117985</v>
      </c>
      <c r="N1255" s="3" t="s">
        <v>614</v>
      </c>
      <c r="O1255" s="1" t="n">
        <v>101599</v>
      </c>
      <c r="P1255" s="1" t="n">
        <v>86.11</v>
      </c>
      <c r="Q1255" s="1" t="s">
        <v>20</v>
      </c>
      <c r="R1255" s="1" t="s">
        <v>27</v>
      </c>
      <c r="S1255" s="1" t="s">
        <v>28</v>
      </c>
      <c r="T1255" s="1" t="s">
        <v>29</v>
      </c>
    </row>
    <row r="1256" customFormat="false" ht="18.7" hidden="false" customHeight="true" outlineLevel="0" collapsed="false">
      <c r="A1256" s="1" t="n">
        <v>1255</v>
      </c>
      <c r="B1256" s="6" t="str">
        <f aca="false">HYPERLINK("https://mncourtfraud.com/file/MCRO_27-CR-20-8575_Proposed Order or Document_2023-08-24_20240430085345.pdf","MCRO_27-CR-20-8575_Proposed Order or Document_2023-08-24_20240430085345.pdf")</f>
        <v>MCRO_27-CR-20-8575_Proposed Order or Document_2023-08-24_20240430085345.pdf</v>
      </c>
      <c r="C1256" s="1" t="n">
        <v>3</v>
      </c>
      <c r="D1256" s="1" t="n">
        <v>1</v>
      </c>
      <c r="E1256" s="1" t="n">
        <v>1</v>
      </c>
      <c r="F1256" s="3" t="s">
        <v>20</v>
      </c>
      <c r="G1256" s="3" t="s">
        <v>5216</v>
      </c>
      <c r="H1256" s="1" t="s">
        <v>22</v>
      </c>
      <c r="I1256" s="1" t="n">
        <v>20240430085345</v>
      </c>
      <c r="J1256" s="3" t="s">
        <v>5209</v>
      </c>
      <c r="K1256" s="3" t="s">
        <v>5210</v>
      </c>
      <c r="L1256" s="3" t="s">
        <v>5217</v>
      </c>
      <c r="M1256" s="3" t="n">
        <v>178357</v>
      </c>
      <c r="N1256" s="3" t="s">
        <v>1115</v>
      </c>
      <c r="O1256" s="1" t="n">
        <v>161971</v>
      </c>
      <c r="P1256" s="1" t="n">
        <v>90.81</v>
      </c>
      <c r="Q1256" s="1" t="s">
        <v>20</v>
      </c>
      <c r="R1256" s="1" t="s">
        <v>27</v>
      </c>
      <c r="S1256" s="1" t="s">
        <v>28</v>
      </c>
      <c r="T1256" s="1" t="s">
        <v>29</v>
      </c>
    </row>
    <row r="1257" customFormat="false" ht="18.7" hidden="false" customHeight="true" outlineLevel="0" collapsed="false">
      <c r="A1257" s="1" t="n">
        <v>1256</v>
      </c>
      <c r="B1257" s="6" t="str">
        <f aca="false">HYPERLINK("https://mncourtfraud.com/file/MCRO_27-CR-20-8575_Returned Mail_2022-07-21_20240430085348.pdf","MCRO_27-CR-20-8575_Returned Mail_2022-07-21_20240430085348.pdf")</f>
        <v>MCRO_27-CR-20-8575_Returned Mail_2022-07-21_20240430085348.pdf</v>
      </c>
      <c r="C1257" s="1" t="n">
        <v>4</v>
      </c>
      <c r="D1257" s="1" t="n">
        <v>1</v>
      </c>
      <c r="E1257" s="1" t="n">
        <v>1</v>
      </c>
      <c r="F1257" s="3" t="s">
        <v>20</v>
      </c>
      <c r="G1257" s="3" t="s">
        <v>5218</v>
      </c>
      <c r="H1257" s="1" t="s">
        <v>22</v>
      </c>
      <c r="I1257" s="1" t="n">
        <v>20240430085348</v>
      </c>
      <c r="J1257" s="3" t="s">
        <v>5219</v>
      </c>
      <c r="K1257" s="3" t="s">
        <v>5220</v>
      </c>
      <c r="L1257" s="3" t="s">
        <v>5221</v>
      </c>
      <c r="M1257" s="3" t="n">
        <v>94228</v>
      </c>
      <c r="N1257" s="3" t="s">
        <v>456</v>
      </c>
      <c r="O1257" s="1" t="n">
        <v>77842</v>
      </c>
      <c r="P1257" s="1" t="n">
        <v>82.61</v>
      </c>
      <c r="Q1257" s="1" t="s">
        <v>20</v>
      </c>
      <c r="R1257" s="1" t="s">
        <v>27</v>
      </c>
      <c r="S1257" s="1" t="s">
        <v>28</v>
      </c>
      <c r="T1257" s="1" t="s">
        <v>29</v>
      </c>
    </row>
    <row r="1258" customFormat="false" ht="18.7" hidden="false" customHeight="true" outlineLevel="0" collapsed="false">
      <c r="A1258" s="1" t="n">
        <v>1257</v>
      </c>
      <c r="B1258" s="6" t="str">
        <f aca="false">HYPERLINK("https://mncourtfraud.com/file/MCRO_27-CR-20-8575_Witness List_2021-07-09_20240430085352.pdf","MCRO_27-CR-20-8575_Witness List_2021-07-09_20240430085352.pdf")</f>
        <v>MCRO_27-CR-20-8575_Witness List_2021-07-09_20240430085352.pdf</v>
      </c>
      <c r="C1258" s="1" t="n">
        <v>3</v>
      </c>
      <c r="D1258" s="1" t="n">
        <v>1</v>
      </c>
      <c r="E1258" s="1" t="n">
        <v>1</v>
      </c>
      <c r="F1258" s="3" t="s">
        <v>20</v>
      </c>
      <c r="G1258" s="3" t="s">
        <v>5222</v>
      </c>
      <c r="H1258" s="1" t="s">
        <v>22</v>
      </c>
      <c r="I1258" s="1" t="n">
        <v>20240430085352</v>
      </c>
      <c r="J1258" s="3" t="s">
        <v>5223</v>
      </c>
      <c r="K1258" s="3" t="s">
        <v>5224</v>
      </c>
      <c r="L1258" s="3" t="s">
        <v>5225</v>
      </c>
      <c r="M1258" s="3" t="n">
        <v>262947</v>
      </c>
      <c r="N1258" s="3" t="s">
        <v>650</v>
      </c>
      <c r="O1258" s="1" t="n">
        <v>246561</v>
      </c>
      <c r="P1258" s="1" t="n">
        <v>93.77</v>
      </c>
      <c r="Q1258" s="1" t="s">
        <v>20</v>
      </c>
      <c r="R1258" s="1" t="s">
        <v>27</v>
      </c>
      <c r="S1258" s="1" t="s">
        <v>28</v>
      </c>
      <c r="T1258" s="1" t="s">
        <v>29</v>
      </c>
    </row>
    <row r="1259" customFormat="false" ht="18.7" hidden="false" customHeight="true" outlineLevel="0" collapsed="false">
      <c r="A1259" s="1" t="n">
        <v>1258</v>
      </c>
      <c r="B1259" s="6" t="str">
        <f aca="false">HYPERLINK("https://mncourtfraud.com/file/MCRO_27-CR-20-8926_Correspondence for Judicial Approval_2022-11-07_20240430085435.pdf","MCRO_27-CR-20-8926_Correspondence for Judicial Approval_2022-11-07_20240430085435.pdf")</f>
        <v>MCRO_27-CR-20-8926_Correspondence for Judicial Approval_2022-11-07_20240430085435.pdf</v>
      </c>
      <c r="C1259" s="1" t="n">
        <v>3</v>
      </c>
      <c r="D1259" s="1" t="n">
        <v>1</v>
      </c>
      <c r="E1259" s="1" t="n">
        <v>1</v>
      </c>
      <c r="F1259" s="3" t="s">
        <v>20</v>
      </c>
      <c r="G1259" s="3" t="s">
        <v>5226</v>
      </c>
      <c r="H1259" s="1" t="s">
        <v>22</v>
      </c>
      <c r="I1259" s="1" t="n">
        <v>20240430085435</v>
      </c>
      <c r="J1259" s="3" t="s">
        <v>5227</v>
      </c>
      <c r="K1259" s="3" t="s">
        <v>5228</v>
      </c>
      <c r="L1259" s="3" t="s">
        <v>2020</v>
      </c>
      <c r="M1259" s="3" t="n">
        <v>211260</v>
      </c>
      <c r="N1259" s="3" t="s">
        <v>629</v>
      </c>
      <c r="O1259" s="1" t="n">
        <v>194874</v>
      </c>
      <c r="P1259" s="1" t="n">
        <v>92.24</v>
      </c>
      <c r="Q1259" s="1" t="s">
        <v>20</v>
      </c>
      <c r="R1259" s="1" t="s">
        <v>27</v>
      </c>
      <c r="S1259" s="1" t="s">
        <v>28</v>
      </c>
      <c r="T1259" s="1" t="s">
        <v>29</v>
      </c>
    </row>
    <row r="1260" customFormat="false" ht="18.7" hidden="false" customHeight="true" outlineLevel="0" collapsed="false">
      <c r="A1260" s="1" t="n">
        <v>1259</v>
      </c>
      <c r="B1260" s="6" t="str">
        <f aca="false">HYPERLINK("https://mncourtfraud.com/file/MCRO_27-CR-20-8926_Demand or Request for Discovery_2020-07-22_20240430085450.pdf","MCRO_27-CR-20-8926_Demand or Request for Discovery_2020-07-22_20240430085450.pdf")</f>
        <v>MCRO_27-CR-20-8926_Demand or Request for Discovery_2020-07-22_20240430085450.pdf</v>
      </c>
      <c r="C1260" s="1" t="n">
        <v>3</v>
      </c>
      <c r="D1260" s="1" t="n">
        <v>1</v>
      </c>
      <c r="E1260" s="1" t="n">
        <v>1</v>
      </c>
      <c r="F1260" s="3" t="s">
        <v>20</v>
      </c>
      <c r="G1260" s="3" t="s">
        <v>5229</v>
      </c>
      <c r="H1260" s="1" t="s">
        <v>22</v>
      </c>
      <c r="I1260" s="1" t="n">
        <v>20240430085450</v>
      </c>
      <c r="J1260" s="3" t="s">
        <v>5230</v>
      </c>
      <c r="K1260" s="3" t="s">
        <v>5231</v>
      </c>
      <c r="L1260" s="3" t="s">
        <v>5232</v>
      </c>
      <c r="M1260" s="3" t="n">
        <v>335270</v>
      </c>
      <c r="N1260" s="3" t="s">
        <v>5233</v>
      </c>
      <c r="O1260" s="1" t="n">
        <v>318884</v>
      </c>
      <c r="P1260" s="1" t="n">
        <v>95.11</v>
      </c>
      <c r="Q1260" s="1" t="s">
        <v>20</v>
      </c>
      <c r="R1260" s="1" t="s">
        <v>27</v>
      </c>
      <c r="S1260" s="1" t="s">
        <v>28</v>
      </c>
      <c r="T1260" s="1" t="s">
        <v>29</v>
      </c>
    </row>
    <row r="1261" customFormat="false" ht="18.7" hidden="false" customHeight="true" outlineLevel="0" collapsed="false">
      <c r="A1261" s="1" t="n">
        <v>1260</v>
      </c>
      <c r="B1261" s="6" t="str">
        <f aca="false">HYPERLINK("https://mncourtfraud.com/file/MCRO_27-CR-20-8926_E-filed Comp-Summons_2020-04-08_20240430085458.pdf","MCRO_27-CR-20-8926_E-filed Comp-Summons_2020-04-08_20240430085458.pdf")</f>
        <v>MCRO_27-CR-20-8926_E-filed Comp-Summons_2020-04-08_20240430085458.pdf</v>
      </c>
      <c r="C1261" s="1" t="n">
        <v>4</v>
      </c>
      <c r="D1261" s="1" t="n">
        <v>2</v>
      </c>
      <c r="E1261" s="1" t="n">
        <v>2</v>
      </c>
      <c r="F1261" s="3" t="s">
        <v>20</v>
      </c>
      <c r="G1261" s="3" t="s">
        <v>5234</v>
      </c>
      <c r="H1261" s="1" t="s">
        <v>22</v>
      </c>
      <c r="I1261" s="1" t="n">
        <v>20240430085458</v>
      </c>
      <c r="J1261" s="3" t="s">
        <v>5235</v>
      </c>
      <c r="K1261" s="3" t="s">
        <v>5236</v>
      </c>
      <c r="L1261" s="3" t="s">
        <v>5237</v>
      </c>
      <c r="M1261" s="3" t="n">
        <v>487713</v>
      </c>
      <c r="N1261" s="3" t="s">
        <v>1707</v>
      </c>
      <c r="O1261" s="1" t="n">
        <v>471327</v>
      </c>
      <c r="P1261" s="1" t="n">
        <v>96.64</v>
      </c>
      <c r="Q1261" s="1" t="s">
        <v>20</v>
      </c>
      <c r="R1261" s="1" t="s">
        <v>27</v>
      </c>
      <c r="S1261" s="1" t="s">
        <v>28</v>
      </c>
      <c r="T1261" s="1" t="s">
        <v>29</v>
      </c>
    </row>
    <row r="1262" customFormat="false" ht="18.7" hidden="false" customHeight="true" outlineLevel="0" collapsed="false">
      <c r="A1262" s="1" t="n">
        <v>1261</v>
      </c>
      <c r="B1262" s="6" t="str">
        <f aca="false">HYPERLINK("https://mncourtfraud.com/file/MCRO_27-CR-20-8926_Finding of Incompetency and Order_2024-03-12_20240430085426.pdf","MCRO_27-CR-20-8926_Finding of Incompetency and Order_2024-03-12_20240430085426.pdf")</f>
        <v>MCRO_27-CR-20-8926_Finding of Incompetency and Order_2024-03-12_20240430085426.pdf</v>
      </c>
      <c r="C1262" s="1" t="n">
        <v>5</v>
      </c>
      <c r="D1262" s="1" t="n">
        <v>1</v>
      </c>
      <c r="E1262" s="1" t="n">
        <v>1</v>
      </c>
      <c r="F1262" s="3" t="s">
        <v>20</v>
      </c>
      <c r="G1262" s="3" t="s">
        <v>5238</v>
      </c>
      <c r="H1262" s="1" t="s">
        <v>22</v>
      </c>
      <c r="I1262" s="1" t="n">
        <v>20240430085426</v>
      </c>
      <c r="J1262" s="3" t="s">
        <v>5239</v>
      </c>
      <c r="K1262" s="3" t="s">
        <v>5240</v>
      </c>
      <c r="L1262" s="3" t="s">
        <v>5241</v>
      </c>
      <c r="M1262" s="3" t="n">
        <v>832563</v>
      </c>
      <c r="N1262" s="3" t="s">
        <v>1489</v>
      </c>
      <c r="O1262" s="1" t="n">
        <v>816177</v>
      </c>
      <c r="P1262" s="1" t="n">
        <v>98.03</v>
      </c>
      <c r="Q1262" s="1" t="s">
        <v>20</v>
      </c>
      <c r="R1262" s="1" t="s">
        <v>27</v>
      </c>
      <c r="S1262" s="1" t="s">
        <v>28</v>
      </c>
      <c r="T1262" s="1" t="s">
        <v>29</v>
      </c>
    </row>
    <row r="1263" customFormat="false" ht="18.7" hidden="false" customHeight="true" outlineLevel="0" collapsed="false">
      <c r="A1263" s="1" t="n">
        <v>1262</v>
      </c>
      <c r="B1263" s="6" t="str">
        <f aca="false">HYPERLINK("https://mncourtfraud.com/file/MCRO_27-CR-20-8926_Findings and Order_2022-03-08_20240430085441.pdf","MCRO_27-CR-20-8926_Findings and Order_2022-03-08_20240430085441.pdf")</f>
        <v>MCRO_27-CR-20-8926_Findings and Order_2022-03-08_20240430085441.pdf</v>
      </c>
      <c r="C1263" s="1" t="n">
        <v>5</v>
      </c>
      <c r="D1263" s="1" t="n">
        <v>1</v>
      </c>
      <c r="E1263" s="1" t="n">
        <v>1</v>
      </c>
      <c r="F1263" s="3" t="s">
        <v>20</v>
      </c>
      <c r="G1263" s="3" t="s">
        <v>5242</v>
      </c>
      <c r="H1263" s="1" t="s">
        <v>22</v>
      </c>
      <c r="I1263" s="1" t="n">
        <v>20240430085441</v>
      </c>
      <c r="J1263" s="3" t="s">
        <v>5243</v>
      </c>
      <c r="K1263" s="3" t="s">
        <v>5244</v>
      </c>
      <c r="L1263" s="3" t="s">
        <v>2037</v>
      </c>
      <c r="M1263" s="3" t="n">
        <v>340927</v>
      </c>
      <c r="N1263" s="3" t="s">
        <v>1494</v>
      </c>
      <c r="O1263" s="1" t="n">
        <v>324541</v>
      </c>
      <c r="P1263" s="1" t="n">
        <v>95.19</v>
      </c>
      <c r="Q1263" s="1" t="s">
        <v>20</v>
      </c>
      <c r="R1263" s="1" t="s">
        <v>27</v>
      </c>
      <c r="S1263" s="1" t="s">
        <v>28</v>
      </c>
      <c r="T1263" s="1" t="s">
        <v>29</v>
      </c>
    </row>
    <row r="1264" customFormat="false" ht="18.7" hidden="false" customHeight="true" outlineLevel="0" collapsed="false">
      <c r="A1264" s="1" t="n">
        <v>1263</v>
      </c>
      <c r="B1264" s="6" t="str">
        <f aca="false">HYPERLINK("https://mncourtfraud.com/file/MCRO_27-CR-20-8926_Notice of Appearance_2020-10-23_20240430085447.pdf","MCRO_27-CR-20-8926_Notice of Appearance_2020-10-23_20240430085447.pdf")</f>
        <v>MCRO_27-CR-20-8926_Notice of Appearance_2020-10-23_20240430085447.pdf</v>
      </c>
      <c r="C1264" s="1" t="n">
        <v>4</v>
      </c>
      <c r="D1264" s="1" t="n">
        <v>1</v>
      </c>
      <c r="E1264" s="1" t="n">
        <v>1</v>
      </c>
      <c r="F1264" s="3" t="s">
        <v>20</v>
      </c>
      <c r="G1264" s="3" t="s">
        <v>5245</v>
      </c>
      <c r="H1264" s="1" t="s">
        <v>22</v>
      </c>
      <c r="I1264" s="1" t="n">
        <v>20240430085447</v>
      </c>
      <c r="J1264" s="3" t="s">
        <v>5246</v>
      </c>
      <c r="K1264" s="3" t="s">
        <v>5247</v>
      </c>
      <c r="L1264" s="3" t="s">
        <v>2049</v>
      </c>
      <c r="M1264" s="3" t="n">
        <v>132275</v>
      </c>
      <c r="N1264" s="3" t="s">
        <v>892</v>
      </c>
      <c r="O1264" s="1" t="n">
        <v>115889</v>
      </c>
      <c r="P1264" s="1" t="n">
        <v>87.61</v>
      </c>
      <c r="Q1264" s="1" t="s">
        <v>20</v>
      </c>
      <c r="R1264" s="1" t="s">
        <v>27</v>
      </c>
      <c r="S1264" s="1" t="s">
        <v>28</v>
      </c>
      <c r="T1264" s="1" t="s">
        <v>29</v>
      </c>
    </row>
    <row r="1265" customFormat="false" ht="18.7" hidden="false" customHeight="true" outlineLevel="0" collapsed="false">
      <c r="A1265" s="1" t="n">
        <v>1264</v>
      </c>
      <c r="B1265" s="6" t="str">
        <f aca="false">HYPERLINK("https://mncourtfraud.com/file/MCRO_27-CR-20-8926_Notice of Appearance_2022-03-08_20240430085440.pdf","MCRO_27-CR-20-8926_Notice of Appearance_2022-03-08_20240430085440.pdf")</f>
        <v>MCRO_27-CR-20-8926_Notice of Appearance_2022-03-08_20240430085440.pdf</v>
      </c>
      <c r="C1265" s="1" t="n">
        <v>4</v>
      </c>
      <c r="D1265" s="1" t="n">
        <v>1</v>
      </c>
      <c r="E1265" s="1" t="n">
        <v>1</v>
      </c>
      <c r="F1265" s="3" t="s">
        <v>20</v>
      </c>
      <c r="G1265" s="3" t="s">
        <v>5248</v>
      </c>
      <c r="H1265" s="1" t="s">
        <v>22</v>
      </c>
      <c r="I1265" s="1" t="n">
        <v>20240430085440</v>
      </c>
      <c r="J1265" s="3" t="s">
        <v>5249</v>
      </c>
      <c r="K1265" s="3" t="s">
        <v>5250</v>
      </c>
      <c r="L1265" s="3" t="s">
        <v>5251</v>
      </c>
      <c r="M1265" s="3" t="n">
        <v>816219</v>
      </c>
      <c r="N1265" s="3" t="s">
        <v>486</v>
      </c>
      <c r="O1265" s="1" t="n">
        <v>799833</v>
      </c>
      <c r="P1265" s="1" t="n">
        <v>97.99</v>
      </c>
      <c r="Q1265" s="1" t="s">
        <v>20</v>
      </c>
      <c r="R1265" s="1" t="s">
        <v>27</v>
      </c>
      <c r="S1265" s="1" t="s">
        <v>28</v>
      </c>
      <c r="T1265" s="1" t="s">
        <v>29</v>
      </c>
    </row>
    <row r="1266" customFormat="false" ht="18.7" hidden="false" customHeight="true" outlineLevel="0" collapsed="false">
      <c r="A1266" s="1" t="n">
        <v>1265</v>
      </c>
      <c r="B1266" s="6" t="str">
        <f aca="false">HYPERLINK("https://mncourtfraud.com/file/MCRO_27-CR-20-8926_Notice of Case Reassignment_2021-03-30_20240430085445.pdf","MCRO_27-CR-20-8926_Notice of Case Reassignment_2021-03-30_20240430085445.pdf")</f>
        <v>MCRO_27-CR-20-8926_Notice of Case Reassignment_2021-03-30_20240430085445.pdf</v>
      </c>
      <c r="C1266" s="1" t="n">
        <v>4</v>
      </c>
      <c r="D1266" s="1" t="n">
        <v>1</v>
      </c>
      <c r="E1266" s="1" t="n">
        <v>1</v>
      </c>
      <c r="F1266" s="3" t="s">
        <v>20</v>
      </c>
      <c r="G1266" s="3" t="s">
        <v>5252</v>
      </c>
      <c r="H1266" s="1" t="s">
        <v>22</v>
      </c>
      <c r="I1266" s="1" t="n">
        <v>20240430085445</v>
      </c>
      <c r="J1266" s="3" t="s">
        <v>5253</v>
      </c>
      <c r="K1266" s="3" t="s">
        <v>5254</v>
      </c>
      <c r="L1266" s="3" t="s">
        <v>5255</v>
      </c>
      <c r="M1266" s="3" t="n">
        <v>101465</v>
      </c>
      <c r="N1266" s="3" t="s">
        <v>456</v>
      </c>
      <c r="O1266" s="1" t="n">
        <v>85079</v>
      </c>
      <c r="P1266" s="1" t="n">
        <v>83.85</v>
      </c>
      <c r="Q1266" s="1" t="s">
        <v>20</v>
      </c>
      <c r="R1266" s="1" t="s">
        <v>27</v>
      </c>
      <c r="S1266" s="1" t="s">
        <v>28</v>
      </c>
      <c r="T1266" s="1" t="s">
        <v>29</v>
      </c>
    </row>
    <row r="1267" customFormat="false" ht="18.7" hidden="false" customHeight="true" outlineLevel="0" collapsed="false">
      <c r="A1267" s="1" t="n">
        <v>1266</v>
      </c>
      <c r="B1267" s="6" t="str">
        <f aca="false">HYPERLINK("https://mncourtfraud.com/file/MCRO_27-CR-20-8926_Notice of Case Reassignment_2022-04-01_20240430085437.pdf","MCRO_27-CR-20-8926_Notice of Case Reassignment_2022-04-01_20240430085437.pdf")</f>
        <v>MCRO_27-CR-20-8926_Notice of Case Reassignment_2022-04-01_20240430085437.pdf</v>
      </c>
      <c r="C1267" s="1" t="n">
        <v>4</v>
      </c>
      <c r="D1267" s="1" t="n">
        <v>1</v>
      </c>
      <c r="E1267" s="1" t="n">
        <v>1</v>
      </c>
      <c r="F1267" s="3" t="s">
        <v>20</v>
      </c>
      <c r="G1267" s="3" t="s">
        <v>5256</v>
      </c>
      <c r="H1267" s="1" t="s">
        <v>22</v>
      </c>
      <c r="I1267" s="1" t="n">
        <v>20240430085437</v>
      </c>
      <c r="J1267" s="3" t="s">
        <v>5257</v>
      </c>
      <c r="K1267" s="3" t="s">
        <v>5258</v>
      </c>
      <c r="L1267" s="3" t="s">
        <v>5259</v>
      </c>
      <c r="M1267" s="3" t="n">
        <v>97040</v>
      </c>
      <c r="N1267" s="3" t="s">
        <v>456</v>
      </c>
      <c r="O1267" s="1" t="n">
        <v>80654</v>
      </c>
      <c r="P1267" s="1" t="n">
        <v>83.11</v>
      </c>
      <c r="Q1267" s="1" t="s">
        <v>20</v>
      </c>
      <c r="R1267" s="1" t="s">
        <v>27</v>
      </c>
      <c r="S1267" s="1" t="s">
        <v>28</v>
      </c>
      <c r="T1267" s="1" t="s">
        <v>29</v>
      </c>
    </row>
    <row r="1268" customFormat="false" ht="18.7" hidden="false" customHeight="true" outlineLevel="0" collapsed="false">
      <c r="A1268" s="1" t="n">
        <v>1267</v>
      </c>
      <c r="B1268" s="6" t="str">
        <f aca="false">HYPERLINK("https://mncourtfraud.com/file/MCRO_27-CR-20-8926_Notice of Case Reassignment_2023-01-13_20240430085431.pdf","MCRO_27-CR-20-8926_Notice of Case Reassignment_2023-01-13_20240430085431.pdf")</f>
        <v>MCRO_27-CR-20-8926_Notice of Case Reassignment_2023-01-13_20240430085431.pdf</v>
      </c>
      <c r="C1268" s="1" t="n">
        <v>4</v>
      </c>
      <c r="D1268" s="1" t="n">
        <v>1</v>
      </c>
      <c r="E1268" s="1" t="n">
        <v>1</v>
      </c>
      <c r="F1268" s="3" t="s">
        <v>20</v>
      </c>
      <c r="G1268" s="3" t="s">
        <v>5260</v>
      </c>
      <c r="H1268" s="1" t="s">
        <v>22</v>
      </c>
      <c r="I1268" s="1" t="n">
        <v>20240430085431</v>
      </c>
      <c r="J1268" s="3" t="s">
        <v>5261</v>
      </c>
      <c r="K1268" s="3" t="s">
        <v>5262</v>
      </c>
      <c r="L1268" s="3" t="s">
        <v>5263</v>
      </c>
      <c r="M1268" s="3" t="n">
        <v>312538</v>
      </c>
      <c r="N1268" s="3" t="s">
        <v>158</v>
      </c>
      <c r="O1268" s="1" t="n">
        <v>296152</v>
      </c>
      <c r="P1268" s="1" t="n">
        <v>94.76</v>
      </c>
      <c r="Q1268" s="1" t="s">
        <v>20</v>
      </c>
      <c r="R1268" s="1" t="s">
        <v>27</v>
      </c>
      <c r="S1268" s="1" t="s">
        <v>28</v>
      </c>
      <c r="T1268" s="1" t="s">
        <v>29</v>
      </c>
    </row>
    <row r="1269" customFormat="false" ht="18.7" hidden="false" customHeight="true" outlineLevel="0" collapsed="false">
      <c r="A1269" s="1" t="n">
        <v>1268</v>
      </c>
      <c r="B1269" s="6" t="str">
        <f aca="false">HYPERLINK("https://mncourtfraud.com/file/MCRO_27-CR-20-8926_Notice of Case Reassignment_2024-01-12_20240430085428.pdf","MCRO_27-CR-20-8926_Notice of Case Reassignment_2024-01-12_20240430085428.pdf")</f>
        <v>MCRO_27-CR-20-8926_Notice of Case Reassignment_2024-01-12_20240430085428.pdf</v>
      </c>
      <c r="C1269" s="1" t="n">
        <v>4</v>
      </c>
      <c r="D1269" s="1" t="n">
        <v>1</v>
      </c>
      <c r="E1269" s="1" t="n">
        <v>1</v>
      </c>
      <c r="F1269" s="3" t="s">
        <v>20</v>
      </c>
      <c r="G1269" s="3" t="s">
        <v>5264</v>
      </c>
      <c r="H1269" s="1" t="s">
        <v>22</v>
      </c>
      <c r="I1269" s="1" t="n">
        <v>20240430085428</v>
      </c>
      <c r="J1269" s="3" t="s">
        <v>5265</v>
      </c>
      <c r="K1269" s="3" t="s">
        <v>5266</v>
      </c>
      <c r="L1269" s="3" t="s">
        <v>5267</v>
      </c>
      <c r="M1269" s="3" t="n">
        <v>296045</v>
      </c>
      <c r="N1269" s="3" t="s">
        <v>158</v>
      </c>
      <c r="O1269" s="1" t="n">
        <v>279659</v>
      </c>
      <c r="P1269" s="1" t="n">
        <v>94.47</v>
      </c>
      <c r="Q1269" s="1" t="s">
        <v>20</v>
      </c>
      <c r="R1269" s="1" t="s">
        <v>27</v>
      </c>
      <c r="S1269" s="1" t="s">
        <v>28</v>
      </c>
      <c r="T1269" s="1" t="s">
        <v>29</v>
      </c>
    </row>
    <row r="1270" customFormat="false" ht="18.7" hidden="false" customHeight="true" outlineLevel="0" collapsed="false">
      <c r="A1270" s="1" t="n">
        <v>1269</v>
      </c>
      <c r="B1270" s="6" t="str">
        <f aca="false">HYPERLINK("https://mncourtfraud.com/file/MCRO_27-CR-20-8926_Notice of Hearing_2020-08-24_20240430085449.pdf","MCRO_27-CR-20-8926_Notice of Hearing_2020-08-24_20240430085449.pdf")</f>
        <v>MCRO_27-CR-20-8926_Notice of Hearing_2020-08-24_20240430085449.pdf</v>
      </c>
      <c r="C1270" s="1" t="n">
        <v>4</v>
      </c>
      <c r="D1270" s="1" t="n">
        <v>1</v>
      </c>
      <c r="E1270" s="1" t="n">
        <v>1</v>
      </c>
      <c r="F1270" s="3" t="s">
        <v>20</v>
      </c>
      <c r="G1270" s="3" t="s">
        <v>5268</v>
      </c>
      <c r="H1270" s="1" t="s">
        <v>22</v>
      </c>
      <c r="I1270" s="1" t="n">
        <v>20240430085449</v>
      </c>
      <c r="J1270" s="3" t="s">
        <v>5269</v>
      </c>
      <c r="K1270" s="3" t="s">
        <v>5270</v>
      </c>
      <c r="L1270" s="3" t="s">
        <v>5271</v>
      </c>
      <c r="M1270" s="3" t="n">
        <v>106744</v>
      </c>
      <c r="N1270" s="3" t="s">
        <v>892</v>
      </c>
      <c r="O1270" s="1" t="n">
        <v>90358</v>
      </c>
      <c r="P1270" s="1" t="n">
        <v>84.65</v>
      </c>
      <c r="Q1270" s="1" t="s">
        <v>20</v>
      </c>
      <c r="R1270" s="1" t="s">
        <v>27</v>
      </c>
      <c r="S1270" s="1" t="s">
        <v>28</v>
      </c>
      <c r="T1270" s="1" t="s">
        <v>29</v>
      </c>
    </row>
    <row r="1271" customFormat="false" ht="18.7" hidden="false" customHeight="true" outlineLevel="0" collapsed="false">
      <c r="A1271" s="1" t="n">
        <v>1270</v>
      </c>
      <c r="B1271" s="6" t="str">
        <f aca="false">HYPERLINK("https://mncourtfraud.com/file/MCRO_27-CR-20-8926_Notice of Hearing_2021-02-22_20240430085446.pdf","MCRO_27-CR-20-8926_Notice of Hearing_2021-02-22_20240430085446.pdf")</f>
        <v>MCRO_27-CR-20-8926_Notice of Hearing_2021-02-22_20240430085446.pdf</v>
      </c>
      <c r="C1271" s="1" t="n">
        <v>4</v>
      </c>
      <c r="D1271" s="1" t="n">
        <v>1</v>
      </c>
      <c r="E1271" s="1" t="n">
        <v>1</v>
      </c>
      <c r="F1271" s="3" t="s">
        <v>20</v>
      </c>
      <c r="G1271" s="3" t="s">
        <v>5272</v>
      </c>
      <c r="H1271" s="1" t="s">
        <v>22</v>
      </c>
      <c r="I1271" s="1" t="n">
        <v>20240430085446</v>
      </c>
      <c r="J1271" s="3" t="s">
        <v>5273</v>
      </c>
      <c r="K1271" s="3" t="s">
        <v>5274</v>
      </c>
      <c r="L1271" s="3" t="s">
        <v>5275</v>
      </c>
      <c r="M1271" s="3" t="n">
        <v>85563</v>
      </c>
      <c r="N1271" s="3" t="s">
        <v>614</v>
      </c>
      <c r="O1271" s="1" t="n">
        <v>69177</v>
      </c>
      <c r="P1271" s="1" t="n">
        <v>80.85</v>
      </c>
      <c r="Q1271" s="1" t="s">
        <v>20</v>
      </c>
      <c r="R1271" s="1" t="s">
        <v>27</v>
      </c>
      <c r="S1271" s="1" t="s">
        <v>28</v>
      </c>
      <c r="T1271" s="1" t="s">
        <v>29</v>
      </c>
    </row>
    <row r="1272" customFormat="false" ht="18.7" hidden="false" customHeight="true" outlineLevel="0" collapsed="false">
      <c r="A1272" s="1" t="n">
        <v>1271</v>
      </c>
      <c r="B1272" s="6" t="str">
        <f aca="false">HYPERLINK("https://mncourtfraud.com/file/MCRO_27-CR-20-8926_Notice of Hearing_2024-03-12_20240430085423.pdf","MCRO_27-CR-20-8926_Notice of Hearing_2024-03-12_20240430085423.pdf")</f>
        <v>MCRO_27-CR-20-8926_Notice of Hearing_2024-03-12_20240430085423.pdf</v>
      </c>
      <c r="C1272" s="1" t="n">
        <v>4</v>
      </c>
      <c r="D1272" s="1" t="n">
        <v>1</v>
      </c>
      <c r="E1272" s="1" t="n">
        <v>1</v>
      </c>
      <c r="F1272" s="3" t="s">
        <v>20</v>
      </c>
      <c r="G1272" s="3" t="s">
        <v>5276</v>
      </c>
      <c r="H1272" s="1" t="s">
        <v>22</v>
      </c>
      <c r="I1272" s="1" t="n">
        <v>20240430085423</v>
      </c>
      <c r="J1272" s="3" t="s">
        <v>5277</v>
      </c>
      <c r="K1272" s="3" t="s">
        <v>5278</v>
      </c>
      <c r="L1272" s="3" t="s">
        <v>5279</v>
      </c>
      <c r="M1272" s="3" t="n">
        <v>255845</v>
      </c>
      <c r="N1272" s="3" t="s">
        <v>74</v>
      </c>
      <c r="O1272" s="1" t="n">
        <v>239459</v>
      </c>
      <c r="P1272" s="1" t="n">
        <v>93.6</v>
      </c>
      <c r="Q1272" s="1" t="s">
        <v>20</v>
      </c>
      <c r="R1272" s="1" t="s">
        <v>27</v>
      </c>
      <c r="S1272" s="1" t="s">
        <v>28</v>
      </c>
      <c r="T1272" s="1" t="s">
        <v>29</v>
      </c>
    </row>
    <row r="1273" customFormat="false" ht="18.7" hidden="false" customHeight="true" outlineLevel="0" collapsed="false">
      <c r="A1273" s="1" t="n">
        <v>1272</v>
      </c>
      <c r="B1273" s="6" t="str">
        <f aca="false">HYPERLINK("https://mncourtfraud.com/file/MCRO_27-CR-20-8926_Notice of Remote Hearing with Instructions_2023-08-29_20240430085430.pdf","MCRO_27-CR-20-8926_Notice of Remote Hearing with Instructions_2023-08-29_20240430085430.pdf")</f>
        <v>MCRO_27-CR-20-8926_Notice of Remote Hearing with Instructions_2023-08-29_20240430085430.pdf</v>
      </c>
      <c r="C1273" s="1" t="n">
        <v>5</v>
      </c>
      <c r="D1273" s="1" t="n">
        <v>1</v>
      </c>
      <c r="E1273" s="1" t="n">
        <v>1</v>
      </c>
      <c r="F1273" s="3" t="s">
        <v>20</v>
      </c>
      <c r="G1273" s="3" t="s">
        <v>5280</v>
      </c>
      <c r="H1273" s="1" t="s">
        <v>22</v>
      </c>
      <c r="I1273" s="1" t="n">
        <v>20240430085430</v>
      </c>
      <c r="J1273" s="3" t="s">
        <v>5281</v>
      </c>
      <c r="K1273" s="3" t="s">
        <v>5282</v>
      </c>
      <c r="L1273" s="3" t="s">
        <v>5283</v>
      </c>
      <c r="M1273" s="3" t="n">
        <v>844617</v>
      </c>
      <c r="N1273" s="3" t="s">
        <v>1579</v>
      </c>
      <c r="O1273" s="1" t="n">
        <v>828231</v>
      </c>
      <c r="P1273" s="1" t="n">
        <v>98.06</v>
      </c>
      <c r="Q1273" s="1" t="s">
        <v>20</v>
      </c>
      <c r="R1273" s="1" t="s">
        <v>27</v>
      </c>
      <c r="S1273" s="1" t="s">
        <v>28</v>
      </c>
      <c r="T1273" s="1" t="s">
        <v>29</v>
      </c>
    </row>
    <row r="1274" customFormat="false" ht="18.7" hidden="false" customHeight="true" outlineLevel="0" collapsed="false">
      <c r="A1274" s="1" t="n">
        <v>1273</v>
      </c>
      <c r="B1274" s="6" t="str">
        <f aca="false">HYPERLINK("https://mncourtfraud.com/file/MCRO_27-CR-20-8926_Notice of Remote Hearing with Instructions_2024-03-05_20240430085427.pdf","MCRO_27-CR-20-8926_Notice of Remote Hearing with Instructions_2024-03-05_20240430085427.pdf")</f>
        <v>MCRO_27-CR-20-8926_Notice of Remote Hearing with Instructions_2024-03-05_20240430085427.pdf</v>
      </c>
      <c r="C1274" s="1" t="n">
        <v>4</v>
      </c>
      <c r="D1274" s="1" t="n">
        <v>1</v>
      </c>
      <c r="E1274" s="1" t="n">
        <v>1</v>
      </c>
      <c r="F1274" s="3" t="s">
        <v>20</v>
      </c>
      <c r="G1274" s="3" t="s">
        <v>5284</v>
      </c>
      <c r="H1274" s="1" t="s">
        <v>22</v>
      </c>
      <c r="I1274" s="1" t="n">
        <v>20240430085427</v>
      </c>
      <c r="J1274" s="3" t="s">
        <v>5285</v>
      </c>
      <c r="K1274" s="3" t="s">
        <v>5286</v>
      </c>
      <c r="L1274" s="3" t="s">
        <v>2104</v>
      </c>
      <c r="M1274" s="3" t="n">
        <v>255663</v>
      </c>
      <c r="N1274" s="3" t="s">
        <v>74</v>
      </c>
      <c r="O1274" s="1" t="n">
        <v>239277</v>
      </c>
      <c r="P1274" s="1" t="n">
        <v>93.59</v>
      </c>
      <c r="Q1274" s="1" t="s">
        <v>20</v>
      </c>
      <c r="R1274" s="1" t="s">
        <v>27</v>
      </c>
      <c r="S1274" s="1" t="s">
        <v>28</v>
      </c>
      <c r="T1274" s="1" t="s">
        <v>29</v>
      </c>
    </row>
    <row r="1275" customFormat="false" ht="18.7" hidden="false" customHeight="true" outlineLevel="0" collapsed="false">
      <c r="A1275" s="1" t="n">
        <v>1274</v>
      </c>
      <c r="B1275" s="6" t="str">
        <f aca="false">HYPERLINK("https://mncourtfraud.com/file/MCRO_27-CR-20-8926_Notice of Remote Hearing with Instructions_2024-03-12_20240430085425.pdf","MCRO_27-CR-20-8926_Notice of Remote Hearing with Instructions_2024-03-12_20240430085425.pdf")</f>
        <v>MCRO_27-CR-20-8926_Notice of Remote Hearing with Instructions_2024-03-12_20240430085425.pdf</v>
      </c>
      <c r="C1275" s="1" t="n">
        <v>4</v>
      </c>
      <c r="D1275" s="1" t="n">
        <v>1</v>
      </c>
      <c r="E1275" s="1" t="n">
        <v>1</v>
      </c>
      <c r="F1275" s="3" t="s">
        <v>20</v>
      </c>
      <c r="G1275" s="3" t="s">
        <v>5287</v>
      </c>
      <c r="H1275" s="1" t="s">
        <v>22</v>
      </c>
      <c r="I1275" s="1" t="n">
        <v>20240430085425</v>
      </c>
      <c r="J1275" s="3" t="s">
        <v>5288</v>
      </c>
      <c r="K1275" s="3" t="s">
        <v>5289</v>
      </c>
      <c r="L1275" s="3" t="s">
        <v>5290</v>
      </c>
      <c r="M1275" s="3" t="n">
        <v>255642</v>
      </c>
      <c r="N1275" s="3" t="s">
        <v>74</v>
      </c>
      <c r="O1275" s="1" t="n">
        <v>239256</v>
      </c>
      <c r="P1275" s="1" t="n">
        <v>93.59</v>
      </c>
      <c r="Q1275" s="1" t="s">
        <v>20</v>
      </c>
      <c r="R1275" s="1" t="s">
        <v>27</v>
      </c>
      <c r="S1275" s="1" t="s">
        <v>28</v>
      </c>
      <c r="T1275" s="1" t="s">
        <v>29</v>
      </c>
    </row>
    <row r="1276" customFormat="false" ht="18.7" hidden="false" customHeight="true" outlineLevel="0" collapsed="false">
      <c r="A1276" s="1" t="n">
        <v>1275</v>
      </c>
      <c r="B1276" s="6" t="str">
        <f aca="false">HYPERLINK("https://mncourtfraud.com/file/MCRO_27-CR-20-8926_Order-Evaluation for Competency to Proceed (Rule 20.01)_2020-06-11_20240430085451.pdf","MCRO_27-CR-20-8926_Order-Evaluation for Competency to Proceed (Rule 20.01)_2020-06-11_20240430085451.pdf")</f>
        <v>MCRO_27-CR-20-8926_Order-Evaluation for Competency to Proceed (Rule 20.01)_2020-06-11_20240430085451.pdf</v>
      </c>
      <c r="C1276" s="1" t="n">
        <v>3</v>
      </c>
      <c r="D1276" s="1" t="n">
        <v>1</v>
      </c>
      <c r="E1276" s="1" t="n">
        <v>1</v>
      </c>
      <c r="F1276" s="3" t="s">
        <v>20</v>
      </c>
      <c r="G1276" s="3" t="s">
        <v>5291</v>
      </c>
      <c r="H1276" s="1" t="s">
        <v>22</v>
      </c>
      <c r="I1276" s="1" t="n">
        <v>20240430085451</v>
      </c>
      <c r="J1276" s="3" t="s">
        <v>5292</v>
      </c>
      <c r="K1276" s="3" t="s">
        <v>5293</v>
      </c>
      <c r="L1276" s="3" t="s">
        <v>5294</v>
      </c>
      <c r="M1276" s="3" t="n">
        <v>482260</v>
      </c>
      <c r="N1276" s="3" t="s">
        <v>1605</v>
      </c>
      <c r="O1276" s="1" t="n">
        <v>465874</v>
      </c>
      <c r="P1276" s="1" t="n">
        <v>96.6</v>
      </c>
      <c r="Q1276" s="1" t="s">
        <v>20</v>
      </c>
      <c r="R1276" s="1" t="s">
        <v>27</v>
      </c>
      <c r="S1276" s="1" t="s">
        <v>28</v>
      </c>
      <c r="T1276" s="1" t="s">
        <v>29</v>
      </c>
    </row>
    <row r="1277" customFormat="false" ht="18.7" hidden="false" customHeight="true" outlineLevel="0" collapsed="false">
      <c r="A1277" s="1" t="n">
        <v>1276</v>
      </c>
      <c r="B1277" s="6" t="str">
        <f aca="false">HYPERLINK("https://mncourtfraud.com/file/MCRO_27-CR-20-8926_Order-Evaluation for Competency to Proceed (Rule 20.01)_2022-01-19_20240430085443.pdf","MCRO_27-CR-20-8926_Order-Evaluation for Competency to Proceed (Rule 20.01)_2022-01-19_20240430085443.pdf")</f>
        <v>MCRO_27-CR-20-8926_Order-Evaluation for Competency to Proceed (Rule 20.01)_2022-01-19_20240430085443.pdf</v>
      </c>
      <c r="C1277" s="1" t="n">
        <v>7</v>
      </c>
      <c r="D1277" s="1" t="n">
        <v>5</v>
      </c>
      <c r="E1277" s="1" t="n">
        <v>5</v>
      </c>
      <c r="F1277" s="3" t="s">
        <v>20</v>
      </c>
      <c r="G1277" s="3" t="s">
        <v>5295</v>
      </c>
      <c r="H1277" s="1" t="s">
        <v>22</v>
      </c>
      <c r="I1277" s="1" t="n">
        <v>20240430085443</v>
      </c>
      <c r="J1277" s="3" t="s">
        <v>5296</v>
      </c>
      <c r="K1277" s="3" t="s">
        <v>5297</v>
      </c>
      <c r="L1277" s="3" t="s">
        <v>5298</v>
      </c>
      <c r="M1277" s="3" t="n">
        <v>511947</v>
      </c>
      <c r="N1277" s="3" t="s">
        <v>564</v>
      </c>
      <c r="O1277" s="1" t="n">
        <v>495561</v>
      </c>
      <c r="P1277" s="1" t="n">
        <v>96.8</v>
      </c>
      <c r="Q1277" s="1" t="s">
        <v>20</v>
      </c>
      <c r="R1277" s="1" t="s">
        <v>27</v>
      </c>
      <c r="S1277" s="1" t="s">
        <v>28</v>
      </c>
      <c r="T1277" s="1" t="s">
        <v>29</v>
      </c>
    </row>
    <row r="1278" customFormat="false" ht="18.7" hidden="false" customHeight="true" outlineLevel="0" collapsed="false">
      <c r="A1278" s="1" t="n">
        <v>1277</v>
      </c>
      <c r="B1278" s="6" t="str">
        <f aca="false">HYPERLINK("https://mncourtfraud.com/file/MCRO_27-CR-20-8926_Order-Evaluation for Competency to Proceed (Rule 20.01)_2022-06-14_20240430085436.pdf","MCRO_27-CR-20-8926_Order-Evaluation for Competency to Proceed (Rule 20.01)_2022-06-14_20240430085436.pdf")</f>
        <v>MCRO_27-CR-20-8926_Order-Evaluation for Competency to Proceed (Rule 20.01)_2022-06-14_20240430085436.pdf</v>
      </c>
      <c r="C1278" s="1" t="n">
        <v>6</v>
      </c>
      <c r="D1278" s="1" t="n">
        <v>1</v>
      </c>
      <c r="E1278" s="1" t="n">
        <v>1</v>
      </c>
      <c r="F1278" s="3" t="s">
        <v>20</v>
      </c>
      <c r="G1278" s="3" t="s">
        <v>5299</v>
      </c>
      <c r="H1278" s="1" t="s">
        <v>22</v>
      </c>
      <c r="I1278" s="1" t="n">
        <v>20240430085436</v>
      </c>
      <c r="J1278" s="3" t="s">
        <v>5300</v>
      </c>
      <c r="K1278" s="3" t="s">
        <v>5301</v>
      </c>
      <c r="L1278" s="3" t="s">
        <v>1613</v>
      </c>
      <c r="M1278" s="3" t="n">
        <v>829223</v>
      </c>
      <c r="N1278" s="3" t="s">
        <v>1614</v>
      </c>
      <c r="O1278" s="1" t="n">
        <v>812837</v>
      </c>
      <c r="P1278" s="1" t="n">
        <v>98.02</v>
      </c>
      <c r="Q1278" s="1" t="s">
        <v>20</v>
      </c>
      <c r="R1278" s="1" t="s">
        <v>27</v>
      </c>
      <c r="S1278" s="1" t="s">
        <v>28</v>
      </c>
      <c r="T1278" s="1" t="s">
        <v>29</v>
      </c>
    </row>
    <row r="1279" customFormat="false" ht="18.7" hidden="false" customHeight="true" outlineLevel="0" collapsed="false">
      <c r="A1279" s="1" t="n">
        <v>1278</v>
      </c>
      <c r="B1279" s="6" t="str">
        <f aca="false">HYPERLINK("https://mncourtfraud.com/file/MCRO_27-CR-20-8926_Order-Evaluation for Competency to Proceed (Rule 20.01)_2022-12-27_20240430085433.pdf","MCRO_27-CR-20-8926_Order-Evaluation for Competency to Proceed (Rule 20.01)_2022-12-27_20240430085433.pdf")</f>
        <v>MCRO_27-CR-20-8926_Order-Evaluation for Competency to Proceed (Rule 20.01)_2022-12-27_20240430085433.pdf</v>
      </c>
      <c r="C1279" s="1" t="n">
        <v>6</v>
      </c>
      <c r="D1279" s="1" t="n">
        <v>1</v>
      </c>
      <c r="E1279" s="1" t="n">
        <v>1</v>
      </c>
      <c r="F1279" s="3" t="s">
        <v>20</v>
      </c>
      <c r="G1279" s="3" t="s">
        <v>5302</v>
      </c>
      <c r="H1279" s="1" t="s">
        <v>22</v>
      </c>
      <c r="I1279" s="1" t="n">
        <v>20240430085433</v>
      </c>
      <c r="J1279" s="3" t="s">
        <v>5303</v>
      </c>
      <c r="K1279" s="3" t="s">
        <v>5304</v>
      </c>
      <c r="L1279" s="3" t="s">
        <v>5305</v>
      </c>
      <c r="M1279" s="3" t="n">
        <v>823502</v>
      </c>
      <c r="N1279" s="3" t="s">
        <v>1619</v>
      </c>
      <c r="O1279" s="1" t="n">
        <v>807116</v>
      </c>
      <c r="P1279" s="1" t="n">
        <v>98.01</v>
      </c>
      <c r="Q1279" s="1" t="s">
        <v>20</v>
      </c>
      <c r="R1279" s="1" t="s">
        <v>27</v>
      </c>
      <c r="S1279" s="1" t="s">
        <v>28</v>
      </c>
      <c r="T1279" s="1" t="s">
        <v>29</v>
      </c>
    </row>
    <row r="1280" customFormat="false" ht="18.7" hidden="false" customHeight="true" outlineLevel="0" collapsed="false">
      <c r="A1280" s="1" t="n">
        <v>1279</v>
      </c>
      <c r="B1280" s="6" t="str">
        <f aca="false">HYPERLINK("https://mncourtfraud.com/file/MCRO_27-CR-20-8926_Order-Evaluation for Competency to Proceed (Rule 20.01)_2023-01-11_20240430085432.pdf","MCRO_27-CR-20-8926_Order-Evaluation for Competency to Proceed (Rule 20.01)_2023-01-11_20240430085432.pdf")</f>
        <v>MCRO_27-CR-20-8926_Order-Evaluation for Competency to Proceed (Rule 20.01)_2023-01-11_20240430085432.pdf</v>
      </c>
      <c r="C1280" s="1" t="n">
        <v>6</v>
      </c>
      <c r="D1280" s="1" t="n">
        <v>2</v>
      </c>
      <c r="E1280" s="1" t="n">
        <v>2</v>
      </c>
      <c r="F1280" s="3" t="s">
        <v>27</v>
      </c>
      <c r="G1280" s="3" t="s">
        <v>5306</v>
      </c>
      <c r="H1280" s="1" t="s">
        <v>22</v>
      </c>
      <c r="I1280" s="1" t="n">
        <v>20240430085432</v>
      </c>
      <c r="J1280" s="3" t="s">
        <v>5307</v>
      </c>
      <c r="K1280" s="3" t="s">
        <v>5308</v>
      </c>
      <c r="L1280" s="3" t="s">
        <v>5309</v>
      </c>
      <c r="M1280" s="3" t="n">
        <v>913097</v>
      </c>
      <c r="N1280" s="3" t="s">
        <v>1624</v>
      </c>
      <c r="O1280" s="1" t="n">
        <v>896711</v>
      </c>
      <c r="P1280" s="1" t="n">
        <v>98.21</v>
      </c>
      <c r="Q1280" s="1" t="s">
        <v>20</v>
      </c>
      <c r="R1280" s="1" t="s">
        <v>27</v>
      </c>
      <c r="S1280" s="1" t="s">
        <v>28</v>
      </c>
      <c r="T1280" s="1" t="s">
        <v>29</v>
      </c>
    </row>
    <row r="1281" customFormat="false" ht="18.7" hidden="false" customHeight="true" outlineLevel="0" collapsed="false">
      <c r="A1281" s="1" t="n">
        <v>1280</v>
      </c>
      <c r="B1281" s="6" t="str">
        <f aca="false">HYPERLINK("https://mncourtfraud.com/file/MCRO_27-CR-20-8926_Order-Evaluation for Competency to Proceed (Rule 20.01)_2023-12-22_20240430085429.pdf","MCRO_27-CR-20-8926_Order-Evaluation for Competency to Proceed (Rule 20.01)_2023-12-22_20240430085429.pdf")</f>
        <v>MCRO_27-CR-20-8926_Order-Evaluation for Competency to Proceed (Rule 20.01)_2023-12-22_20240430085429.pdf</v>
      </c>
      <c r="C1281" s="1" t="n">
        <v>5</v>
      </c>
      <c r="D1281" s="1" t="n">
        <v>1</v>
      </c>
      <c r="E1281" s="1" t="n">
        <v>1</v>
      </c>
      <c r="F1281" s="3" t="s">
        <v>20</v>
      </c>
      <c r="G1281" s="3" t="s">
        <v>5310</v>
      </c>
      <c r="H1281" s="1" t="s">
        <v>22</v>
      </c>
      <c r="I1281" s="1" t="n">
        <v>20240430085429</v>
      </c>
      <c r="J1281" s="3" t="s">
        <v>5311</v>
      </c>
      <c r="K1281" s="3" t="s">
        <v>5312</v>
      </c>
      <c r="L1281" s="3" t="s">
        <v>5313</v>
      </c>
      <c r="M1281" s="3" t="n">
        <v>761666</v>
      </c>
      <c r="N1281" s="3" t="s">
        <v>1091</v>
      </c>
      <c r="O1281" s="1" t="n">
        <v>745280</v>
      </c>
      <c r="P1281" s="1" t="n">
        <v>97.85</v>
      </c>
      <c r="Q1281" s="1" t="s">
        <v>20</v>
      </c>
      <c r="R1281" s="1" t="s">
        <v>27</v>
      </c>
      <c r="S1281" s="1" t="s">
        <v>28</v>
      </c>
      <c r="T1281" s="1" t="s">
        <v>29</v>
      </c>
    </row>
    <row r="1282" customFormat="false" ht="18.7" hidden="false" customHeight="true" outlineLevel="0" collapsed="false">
      <c r="A1282" s="1" t="n">
        <v>1281</v>
      </c>
      <c r="B1282" s="6" t="str">
        <f aca="false">HYPERLINK("https://mncourtfraud.com/file/MCRO_27-CR-20-8926_Order for Conditional Release_2021-12-20_20240430085444.pdf","MCRO_27-CR-20-8926_Order for Conditional Release_2021-12-20_20240430085444.pdf")</f>
        <v>MCRO_27-CR-20-8926_Order for Conditional Release_2021-12-20_20240430085444.pdf</v>
      </c>
      <c r="C1282" s="1" t="n">
        <v>4</v>
      </c>
      <c r="D1282" s="1" t="n">
        <v>1</v>
      </c>
      <c r="E1282" s="1" t="n">
        <v>1</v>
      </c>
      <c r="F1282" s="3" t="s">
        <v>20</v>
      </c>
      <c r="G1282" s="3" t="s">
        <v>5314</v>
      </c>
      <c r="H1282" s="1" t="s">
        <v>22</v>
      </c>
      <c r="I1282" s="1" t="n">
        <v>20240430085444</v>
      </c>
      <c r="J1282" s="3" t="s">
        <v>5315</v>
      </c>
      <c r="K1282" s="3" t="s">
        <v>5316</v>
      </c>
      <c r="L1282" s="3" t="s">
        <v>5317</v>
      </c>
      <c r="M1282" s="3" t="n">
        <v>158024</v>
      </c>
      <c r="N1282" s="3" t="s">
        <v>1065</v>
      </c>
      <c r="O1282" s="1" t="n">
        <v>141638</v>
      </c>
      <c r="P1282" s="1" t="n">
        <v>89.63</v>
      </c>
      <c r="Q1282" s="1" t="s">
        <v>20</v>
      </c>
      <c r="R1282" s="1" t="s">
        <v>27</v>
      </c>
      <c r="S1282" s="1" t="s">
        <v>28</v>
      </c>
      <c r="T1282" s="1" t="s">
        <v>29</v>
      </c>
    </row>
    <row r="1283" customFormat="false" ht="18.7" hidden="false" customHeight="true" outlineLevel="0" collapsed="false">
      <c r="A1283" s="1" t="n">
        <v>1282</v>
      </c>
      <c r="B1283" s="6" t="str">
        <f aca="false">HYPERLINK("https://mncourtfraud.com/file/MCRO_27-CR-20-8926_Order for Conditional Release_2022-02-16_20240430085442.pdf","MCRO_27-CR-20-8926_Order for Conditional Release_2022-02-16_20240430085442.pdf")</f>
        <v>MCRO_27-CR-20-8926_Order for Conditional Release_2022-02-16_20240430085442.pdf</v>
      </c>
      <c r="C1283" s="1" t="n">
        <v>10</v>
      </c>
      <c r="D1283" s="1" t="n">
        <v>2</v>
      </c>
      <c r="E1283" s="1" t="n">
        <v>2</v>
      </c>
      <c r="F1283" s="3" t="s">
        <v>20</v>
      </c>
      <c r="G1283" s="3" t="s">
        <v>5318</v>
      </c>
      <c r="H1283" s="1" t="s">
        <v>22</v>
      </c>
      <c r="I1283" s="1" t="n">
        <v>20240430085442</v>
      </c>
      <c r="J1283" s="3" t="s">
        <v>5319</v>
      </c>
      <c r="K1283" s="3" t="s">
        <v>5320</v>
      </c>
      <c r="L1283" s="3" t="s">
        <v>5321</v>
      </c>
      <c r="M1283" s="3" t="n">
        <v>1167056</v>
      </c>
      <c r="N1283" s="3" t="s">
        <v>1645</v>
      </c>
      <c r="O1283" s="1" t="n">
        <v>1150670</v>
      </c>
      <c r="P1283" s="1" t="n">
        <v>98.6</v>
      </c>
      <c r="Q1283" s="1" t="s">
        <v>20</v>
      </c>
      <c r="R1283" s="1" t="s">
        <v>27</v>
      </c>
      <c r="S1283" s="1" t="s">
        <v>28</v>
      </c>
      <c r="T1283" s="1" t="s">
        <v>29</v>
      </c>
    </row>
    <row r="1284" customFormat="false" ht="18.7" hidden="false" customHeight="true" outlineLevel="0" collapsed="false">
      <c r="A1284" s="1" t="n">
        <v>1283</v>
      </c>
      <c r="B1284" s="6" t="str">
        <f aca="false">HYPERLINK("https://mncourtfraud.com/file/MCRO_27-CR-20-8926_Order for Conditional Release_2022-03-11_20240430085438.pdf","MCRO_27-CR-20-8926_Order for Conditional Release_2022-03-11_20240430085438.pdf")</f>
        <v>MCRO_27-CR-20-8926_Order for Conditional Release_2022-03-11_20240430085438.pdf</v>
      </c>
      <c r="C1284" s="1" t="n">
        <v>3</v>
      </c>
      <c r="D1284" s="1" t="n">
        <v>1</v>
      </c>
      <c r="E1284" s="1" t="n">
        <v>1</v>
      </c>
      <c r="F1284" s="3" t="s">
        <v>20</v>
      </c>
      <c r="G1284" s="3" t="s">
        <v>5322</v>
      </c>
      <c r="H1284" s="1" t="s">
        <v>22</v>
      </c>
      <c r="I1284" s="1" t="n">
        <v>20240430085438</v>
      </c>
      <c r="J1284" s="3" t="s">
        <v>5323</v>
      </c>
      <c r="K1284" s="3" t="s">
        <v>5324</v>
      </c>
      <c r="L1284" s="3" t="s">
        <v>5325</v>
      </c>
      <c r="M1284" s="3" t="n">
        <v>194380</v>
      </c>
      <c r="N1284" s="3" t="s">
        <v>1316</v>
      </c>
      <c r="O1284" s="1" t="n">
        <v>177994</v>
      </c>
      <c r="P1284" s="1" t="n">
        <v>91.57</v>
      </c>
      <c r="Q1284" s="1" t="s">
        <v>20</v>
      </c>
      <c r="R1284" s="1" t="s">
        <v>27</v>
      </c>
      <c r="S1284" s="1" t="s">
        <v>28</v>
      </c>
      <c r="T1284" s="1" t="s">
        <v>29</v>
      </c>
    </row>
    <row r="1285" customFormat="false" ht="18.7" hidden="false" customHeight="true" outlineLevel="0" collapsed="false">
      <c r="A1285" s="1" t="n">
        <v>1284</v>
      </c>
      <c r="B1285" s="6" t="str">
        <f aca="false">HYPERLINK("https://mncourtfraud.com/file/MCRO_27-CR-20-8926_Pandemic Notice of Cancelled or Rescheduled Hearing_2020-05-27_20240430085454.pdf","MCRO_27-CR-20-8926_Pandemic Notice of Cancelled or Rescheduled Hearing_2020-05-27_20240430085454.pdf")</f>
        <v>MCRO_27-CR-20-8926_Pandemic Notice of Cancelled or Rescheduled Hearing_2020-05-27_20240430085454.pdf</v>
      </c>
      <c r="C1285" s="1" t="n">
        <v>4</v>
      </c>
      <c r="D1285" s="1" t="n">
        <v>1</v>
      </c>
      <c r="E1285" s="1" t="n">
        <v>1</v>
      </c>
      <c r="F1285" s="3" t="s">
        <v>20</v>
      </c>
      <c r="G1285" s="3" t="s">
        <v>5326</v>
      </c>
      <c r="H1285" s="1" t="s">
        <v>22</v>
      </c>
      <c r="I1285" s="1" t="n">
        <v>20240430085454</v>
      </c>
      <c r="J1285" s="3" t="s">
        <v>5327</v>
      </c>
      <c r="K1285" s="3" t="s">
        <v>5328</v>
      </c>
      <c r="L1285" s="3" t="s">
        <v>5329</v>
      </c>
      <c r="M1285" s="3" t="n">
        <v>113241</v>
      </c>
      <c r="N1285" s="3" t="s">
        <v>137</v>
      </c>
      <c r="O1285" s="1" t="n">
        <v>96855</v>
      </c>
      <c r="P1285" s="1" t="n">
        <v>85.53</v>
      </c>
      <c r="Q1285" s="1" t="s">
        <v>20</v>
      </c>
      <c r="R1285" s="1" t="s">
        <v>27</v>
      </c>
      <c r="S1285" s="1" t="s">
        <v>28</v>
      </c>
      <c r="T1285" s="1" t="s">
        <v>29</v>
      </c>
    </row>
    <row r="1286" customFormat="false" ht="18.7" hidden="false" customHeight="true" outlineLevel="0" collapsed="false">
      <c r="A1286" s="1" t="n">
        <v>1285</v>
      </c>
      <c r="B1286" s="6" t="str">
        <f aca="false">HYPERLINK("https://mncourtfraud.com/file/MCRO_27-CR-20-8926_Pandemic Notice of Cancelled or Rescheduled Hearing_2020-05-28_20240430085453.pdf","MCRO_27-CR-20-8926_Pandemic Notice of Cancelled or Rescheduled Hearing_2020-05-28_20240430085453.pdf")</f>
        <v>MCRO_27-CR-20-8926_Pandemic Notice of Cancelled or Rescheduled Hearing_2020-05-28_20240430085453.pdf</v>
      </c>
      <c r="C1286" s="1" t="n">
        <v>4</v>
      </c>
      <c r="D1286" s="1" t="n">
        <v>1</v>
      </c>
      <c r="E1286" s="1" t="n">
        <v>1</v>
      </c>
      <c r="F1286" s="3" t="s">
        <v>20</v>
      </c>
      <c r="G1286" s="3" t="s">
        <v>5330</v>
      </c>
      <c r="H1286" s="1" t="s">
        <v>22</v>
      </c>
      <c r="I1286" s="1" t="n">
        <v>20240430085453</v>
      </c>
      <c r="J1286" s="3" t="s">
        <v>5331</v>
      </c>
      <c r="K1286" s="3" t="s">
        <v>5332</v>
      </c>
      <c r="L1286" s="3" t="s">
        <v>5333</v>
      </c>
      <c r="M1286" s="3" t="n">
        <v>99001</v>
      </c>
      <c r="N1286" s="3" t="s">
        <v>137</v>
      </c>
      <c r="O1286" s="1" t="n">
        <v>82615</v>
      </c>
      <c r="P1286" s="1" t="n">
        <v>83.45</v>
      </c>
      <c r="Q1286" s="1" t="s">
        <v>20</v>
      </c>
      <c r="R1286" s="1" t="s">
        <v>27</v>
      </c>
      <c r="S1286" s="1" t="s">
        <v>28</v>
      </c>
      <c r="T1286" s="1" t="s">
        <v>29</v>
      </c>
    </row>
    <row r="1287" customFormat="false" ht="18.7" hidden="false" customHeight="true" outlineLevel="0" collapsed="false">
      <c r="A1287" s="1" t="n">
        <v>1286</v>
      </c>
      <c r="B1287" s="6" t="str">
        <f aca="false">HYPERLINK("https://mncourtfraud.com/file/MCRO_27-CR-20-8926_Petition to Proceed as ProSe Counsel_2020-09-09_20240430085448.pdf","MCRO_27-CR-20-8926_Petition to Proceed as ProSe Counsel_2020-09-09_20240430085448.pdf")</f>
        <v>MCRO_27-CR-20-8926_Petition to Proceed as ProSe Counsel_2020-09-09_20240430085448.pdf</v>
      </c>
      <c r="C1287" s="1" t="n">
        <v>4</v>
      </c>
      <c r="D1287" s="1" t="n">
        <v>1</v>
      </c>
      <c r="E1287" s="1" t="n">
        <v>1</v>
      </c>
      <c r="F1287" s="3" t="s">
        <v>20</v>
      </c>
      <c r="G1287" s="3" t="s">
        <v>5334</v>
      </c>
      <c r="H1287" s="1" t="s">
        <v>22</v>
      </c>
      <c r="I1287" s="1" t="n">
        <v>20240430085448</v>
      </c>
      <c r="J1287" s="3" t="s">
        <v>5335</v>
      </c>
      <c r="K1287" s="3" t="s">
        <v>5336</v>
      </c>
      <c r="L1287" s="3" t="s">
        <v>5337</v>
      </c>
      <c r="M1287" s="3" t="n">
        <v>369190</v>
      </c>
      <c r="N1287" s="3" t="s">
        <v>1668</v>
      </c>
      <c r="O1287" s="1" t="n">
        <v>352804</v>
      </c>
      <c r="P1287" s="1" t="n">
        <v>95.56</v>
      </c>
      <c r="Q1287" s="1" t="s">
        <v>20</v>
      </c>
      <c r="R1287" s="1" t="s">
        <v>27</v>
      </c>
      <c r="S1287" s="1" t="s">
        <v>28</v>
      </c>
      <c r="T1287" s="1" t="s">
        <v>29</v>
      </c>
    </row>
    <row r="1288" customFormat="false" ht="18.7" hidden="false" customHeight="true" outlineLevel="0" collapsed="false">
      <c r="A1288" s="1" t="n">
        <v>1287</v>
      </c>
      <c r="B1288" s="6" t="str">
        <f aca="false">HYPERLINK("https://mncourtfraud.com/file/MCRO_27-CR-20-8926_Proposed Order or Document_2022-11-07_20240430085434.pdf","MCRO_27-CR-20-8926_Proposed Order or Document_2022-11-07_20240430085434.pdf")</f>
        <v>MCRO_27-CR-20-8926_Proposed Order or Document_2022-11-07_20240430085434.pdf</v>
      </c>
      <c r="C1288" s="1" t="n">
        <v>3</v>
      </c>
      <c r="D1288" s="1" t="n">
        <v>1</v>
      </c>
      <c r="E1288" s="1" t="n">
        <v>1</v>
      </c>
      <c r="F1288" s="3" t="s">
        <v>20</v>
      </c>
      <c r="G1288" s="3" t="s">
        <v>5338</v>
      </c>
      <c r="H1288" s="1" t="s">
        <v>22</v>
      </c>
      <c r="I1288" s="1" t="n">
        <v>20240430085434</v>
      </c>
      <c r="J1288" s="3" t="s">
        <v>5339</v>
      </c>
      <c r="K1288" s="3" t="s">
        <v>5340</v>
      </c>
      <c r="L1288" s="3" t="s">
        <v>5341</v>
      </c>
      <c r="M1288" s="3" t="n">
        <v>178715</v>
      </c>
      <c r="N1288" s="3" t="s">
        <v>1673</v>
      </c>
      <c r="O1288" s="1" t="n">
        <v>162329</v>
      </c>
      <c r="P1288" s="1" t="n">
        <v>90.83</v>
      </c>
      <c r="Q1288" s="1" t="s">
        <v>20</v>
      </c>
      <c r="R1288" s="1" t="s">
        <v>27</v>
      </c>
      <c r="S1288" s="1" t="s">
        <v>28</v>
      </c>
      <c r="T1288" s="1" t="s">
        <v>29</v>
      </c>
    </row>
    <row r="1289" customFormat="false" ht="18.7" hidden="false" customHeight="true" outlineLevel="0" collapsed="false">
      <c r="A1289" s="1" t="n">
        <v>1288</v>
      </c>
      <c r="B1289" s="6" t="str">
        <f aca="false">HYPERLINK("https://mncourtfraud.com/file/MCRO_27-CR-20-8926_Returned Mail_2020-04-17_20240430085455.pdf","MCRO_27-CR-20-8926_Returned Mail_2020-04-17_20240430085455.pdf")</f>
        <v>MCRO_27-CR-20-8926_Returned Mail_2020-04-17_20240430085455.pdf</v>
      </c>
      <c r="C1289" s="1" t="n">
        <v>4</v>
      </c>
      <c r="D1289" s="1" t="n">
        <v>1</v>
      </c>
      <c r="E1289" s="1" t="n">
        <v>1</v>
      </c>
      <c r="F1289" s="3" t="s">
        <v>20</v>
      </c>
      <c r="G1289" s="3" t="s">
        <v>5342</v>
      </c>
      <c r="H1289" s="1" t="s">
        <v>22</v>
      </c>
      <c r="I1289" s="1" t="n">
        <v>20240430085455</v>
      </c>
      <c r="J1289" s="3" t="s">
        <v>5343</v>
      </c>
      <c r="K1289" s="3" t="s">
        <v>5344</v>
      </c>
      <c r="L1289" s="3" t="s">
        <v>5345</v>
      </c>
      <c r="M1289" s="3" t="n">
        <v>244140</v>
      </c>
      <c r="N1289" s="3" t="s">
        <v>137</v>
      </c>
      <c r="O1289" s="1" t="n">
        <v>227754</v>
      </c>
      <c r="P1289" s="1" t="n">
        <v>93.29</v>
      </c>
      <c r="Q1289" s="1" t="s">
        <v>20</v>
      </c>
      <c r="R1289" s="1" t="s">
        <v>27</v>
      </c>
      <c r="S1289" s="1" t="s">
        <v>28</v>
      </c>
      <c r="T1289" s="1" t="s">
        <v>29</v>
      </c>
    </row>
    <row r="1290" customFormat="false" ht="18.7" hidden="false" customHeight="true" outlineLevel="0" collapsed="false">
      <c r="A1290" s="1" t="n">
        <v>1289</v>
      </c>
      <c r="B1290" s="6" t="str">
        <f aca="false">HYPERLINK("https://mncourtfraud.com/file/MCRO_27-CR-20-8926_Returned Mail_2020-06-04_20240430085452.pdf","MCRO_27-CR-20-8926_Returned Mail_2020-06-04_20240430085452.pdf")</f>
        <v>MCRO_27-CR-20-8926_Returned Mail_2020-06-04_20240430085452.pdf</v>
      </c>
      <c r="C1290" s="1" t="n">
        <v>4</v>
      </c>
      <c r="D1290" s="1" t="n">
        <v>1</v>
      </c>
      <c r="E1290" s="1" t="n">
        <v>1</v>
      </c>
      <c r="F1290" s="3" t="s">
        <v>20</v>
      </c>
      <c r="G1290" s="3" t="s">
        <v>5346</v>
      </c>
      <c r="H1290" s="1" t="s">
        <v>22</v>
      </c>
      <c r="I1290" s="1" t="n">
        <v>20240430085452</v>
      </c>
      <c r="J1290" s="3" t="s">
        <v>5347</v>
      </c>
      <c r="K1290" s="3" t="s">
        <v>5348</v>
      </c>
      <c r="L1290" s="3" t="s">
        <v>5349</v>
      </c>
      <c r="M1290" s="3" t="n">
        <v>269740</v>
      </c>
      <c r="N1290" s="3" t="s">
        <v>137</v>
      </c>
      <c r="O1290" s="1" t="n">
        <v>253354</v>
      </c>
      <c r="P1290" s="1" t="n">
        <v>93.93</v>
      </c>
      <c r="Q1290" s="1" t="s">
        <v>20</v>
      </c>
      <c r="R1290" s="1" t="s">
        <v>27</v>
      </c>
      <c r="S1290" s="1" t="s">
        <v>28</v>
      </c>
      <c r="T1290" s="1" t="s">
        <v>29</v>
      </c>
    </row>
    <row r="1291" customFormat="false" ht="18.7" hidden="false" customHeight="true" outlineLevel="0" collapsed="false">
      <c r="A1291" s="1" t="n">
        <v>1290</v>
      </c>
      <c r="B1291" s="6" t="str">
        <f aca="false">HYPERLINK("https://mncourtfraud.com/file/MCRO_27-CR-20-8926_Returned Mail_2024-03-19_20240430085422.pdf","MCRO_27-CR-20-8926_Returned Mail_2024-03-19_20240430085422.pdf")</f>
        <v>MCRO_27-CR-20-8926_Returned Mail_2024-03-19_20240430085422.pdf</v>
      </c>
      <c r="C1291" s="1" t="n">
        <v>4</v>
      </c>
      <c r="D1291" s="1" t="n">
        <v>1</v>
      </c>
      <c r="E1291" s="1" t="n">
        <v>1</v>
      </c>
      <c r="F1291" s="3" t="s">
        <v>20</v>
      </c>
      <c r="G1291" s="3" t="s">
        <v>5350</v>
      </c>
      <c r="H1291" s="1" t="s">
        <v>22</v>
      </c>
      <c r="I1291" s="1" t="n">
        <v>20240430085422</v>
      </c>
      <c r="J1291" s="3" t="s">
        <v>5351</v>
      </c>
      <c r="K1291" s="3" t="s">
        <v>5352</v>
      </c>
      <c r="L1291" s="3" t="s">
        <v>5353</v>
      </c>
      <c r="M1291" s="3" t="n">
        <v>112166</v>
      </c>
      <c r="N1291" s="3" t="s">
        <v>1159</v>
      </c>
      <c r="O1291" s="1" t="n">
        <v>95780</v>
      </c>
      <c r="P1291" s="1" t="n">
        <v>85.39</v>
      </c>
      <c r="Q1291" s="1" t="s">
        <v>20</v>
      </c>
      <c r="R1291" s="1" t="s">
        <v>27</v>
      </c>
      <c r="S1291" s="1" t="s">
        <v>28</v>
      </c>
      <c r="T1291" s="1" t="s">
        <v>29</v>
      </c>
    </row>
    <row r="1292" customFormat="false" ht="18.7" hidden="false" customHeight="true" outlineLevel="0" collapsed="false">
      <c r="A1292" s="1" t="n">
        <v>1291</v>
      </c>
      <c r="B1292" s="6" t="str">
        <f aca="false">HYPERLINK("https://mncourtfraud.com/file/MCRO_27-CR-20-8926_Summons_2020-04-08_20240430085457.pdf","MCRO_27-CR-20-8926_Summons_2020-04-08_20240430085457.pdf")</f>
        <v>MCRO_27-CR-20-8926_Summons_2020-04-08_20240430085457.pdf</v>
      </c>
      <c r="C1292" s="1" t="n">
        <v>4</v>
      </c>
      <c r="D1292" s="1" t="n">
        <v>1</v>
      </c>
      <c r="E1292" s="1" t="n">
        <v>1</v>
      </c>
      <c r="F1292" s="3" t="s">
        <v>20</v>
      </c>
      <c r="G1292" s="3" t="s">
        <v>5354</v>
      </c>
      <c r="H1292" s="1" t="s">
        <v>22</v>
      </c>
      <c r="I1292" s="1" t="n">
        <v>20240430085457</v>
      </c>
      <c r="J1292" s="3" t="s">
        <v>5355</v>
      </c>
      <c r="K1292" s="3" t="s">
        <v>5356</v>
      </c>
      <c r="L1292" s="3" t="s">
        <v>5357</v>
      </c>
      <c r="M1292" s="3" t="n">
        <v>252409</v>
      </c>
      <c r="N1292" s="3" t="s">
        <v>1101</v>
      </c>
      <c r="O1292" s="1" t="n">
        <v>236023</v>
      </c>
      <c r="P1292" s="1" t="n">
        <v>93.51</v>
      </c>
      <c r="Q1292" s="1" t="s">
        <v>20</v>
      </c>
      <c r="R1292" s="1" t="s">
        <v>27</v>
      </c>
      <c r="S1292" s="1" t="s">
        <v>28</v>
      </c>
      <c r="T1292" s="1" t="s">
        <v>29</v>
      </c>
    </row>
    <row r="1293" customFormat="false" ht="18.7" hidden="false" customHeight="true" outlineLevel="0" collapsed="false">
      <c r="A1293" s="1" t="n">
        <v>1292</v>
      </c>
      <c r="B1293" s="6" t="str">
        <f aca="false">HYPERLINK("https://mncourtfraud.com/file/MCRO_27-CR-20-9036_E-filed Comp-Warrant_2020-04-09_20240430085603.pdf","MCRO_27-CR-20-9036_E-filed Comp-Warrant_2020-04-09_20240430085603.pdf")</f>
        <v>MCRO_27-CR-20-9036_E-filed Comp-Warrant_2020-04-09_20240430085603.pdf</v>
      </c>
      <c r="C1293" s="1" t="n">
        <v>4</v>
      </c>
      <c r="D1293" s="1" t="n">
        <v>2</v>
      </c>
      <c r="E1293" s="1" t="n">
        <v>2</v>
      </c>
      <c r="F1293" s="3" t="s">
        <v>20</v>
      </c>
      <c r="G1293" s="3" t="s">
        <v>5358</v>
      </c>
      <c r="H1293" s="1" t="s">
        <v>22</v>
      </c>
      <c r="I1293" s="1" t="n">
        <v>20240430085603</v>
      </c>
      <c r="J1293" s="3" t="s">
        <v>5359</v>
      </c>
      <c r="K1293" s="3" t="s">
        <v>5360</v>
      </c>
      <c r="L1293" s="3" t="s">
        <v>5361</v>
      </c>
      <c r="M1293" s="3" t="n">
        <v>484362</v>
      </c>
      <c r="N1293" s="3" t="s">
        <v>5362</v>
      </c>
      <c r="O1293" s="1" t="n">
        <v>467976</v>
      </c>
      <c r="P1293" s="1" t="n">
        <v>96.62</v>
      </c>
      <c r="Q1293" s="1" t="s">
        <v>20</v>
      </c>
      <c r="R1293" s="1" t="s">
        <v>27</v>
      </c>
      <c r="S1293" s="1" t="s">
        <v>28</v>
      </c>
      <c r="T1293" s="1" t="s">
        <v>29</v>
      </c>
    </row>
    <row r="1294" customFormat="false" ht="18.7" hidden="false" customHeight="true" outlineLevel="0" collapsed="false">
      <c r="A1294" s="1" t="n">
        <v>1293</v>
      </c>
      <c r="B1294" s="6" t="str">
        <f aca="false">HYPERLINK("https://mncourtfraud.com/file/MCRO_27-CR-20-9036_Law Enforcement Bail Bond Receipt_2024-04-03_20240430085531.pdf","MCRO_27-CR-20-9036_Law Enforcement Bail Bond Receipt_2024-04-03_20240430085531.pdf")</f>
        <v>MCRO_27-CR-20-9036_Law Enforcement Bail Bond Receipt_2024-04-03_20240430085531.pdf</v>
      </c>
      <c r="C1294" s="1" t="n">
        <v>4</v>
      </c>
      <c r="D1294" s="1" t="n">
        <v>1</v>
      </c>
      <c r="E1294" s="1" t="n">
        <v>1</v>
      </c>
      <c r="F1294" s="3" t="s">
        <v>20</v>
      </c>
      <c r="G1294" s="3" t="s">
        <v>5363</v>
      </c>
      <c r="H1294" s="1" t="s">
        <v>22</v>
      </c>
      <c r="I1294" s="1" t="n">
        <v>20240430085531</v>
      </c>
      <c r="J1294" s="3" t="s">
        <v>5364</v>
      </c>
      <c r="K1294" s="3" t="s">
        <v>5365</v>
      </c>
      <c r="L1294" s="3" t="s">
        <v>5366</v>
      </c>
      <c r="M1294" s="3" t="n">
        <v>250165</v>
      </c>
      <c r="N1294" s="3" t="s">
        <v>1159</v>
      </c>
      <c r="O1294" s="1" t="n">
        <v>233779</v>
      </c>
      <c r="P1294" s="1" t="n">
        <v>93.45</v>
      </c>
      <c r="Q1294" s="1" t="s">
        <v>20</v>
      </c>
      <c r="R1294" s="1" t="s">
        <v>27</v>
      </c>
      <c r="S1294" s="1" t="s">
        <v>28</v>
      </c>
      <c r="T1294" s="1" t="s">
        <v>29</v>
      </c>
    </row>
    <row r="1295" customFormat="false" ht="18.7" hidden="false" customHeight="true" outlineLevel="0" collapsed="false">
      <c r="A1295" s="1" t="n">
        <v>1294</v>
      </c>
      <c r="B1295" s="6" t="str">
        <f aca="false">HYPERLINK("https://mncourtfraud.com/file/MCRO_27-CR-20-9036_Notice of Case Reassignment_2021-08-25_20240430085552.pdf","MCRO_27-CR-20-9036_Notice of Case Reassignment_2021-08-25_20240430085552.pdf")</f>
        <v>MCRO_27-CR-20-9036_Notice of Case Reassignment_2021-08-25_20240430085552.pdf</v>
      </c>
      <c r="C1295" s="1" t="n">
        <v>4</v>
      </c>
      <c r="D1295" s="1" t="n">
        <v>1</v>
      </c>
      <c r="E1295" s="1" t="n">
        <v>1</v>
      </c>
      <c r="F1295" s="3" t="s">
        <v>20</v>
      </c>
      <c r="G1295" s="3" t="s">
        <v>5367</v>
      </c>
      <c r="H1295" s="1" t="s">
        <v>22</v>
      </c>
      <c r="I1295" s="1" t="n">
        <v>20240430085552</v>
      </c>
      <c r="J1295" s="3" t="s">
        <v>5368</v>
      </c>
      <c r="K1295" s="3" t="s">
        <v>5369</v>
      </c>
      <c r="L1295" s="3" t="s">
        <v>5370</v>
      </c>
      <c r="M1295" s="3" t="n">
        <v>335845</v>
      </c>
      <c r="N1295" s="3" t="s">
        <v>456</v>
      </c>
      <c r="O1295" s="1" t="n">
        <v>319459</v>
      </c>
      <c r="P1295" s="1" t="n">
        <v>95.12</v>
      </c>
      <c r="Q1295" s="1" t="s">
        <v>20</v>
      </c>
      <c r="R1295" s="1" t="s">
        <v>27</v>
      </c>
      <c r="S1295" s="1" t="s">
        <v>28</v>
      </c>
      <c r="T1295" s="1" t="s">
        <v>29</v>
      </c>
    </row>
    <row r="1296" customFormat="false" ht="18.7" hidden="false" customHeight="true" outlineLevel="0" collapsed="false">
      <c r="A1296" s="1" t="n">
        <v>1295</v>
      </c>
      <c r="B1296" s="6" t="str">
        <f aca="false">HYPERLINK("https://mncourtfraud.com/file/MCRO_27-CR-20-9036_Notice of Case Reassignment_2022-04-29_20240430085550.pdf","MCRO_27-CR-20-9036_Notice of Case Reassignment_2022-04-29_20240430085550.pdf")</f>
        <v>MCRO_27-CR-20-9036_Notice of Case Reassignment_2022-04-29_20240430085550.pdf</v>
      </c>
      <c r="C1296" s="1" t="n">
        <v>4</v>
      </c>
      <c r="D1296" s="1" t="n">
        <v>1</v>
      </c>
      <c r="E1296" s="1" t="n">
        <v>1</v>
      </c>
      <c r="F1296" s="3" t="s">
        <v>20</v>
      </c>
      <c r="G1296" s="3" t="s">
        <v>5371</v>
      </c>
      <c r="H1296" s="1" t="s">
        <v>22</v>
      </c>
      <c r="I1296" s="1" t="n">
        <v>20240430085550</v>
      </c>
      <c r="J1296" s="3" t="s">
        <v>5372</v>
      </c>
      <c r="K1296" s="3" t="s">
        <v>5373</v>
      </c>
      <c r="L1296" s="3" t="s">
        <v>5374</v>
      </c>
      <c r="M1296" s="3" t="n">
        <v>92253</v>
      </c>
      <c r="N1296" s="3" t="s">
        <v>456</v>
      </c>
      <c r="O1296" s="1" t="n">
        <v>75867</v>
      </c>
      <c r="P1296" s="1" t="n">
        <v>82.24</v>
      </c>
      <c r="Q1296" s="1" t="s">
        <v>20</v>
      </c>
      <c r="R1296" s="1" t="s">
        <v>27</v>
      </c>
      <c r="S1296" s="1" t="s">
        <v>28</v>
      </c>
      <c r="T1296" s="1" t="s">
        <v>29</v>
      </c>
    </row>
    <row r="1297" customFormat="false" ht="18.7" hidden="false" customHeight="true" outlineLevel="0" collapsed="false">
      <c r="A1297" s="1" t="n">
        <v>1296</v>
      </c>
      <c r="B1297" s="6" t="str">
        <f aca="false">HYPERLINK("https://mncourtfraud.com/file/MCRO_27-CR-20-9036_Notice of Case Reassignment_2022-12-16_20240430085549.pdf","MCRO_27-CR-20-9036_Notice of Case Reassignment_2022-12-16_20240430085549.pdf")</f>
        <v>MCRO_27-CR-20-9036_Notice of Case Reassignment_2022-12-16_20240430085549.pdf</v>
      </c>
      <c r="C1297" s="1" t="n">
        <v>4</v>
      </c>
      <c r="D1297" s="1" t="n">
        <v>1</v>
      </c>
      <c r="E1297" s="1" t="n">
        <v>1</v>
      </c>
      <c r="F1297" s="3" t="s">
        <v>20</v>
      </c>
      <c r="G1297" s="3" t="s">
        <v>5375</v>
      </c>
      <c r="H1297" s="1" t="s">
        <v>22</v>
      </c>
      <c r="I1297" s="1" t="n">
        <v>20240430085549</v>
      </c>
      <c r="J1297" s="3" t="s">
        <v>5376</v>
      </c>
      <c r="K1297" s="3" t="s">
        <v>5377</v>
      </c>
      <c r="L1297" s="3" t="s">
        <v>5378</v>
      </c>
      <c r="M1297" s="3" t="n">
        <v>294284</v>
      </c>
      <c r="N1297" s="3" t="s">
        <v>158</v>
      </c>
      <c r="O1297" s="1" t="n">
        <v>277898</v>
      </c>
      <c r="P1297" s="1" t="n">
        <v>94.43</v>
      </c>
      <c r="Q1297" s="1" t="s">
        <v>20</v>
      </c>
      <c r="R1297" s="1" t="s">
        <v>27</v>
      </c>
      <c r="S1297" s="1" t="s">
        <v>28</v>
      </c>
      <c r="T1297" s="1" t="s">
        <v>29</v>
      </c>
    </row>
    <row r="1298" customFormat="false" ht="18.7" hidden="false" customHeight="true" outlineLevel="0" collapsed="false">
      <c r="A1298" s="1" t="n">
        <v>1297</v>
      </c>
      <c r="B1298" s="6" t="str">
        <f aca="false">HYPERLINK("https://mncourtfraud.com/file/MCRO_27-CR-20-9036_Notice of Case Reassignment_2023-12-27_20240430085532.pdf","MCRO_27-CR-20-9036_Notice of Case Reassignment_2023-12-27_20240430085532.pdf")</f>
        <v>MCRO_27-CR-20-9036_Notice of Case Reassignment_2023-12-27_20240430085532.pdf</v>
      </c>
      <c r="C1298" s="1" t="n">
        <v>3</v>
      </c>
      <c r="D1298" s="1" t="n">
        <v>1</v>
      </c>
      <c r="E1298" s="1" t="n">
        <v>1</v>
      </c>
      <c r="F1298" s="3" t="s">
        <v>20</v>
      </c>
      <c r="G1298" s="3" t="s">
        <v>5379</v>
      </c>
      <c r="H1298" s="1" t="s">
        <v>22</v>
      </c>
      <c r="I1298" s="1" t="n">
        <v>20240430085532</v>
      </c>
      <c r="J1298" s="3" t="s">
        <v>5380</v>
      </c>
      <c r="K1298" s="3" t="s">
        <v>5381</v>
      </c>
      <c r="L1298" s="3" t="s">
        <v>5382</v>
      </c>
      <c r="M1298" s="3" t="n">
        <v>173175</v>
      </c>
      <c r="N1298" s="3" t="s">
        <v>1176</v>
      </c>
      <c r="O1298" s="1" t="n">
        <v>156789</v>
      </c>
      <c r="P1298" s="1" t="n">
        <v>90.54</v>
      </c>
      <c r="Q1298" s="1" t="s">
        <v>20</v>
      </c>
      <c r="R1298" s="1" t="s">
        <v>27</v>
      </c>
      <c r="S1298" s="1" t="s">
        <v>28</v>
      </c>
      <c r="T1298" s="1" t="s">
        <v>29</v>
      </c>
    </row>
    <row r="1299" customFormat="false" ht="18.7" hidden="false" customHeight="true" outlineLevel="0" collapsed="false">
      <c r="A1299" s="1" t="n">
        <v>1298</v>
      </c>
      <c r="B1299" s="6" t="str">
        <f aca="false">HYPERLINK("https://mncourtfraud.com/file/MCRO_27-CR-20-9036_Notice of Hearing_2020-10-12_20240430085601.pdf","MCRO_27-CR-20-9036_Notice of Hearing_2020-10-12_20240430085601.pdf")</f>
        <v>MCRO_27-CR-20-9036_Notice of Hearing_2020-10-12_20240430085601.pdf</v>
      </c>
      <c r="C1299" s="1" t="n">
        <v>4</v>
      </c>
      <c r="D1299" s="1" t="n">
        <v>1</v>
      </c>
      <c r="E1299" s="1" t="n">
        <v>1</v>
      </c>
      <c r="F1299" s="3" t="s">
        <v>20</v>
      </c>
      <c r="G1299" s="3" t="s">
        <v>5383</v>
      </c>
      <c r="H1299" s="1" t="s">
        <v>22</v>
      </c>
      <c r="I1299" s="1" t="n">
        <v>20240430085601</v>
      </c>
      <c r="J1299" s="3" t="s">
        <v>5384</v>
      </c>
      <c r="K1299" s="3" t="s">
        <v>5385</v>
      </c>
      <c r="L1299" s="3" t="s">
        <v>5386</v>
      </c>
      <c r="M1299" s="3" t="n">
        <v>101741</v>
      </c>
      <c r="N1299" s="3" t="s">
        <v>137</v>
      </c>
      <c r="O1299" s="1" t="n">
        <v>85355</v>
      </c>
      <c r="P1299" s="1" t="n">
        <v>83.89</v>
      </c>
      <c r="Q1299" s="1" t="s">
        <v>20</v>
      </c>
      <c r="R1299" s="1" t="s">
        <v>27</v>
      </c>
      <c r="S1299" s="1" t="s">
        <v>28</v>
      </c>
      <c r="T1299" s="1" t="s">
        <v>29</v>
      </c>
    </row>
    <row r="1300" customFormat="false" ht="18.7" hidden="false" customHeight="true" outlineLevel="0" collapsed="false">
      <c r="A1300" s="1" t="n">
        <v>1299</v>
      </c>
      <c r="B1300" s="6" t="str">
        <f aca="false">HYPERLINK("https://mncourtfraud.com/file/MCRO_27-CR-20-9036_Notice of Hearing_2020-10-12_20240430085602.pdf","MCRO_27-CR-20-9036_Notice of Hearing_2020-10-12_20240430085602.pdf")</f>
        <v>MCRO_27-CR-20-9036_Notice of Hearing_2020-10-12_20240430085602.pdf</v>
      </c>
      <c r="C1300" s="1" t="n">
        <v>4</v>
      </c>
      <c r="D1300" s="1" t="n">
        <v>1</v>
      </c>
      <c r="E1300" s="1" t="n">
        <v>1</v>
      </c>
      <c r="F1300" s="3" t="s">
        <v>20</v>
      </c>
      <c r="G1300" s="3" t="s">
        <v>5387</v>
      </c>
      <c r="H1300" s="1" t="s">
        <v>22</v>
      </c>
      <c r="I1300" s="1" t="n">
        <v>20240430085602</v>
      </c>
      <c r="J1300" s="3" t="s">
        <v>5388</v>
      </c>
      <c r="K1300" s="3" t="s">
        <v>5389</v>
      </c>
      <c r="L1300" s="3" t="s">
        <v>5390</v>
      </c>
      <c r="M1300" s="3" t="n">
        <v>102083</v>
      </c>
      <c r="N1300" s="3" t="s">
        <v>137</v>
      </c>
      <c r="O1300" s="1" t="n">
        <v>85697</v>
      </c>
      <c r="P1300" s="1" t="n">
        <v>83.95</v>
      </c>
      <c r="Q1300" s="1" t="s">
        <v>20</v>
      </c>
      <c r="R1300" s="1" t="s">
        <v>27</v>
      </c>
      <c r="S1300" s="1" t="s">
        <v>28</v>
      </c>
      <c r="T1300" s="1" t="s">
        <v>29</v>
      </c>
    </row>
    <row r="1301" customFormat="false" ht="18.7" hidden="false" customHeight="true" outlineLevel="0" collapsed="false">
      <c r="A1301" s="1" t="n">
        <v>1300</v>
      </c>
      <c r="B1301" s="6" t="str">
        <f aca="false">HYPERLINK("https://mncourtfraud.com/file/MCRO_27-CR-20-9036_Notice of Hearing_2020-12-31_20240430085558.pdf","MCRO_27-CR-20-9036_Notice of Hearing_2020-12-31_20240430085558.pdf")</f>
        <v>MCRO_27-CR-20-9036_Notice of Hearing_2020-12-31_20240430085558.pdf</v>
      </c>
      <c r="C1301" s="1" t="n">
        <v>4</v>
      </c>
      <c r="D1301" s="1" t="n">
        <v>1</v>
      </c>
      <c r="E1301" s="1" t="n">
        <v>1</v>
      </c>
      <c r="F1301" s="3" t="s">
        <v>20</v>
      </c>
      <c r="G1301" s="3" t="s">
        <v>5391</v>
      </c>
      <c r="H1301" s="1" t="s">
        <v>22</v>
      </c>
      <c r="I1301" s="1" t="n">
        <v>20240430085558</v>
      </c>
      <c r="J1301" s="3" t="s">
        <v>5392</v>
      </c>
      <c r="K1301" s="3" t="s">
        <v>5393</v>
      </c>
      <c r="L1301" s="3" t="s">
        <v>5394</v>
      </c>
      <c r="M1301" s="3" t="n">
        <v>151698</v>
      </c>
      <c r="N1301" s="3" t="s">
        <v>1065</v>
      </c>
      <c r="O1301" s="1" t="n">
        <v>135312</v>
      </c>
      <c r="P1301" s="1" t="n">
        <v>89.2</v>
      </c>
      <c r="Q1301" s="1" t="s">
        <v>20</v>
      </c>
      <c r="R1301" s="1" t="s">
        <v>27</v>
      </c>
      <c r="S1301" s="1" t="s">
        <v>28</v>
      </c>
      <c r="T1301" s="1" t="s">
        <v>29</v>
      </c>
    </row>
    <row r="1302" customFormat="false" ht="18.7" hidden="false" customHeight="true" outlineLevel="0" collapsed="false">
      <c r="A1302" s="1" t="n">
        <v>1301</v>
      </c>
      <c r="B1302" s="6" t="str">
        <f aca="false">HYPERLINK("https://mncourtfraud.com/file/MCRO_27-CR-20-9036_Notice of Hearing_2023-04-06_20240430085548.pdf","MCRO_27-CR-20-9036_Notice of Hearing_2023-04-06_20240430085548.pdf")</f>
        <v>MCRO_27-CR-20-9036_Notice of Hearing_2023-04-06_20240430085548.pdf</v>
      </c>
      <c r="C1302" s="1" t="n">
        <v>4</v>
      </c>
      <c r="D1302" s="1" t="n">
        <v>1</v>
      </c>
      <c r="E1302" s="1" t="n">
        <v>1</v>
      </c>
      <c r="F1302" s="3" t="s">
        <v>20</v>
      </c>
      <c r="G1302" s="3" t="s">
        <v>5395</v>
      </c>
      <c r="H1302" s="1" t="s">
        <v>22</v>
      </c>
      <c r="I1302" s="1" t="n">
        <v>20240430085548</v>
      </c>
      <c r="J1302" s="3" t="s">
        <v>5396</v>
      </c>
      <c r="K1302" s="3" t="s">
        <v>5397</v>
      </c>
      <c r="L1302" s="3" t="s">
        <v>5398</v>
      </c>
      <c r="M1302" s="3" t="n">
        <v>561488</v>
      </c>
      <c r="N1302" s="3" t="s">
        <v>1128</v>
      </c>
      <c r="O1302" s="1" t="n">
        <v>545102</v>
      </c>
      <c r="P1302" s="1" t="n">
        <v>97.08</v>
      </c>
      <c r="Q1302" s="1" t="s">
        <v>20</v>
      </c>
      <c r="R1302" s="1" t="s">
        <v>27</v>
      </c>
      <c r="S1302" s="1" t="s">
        <v>28</v>
      </c>
      <c r="T1302" s="1" t="s">
        <v>29</v>
      </c>
    </row>
    <row r="1303" customFormat="false" ht="18.7" hidden="false" customHeight="true" outlineLevel="0" collapsed="false">
      <c r="A1303" s="1" t="n">
        <v>1302</v>
      </c>
      <c r="B1303" s="6" t="str">
        <f aca="false">HYPERLINK("https://mncourtfraud.com/file/MCRO_27-CR-20-9036_Notice of Hearing_2023-04-20_20240430085546.pdf","MCRO_27-CR-20-9036_Notice of Hearing_2023-04-20_20240430085546.pdf")</f>
        <v>MCRO_27-CR-20-9036_Notice of Hearing_2023-04-20_20240430085546.pdf</v>
      </c>
      <c r="C1303" s="1" t="n">
        <v>4</v>
      </c>
      <c r="D1303" s="1" t="n">
        <v>1</v>
      </c>
      <c r="E1303" s="1" t="n">
        <v>1</v>
      </c>
      <c r="F1303" s="3" t="s">
        <v>20</v>
      </c>
      <c r="G1303" s="3" t="s">
        <v>5399</v>
      </c>
      <c r="H1303" s="1" t="s">
        <v>22</v>
      </c>
      <c r="I1303" s="1" t="n">
        <v>20240430085546</v>
      </c>
      <c r="J1303" s="3" t="s">
        <v>5400</v>
      </c>
      <c r="K1303" s="3" t="s">
        <v>5401</v>
      </c>
      <c r="L1303" s="3" t="s">
        <v>5402</v>
      </c>
      <c r="M1303" s="3" t="n">
        <v>600731</v>
      </c>
      <c r="N1303" s="3" t="s">
        <v>1128</v>
      </c>
      <c r="O1303" s="1" t="n">
        <v>584345</v>
      </c>
      <c r="P1303" s="1" t="n">
        <v>97.27</v>
      </c>
      <c r="Q1303" s="1" t="s">
        <v>20</v>
      </c>
      <c r="R1303" s="1" t="s">
        <v>27</v>
      </c>
      <c r="S1303" s="1" t="s">
        <v>28</v>
      </c>
      <c r="T1303" s="1" t="s">
        <v>29</v>
      </c>
    </row>
    <row r="1304" customFormat="false" ht="18.7" hidden="false" customHeight="true" outlineLevel="0" collapsed="false">
      <c r="A1304" s="1" t="n">
        <v>1303</v>
      </c>
      <c r="B1304" s="6" t="str">
        <f aca="false">HYPERLINK("https://mncourtfraud.com/file/MCRO_27-CR-20-9036_Notice of Hearing_2023-05-15_20240430085545.pdf","MCRO_27-CR-20-9036_Notice of Hearing_2023-05-15_20240430085545.pdf")</f>
        <v>MCRO_27-CR-20-9036_Notice of Hearing_2023-05-15_20240430085545.pdf</v>
      </c>
      <c r="C1304" s="1" t="n">
        <v>4</v>
      </c>
      <c r="D1304" s="1" t="n">
        <v>1</v>
      </c>
      <c r="E1304" s="1" t="n">
        <v>1</v>
      </c>
      <c r="F1304" s="3" t="s">
        <v>20</v>
      </c>
      <c r="G1304" s="3" t="s">
        <v>5403</v>
      </c>
      <c r="H1304" s="1" t="s">
        <v>22</v>
      </c>
      <c r="I1304" s="1" t="n">
        <v>20240430085545</v>
      </c>
      <c r="J1304" s="3" t="s">
        <v>5404</v>
      </c>
      <c r="K1304" s="3" t="s">
        <v>5405</v>
      </c>
      <c r="L1304" s="3" t="s">
        <v>1200</v>
      </c>
      <c r="M1304" s="3" t="n">
        <v>688609</v>
      </c>
      <c r="N1304" s="3" t="s">
        <v>1065</v>
      </c>
      <c r="O1304" s="1" t="n">
        <v>672223</v>
      </c>
      <c r="P1304" s="1" t="n">
        <v>97.62</v>
      </c>
      <c r="Q1304" s="1" t="s">
        <v>20</v>
      </c>
      <c r="R1304" s="1" t="s">
        <v>27</v>
      </c>
      <c r="S1304" s="1" t="s">
        <v>28</v>
      </c>
      <c r="T1304" s="1" t="s">
        <v>29</v>
      </c>
    </row>
    <row r="1305" customFormat="false" ht="18.7" hidden="false" customHeight="true" outlineLevel="0" collapsed="false">
      <c r="A1305" s="1" t="n">
        <v>1304</v>
      </c>
      <c r="B1305" s="6" t="str">
        <f aca="false">HYPERLINK("https://mncourtfraud.com/file/MCRO_27-CR-20-9036_Notice of Hearing_2023-06-13_20240430085544.pdf","MCRO_27-CR-20-9036_Notice of Hearing_2023-06-13_20240430085544.pdf")</f>
        <v>MCRO_27-CR-20-9036_Notice of Hearing_2023-06-13_20240430085544.pdf</v>
      </c>
      <c r="C1305" s="1" t="n">
        <v>4</v>
      </c>
      <c r="D1305" s="1" t="n">
        <v>1</v>
      </c>
      <c r="E1305" s="1" t="n">
        <v>1</v>
      </c>
      <c r="F1305" s="3" t="s">
        <v>20</v>
      </c>
      <c r="G1305" s="3" t="s">
        <v>5406</v>
      </c>
      <c r="H1305" s="1" t="s">
        <v>22</v>
      </c>
      <c r="I1305" s="1" t="n">
        <v>20240430085544</v>
      </c>
      <c r="J1305" s="3" t="s">
        <v>5407</v>
      </c>
      <c r="K1305" s="3" t="s">
        <v>5408</v>
      </c>
      <c r="L1305" s="3" t="s">
        <v>5409</v>
      </c>
      <c r="M1305" s="3" t="n">
        <v>755008</v>
      </c>
      <c r="N1305" s="3" t="s">
        <v>1205</v>
      </c>
      <c r="O1305" s="1" t="n">
        <v>738622</v>
      </c>
      <c r="P1305" s="1" t="n">
        <v>97.83</v>
      </c>
      <c r="Q1305" s="1" t="s">
        <v>20</v>
      </c>
      <c r="R1305" s="1" t="s">
        <v>27</v>
      </c>
      <c r="S1305" s="1" t="s">
        <v>28</v>
      </c>
      <c r="T1305" s="1" t="s">
        <v>29</v>
      </c>
    </row>
    <row r="1306" customFormat="false" ht="18.7" hidden="false" customHeight="true" outlineLevel="0" collapsed="false">
      <c r="A1306" s="1" t="n">
        <v>1305</v>
      </c>
      <c r="B1306" s="6" t="str">
        <f aca="false">HYPERLINK("https://mncourtfraud.com/file/MCRO_27-CR-20-9036_Notice of Hearing_2023-08-01_20240430085540.pdf","MCRO_27-CR-20-9036_Notice of Hearing_2023-08-01_20240430085540.pdf")</f>
        <v>MCRO_27-CR-20-9036_Notice of Hearing_2023-08-01_20240430085540.pdf</v>
      </c>
      <c r="C1306" s="1" t="n">
        <v>4</v>
      </c>
      <c r="D1306" s="1" t="n">
        <v>1</v>
      </c>
      <c r="E1306" s="1" t="n">
        <v>1</v>
      </c>
      <c r="F1306" s="3" t="s">
        <v>20</v>
      </c>
      <c r="G1306" s="3" t="s">
        <v>5410</v>
      </c>
      <c r="H1306" s="1" t="s">
        <v>22</v>
      </c>
      <c r="I1306" s="1" t="n">
        <v>20240430085540</v>
      </c>
      <c r="J1306" s="3" t="s">
        <v>5411</v>
      </c>
      <c r="K1306" s="3" t="s">
        <v>5412</v>
      </c>
      <c r="L1306" s="3" t="s">
        <v>5413</v>
      </c>
      <c r="M1306" s="3" t="n">
        <v>715094</v>
      </c>
      <c r="N1306" s="3" t="s">
        <v>500</v>
      </c>
      <c r="O1306" s="1" t="n">
        <v>698708</v>
      </c>
      <c r="P1306" s="1" t="n">
        <v>97.71</v>
      </c>
      <c r="Q1306" s="1" t="s">
        <v>20</v>
      </c>
      <c r="R1306" s="1" t="s">
        <v>27</v>
      </c>
      <c r="S1306" s="1" t="s">
        <v>28</v>
      </c>
      <c r="T1306" s="1" t="s">
        <v>29</v>
      </c>
    </row>
    <row r="1307" customFormat="false" ht="18.7" hidden="false" customHeight="true" outlineLevel="0" collapsed="false">
      <c r="A1307" s="1" t="n">
        <v>1306</v>
      </c>
      <c r="B1307" s="6" t="str">
        <f aca="false">HYPERLINK("https://mncourtfraud.com/file/MCRO_27-CR-20-9036_Notice of Hearing_2023-09-22_20240430085538.pdf","MCRO_27-CR-20-9036_Notice of Hearing_2023-09-22_20240430085538.pdf")</f>
        <v>MCRO_27-CR-20-9036_Notice of Hearing_2023-09-22_20240430085538.pdf</v>
      </c>
      <c r="C1307" s="1" t="n">
        <v>4</v>
      </c>
      <c r="D1307" s="1" t="n">
        <v>1</v>
      </c>
      <c r="E1307" s="1" t="n">
        <v>1</v>
      </c>
      <c r="F1307" s="3" t="s">
        <v>20</v>
      </c>
      <c r="G1307" s="3" t="s">
        <v>5414</v>
      </c>
      <c r="H1307" s="1" t="s">
        <v>22</v>
      </c>
      <c r="I1307" s="1" t="n">
        <v>20240430085538</v>
      </c>
      <c r="J1307" s="3" t="s">
        <v>5415</v>
      </c>
      <c r="K1307" s="3" t="s">
        <v>5416</v>
      </c>
      <c r="L1307" s="3" t="s">
        <v>5417</v>
      </c>
      <c r="M1307" s="3" t="n">
        <v>715093</v>
      </c>
      <c r="N1307" s="3" t="s">
        <v>500</v>
      </c>
      <c r="O1307" s="1" t="n">
        <v>698707</v>
      </c>
      <c r="P1307" s="1" t="n">
        <v>97.71</v>
      </c>
      <c r="Q1307" s="1" t="s">
        <v>20</v>
      </c>
      <c r="R1307" s="1" t="s">
        <v>27</v>
      </c>
      <c r="S1307" s="1" t="s">
        <v>28</v>
      </c>
      <c r="T1307" s="1" t="s">
        <v>29</v>
      </c>
    </row>
    <row r="1308" customFormat="false" ht="18.7" hidden="false" customHeight="true" outlineLevel="0" collapsed="false">
      <c r="A1308" s="1" t="n">
        <v>1307</v>
      </c>
      <c r="B1308" s="6" t="str">
        <f aca="false">HYPERLINK("https://mncourtfraud.com/file/MCRO_27-CR-20-9036_Notice of Hearing_2023-12-14_20240430085535.pdf","MCRO_27-CR-20-9036_Notice of Hearing_2023-12-14_20240430085535.pdf")</f>
        <v>MCRO_27-CR-20-9036_Notice of Hearing_2023-12-14_20240430085535.pdf</v>
      </c>
      <c r="C1308" s="1" t="n">
        <v>4</v>
      </c>
      <c r="D1308" s="1" t="n">
        <v>1</v>
      </c>
      <c r="E1308" s="1" t="n">
        <v>1</v>
      </c>
      <c r="F1308" s="3" t="s">
        <v>20</v>
      </c>
      <c r="G1308" s="3" t="s">
        <v>5418</v>
      </c>
      <c r="H1308" s="1" t="s">
        <v>22</v>
      </c>
      <c r="I1308" s="1" t="n">
        <v>20240430085535</v>
      </c>
      <c r="J1308" s="3" t="s">
        <v>5419</v>
      </c>
      <c r="K1308" s="3" t="s">
        <v>5420</v>
      </c>
      <c r="L1308" s="3" t="s">
        <v>1385</v>
      </c>
      <c r="M1308" s="3" t="n">
        <v>715179</v>
      </c>
      <c r="N1308" s="3" t="s">
        <v>500</v>
      </c>
      <c r="O1308" s="1" t="n">
        <v>698793</v>
      </c>
      <c r="P1308" s="1" t="n">
        <v>97.71</v>
      </c>
      <c r="Q1308" s="1" t="s">
        <v>20</v>
      </c>
      <c r="R1308" s="1" t="s">
        <v>27</v>
      </c>
      <c r="S1308" s="1" t="s">
        <v>28</v>
      </c>
      <c r="T1308" s="1" t="s">
        <v>29</v>
      </c>
    </row>
    <row r="1309" customFormat="false" ht="18.7" hidden="false" customHeight="true" outlineLevel="0" collapsed="false">
      <c r="A1309" s="1" t="n">
        <v>1308</v>
      </c>
      <c r="B1309" s="6" t="str">
        <f aca="false">HYPERLINK("https://mncourtfraud.com/file/MCRO_27-CR-20-9036_Notice of Remote Hearing with Instructions_2020-12-01_20240430085600.pdf","MCRO_27-CR-20-9036_Notice of Remote Hearing with Instructions_2020-12-01_20240430085600.pdf")</f>
        <v>MCRO_27-CR-20-9036_Notice of Remote Hearing with Instructions_2020-12-01_20240430085600.pdf</v>
      </c>
      <c r="C1309" s="1" t="n">
        <v>4</v>
      </c>
      <c r="D1309" s="1" t="n">
        <v>1</v>
      </c>
      <c r="E1309" s="1" t="n">
        <v>1</v>
      </c>
      <c r="F1309" s="3" t="s">
        <v>20</v>
      </c>
      <c r="G1309" s="3" t="s">
        <v>5421</v>
      </c>
      <c r="H1309" s="1" t="s">
        <v>22</v>
      </c>
      <c r="I1309" s="1" t="n">
        <v>20240430085600</v>
      </c>
      <c r="J1309" s="3" t="s">
        <v>5422</v>
      </c>
      <c r="K1309" s="3" t="s">
        <v>5423</v>
      </c>
      <c r="L1309" s="3" t="s">
        <v>5424</v>
      </c>
      <c r="M1309" s="3" t="n">
        <v>798111</v>
      </c>
      <c r="N1309" s="3" t="s">
        <v>1065</v>
      </c>
      <c r="O1309" s="1" t="n">
        <v>781725</v>
      </c>
      <c r="P1309" s="1" t="n">
        <v>97.95</v>
      </c>
      <c r="Q1309" s="1" t="s">
        <v>20</v>
      </c>
      <c r="R1309" s="1" t="s">
        <v>27</v>
      </c>
      <c r="S1309" s="1" t="s">
        <v>28</v>
      </c>
      <c r="T1309" s="1" t="s">
        <v>29</v>
      </c>
    </row>
    <row r="1310" customFormat="false" ht="18.7" hidden="false" customHeight="true" outlineLevel="0" collapsed="false">
      <c r="A1310" s="1" t="n">
        <v>1309</v>
      </c>
      <c r="B1310" s="6" t="str">
        <f aca="false">HYPERLINK("https://mncourtfraud.com/file/MCRO_27-CR-20-9036_Notice of Remote Hearing with Instructions_2021-02-16_20240430085556.pdf","MCRO_27-CR-20-9036_Notice of Remote Hearing with Instructions_2021-02-16_20240430085556.pdf")</f>
        <v>MCRO_27-CR-20-9036_Notice of Remote Hearing with Instructions_2021-02-16_20240430085556.pdf</v>
      </c>
      <c r="C1310" s="1" t="n">
        <v>4</v>
      </c>
      <c r="D1310" s="1" t="n">
        <v>1</v>
      </c>
      <c r="E1310" s="1" t="n">
        <v>1</v>
      </c>
      <c r="F1310" s="3" t="s">
        <v>20</v>
      </c>
      <c r="G1310" s="3" t="s">
        <v>5425</v>
      </c>
      <c r="H1310" s="1" t="s">
        <v>22</v>
      </c>
      <c r="I1310" s="1" t="n">
        <v>20240430085556</v>
      </c>
      <c r="J1310" s="3" t="s">
        <v>5426</v>
      </c>
      <c r="K1310" s="3" t="s">
        <v>5427</v>
      </c>
      <c r="L1310" s="3" t="s">
        <v>5428</v>
      </c>
      <c r="M1310" s="3" t="n">
        <v>156787</v>
      </c>
      <c r="N1310" s="3" t="s">
        <v>1065</v>
      </c>
      <c r="O1310" s="1" t="n">
        <v>140401</v>
      </c>
      <c r="P1310" s="1" t="n">
        <v>89.55</v>
      </c>
      <c r="Q1310" s="1" t="s">
        <v>20</v>
      </c>
      <c r="R1310" s="1" t="s">
        <v>27</v>
      </c>
      <c r="S1310" s="1" t="s">
        <v>28</v>
      </c>
      <c r="T1310" s="1" t="s">
        <v>29</v>
      </c>
    </row>
    <row r="1311" customFormat="false" ht="18.7" hidden="false" customHeight="true" outlineLevel="0" collapsed="false">
      <c r="A1311" s="1" t="n">
        <v>1310</v>
      </c>
      <c r="B1311" s="6" t="str">
        <f aca="false">HYPERLINK("https://mncourtfraud.com/file/MCRO_27-CR-20-9036_Notice of Remote Hearing with Instructions_2021-10-11_20240430085551.pdf","MCRO_27-CR-20-9036_Notice of Remote Hearing with Instructions_2021-10-11_20240430085551.pdf")</f>
        <v>MCRO_27-CR-20-9036_Notice of Remote Hearing with Instructions_2021-10-11_20240430085551.pdf</v>
      </c>
      <c r="C1311" s="1" t="n">
        <v>4</v>
      </c>
      <c r="D1311" s="1" t="n">
        <v>1</v>
      </c>
      <c r="E1311" s="1" t="n">
        <v>1</v>
      </c>
      <c r="F1311" s="3" t="s">
        <v>20</v>
      </c>
      <c r="G1311" s="3" t="s">
        <v>5429</v>
      </c>
      <c r="H1311" s="1" t="s">
        <v>22</v>
      </c>
      <c r="I1311" s="1" t="n">
        <v>20240430085551</v>
      </c>
      <c r="J1311" s="3" t="s">
        <v>5430</v>
      </c>
      <c r="K1311" s="3" t="s">
        <v>5431</v>
      </c>
      <c r="L1311" s="3" t="s">
        <v>5432</v>
      </c>
      <c r="M1311" s="3" t="n">
        <v>161366</v>
      </c>
      <c r="N1311" s="3" t="s">
        <v>1065</v>
      </c>
      <c r="O1311" s="1" t="n">
        <v>144980</v>
      </c>
      <c r="P1311" s="1" t="n">
        <v>89.85</v>
      </c>
      <c r="Q1311" s="1" t="s">
        <v>20</v>
      </c>
      <c r="R1311" s="1" t="s">
        <v>27</v>
      </c>
      <c r="S1311" s="1" t="s">
        <v>28</v>
      </c>
      <c r="T1311" s="1" t="s">
        <v>29</v>
      </c>
    </row>
    <row r="1312" customFormat="false" ht="18.7" hidden="false" customHeight="true" outlineLevel="0" collapsed="false">
      <c r="A1312" s="1" t="n">
        <v>1311</v>
      </c>
      <c r="B1312" s="6" t="str">
        <f aca="false">HYPERLINK("https://mncourtfraud.com/file/MCRO_27-CR-20-9036_Notice of Remote Hearing with Instructions_2023-06-13_20240430085543.pdf","MCRO_27-CR-20-9036_Notice of Remote Hearing with Instructions_2023-06-13_20240430085543.pdf")</f>
        <v>MCRO_27-CR-20-9036_Notice of Remote Hearing with Instructions_2023-06-13_20240430085543.pdf</v>
      </c>
      <c r="C1312" s="1" t="n">
        <v>4</v>
      </c>
      <c r="D1312" s="1" t="n">
        <v>1</v>
      </c>
      <c r="E1312" s="1" t="n">
        <v>1</v>
      </c>
      <c r="F1312" s="3" t="s">
        <v>20</v>
      </c>
      <c r="G1312" s="3" t="s">
        <v>5433</v>
      </c>
      <c r="H1312" s="1" t="s">
        <v>22</v>
      </c>
      <c r="I1312" s="1" t="n">
        <v>20240430085543</v>
      </c>
      <c r="J1312" s="3" t="s">
        <v>5434</v>
      </c>
      <c r="K1312" s="3" t="s">
        <v>5435</v>
      </c>
      <c r="L1312" s="3" t="s">
        <v>5436</v>
      </c>
      <c r="M1312" s="3" t="n">
        <v>256083</v>
      </c>
      <c r="N1312" s="3" t="s">
        <v>74</v>
      </c>
      <c r="O1312" s="1" t="n">
        <v>239697</v>
      </c>
      <c r="P1312" s="1" t="n">
        <v>93.6</v>
      </c>
      <c r="Q1312" s="1" t="s">
        <v>20</v>
      </c>
      <c r="R1312" s="1" t="s">
        <v>27</v>
      </c>
      <c r="S1312" s="1" t="s">
        <v>28</v>
      </c>
      <c r="T1312" s="1" t="s">
        <v>29</v>
      </c>
    </row>
    <row r="1313" customFormat="false" ht="18.7" hidden="false" customHeight="true" outlineLevel="0" collapsed="false">
      <c r="A1313" s="1" t="n">
        <v>1312</v>
      </c>
      <c r="B1313" s="6" t="str">
        <f aca="false">HYPERLINK("https://mncourtfraud.com/file/MCRO_27-CR-20-9036_Notice of Remote Hearing with Instructions_2023-07-19_20240430085541.pdf","MCRO_27-CR-20-9036_Notice of Remote Hearing with Instructions_2023-07-19_20240430085541.pdf")</f>
        <v>MCRO_27-CR-20-9036_Notice of Remote Hearing with Instructions_2023-07-19_20240430085541.pdf</v>
      </c>
      <c r="C1313" s="1" t="n">
        <v>5</v>
      </c>
      <c r="D1313" s="1" t="n">
        <v>1</v>
      </c>
      <c r="E1313" s="1" t="n">
        <v>1</v>
      </c>
      <c r="F1313" s="3" t="s">
        <v>20</v>
      </c>
      <c r="G1313" s="3" t="s">
        <v>5437</v>
      </c>
      <c r="H1313" s="1" t="s">
        <v>22</v>
      </c>
      <c r="I1313" s="1" t="n">
        <v>20240430085541</v>
      </c>
      <c r="J1313" s="3" t="s">
        <v>5438</v>
      </c>
      <c r="K1313" s="3" t="s">
        <v>5439</v>
      </c>
      <c r="L1313" s="3" t="s">
        <v>5440</v>
      </c>
      <c r="M1313" s="3" t="n">
        <v>846140</v>
      </c>
      <c r="N1313" s="3" t="s">
        <v>1239</v>
      </c>
      <c r="O1313" s="1" t="n">
        <v>829754</v>
      </c>
      <c r="P1313" s="1" t="n">
        <v>98.06</v>
      </c>
      <c r="Q1313" s="1" t="s">
        <v>20</v>
      </c>
      <c r="R1313" s="1" t="s">
        <v>27</v>
      </c>
      <c r="S1313" s="1" t="s">
        <v>28</v>
      </c>
      <c r="T1313" s="1" t="s">
        <v>29</v>
      </c>
    </row>
    <row r="1314" customFormat="false" ht="18.7" hidden="false" customHeight="true" outlineLevel="0" collapsed="false">
      <c r="A1314" s="1" t="n">
        <v>1313</v>
      </c>
      <c r="B1314" s="6" t="str">
        <f aca="false">HYPERLINK("https://mncourtfraud.com/file/MCRO_27-CR-20-9036_Notice of Remote Hearing with Instructions_2023-09-19_20240430085539.pdf","MCRO_27-CR-20-9036_Notice of Remote Hearing with Instructions_2023-09-19_20240430085539.pdf")</f>
        <v>MCRO_27-CR-20-9036_Notice of Remote Hearing with Instructions_2023-09-19_20240430085539.pdf</v>
      </c>
      <c r="C1314" s="1" t="n">
        <v>5</v>
      </c>
      <c r="D1314" s="1" t="n">
        <v>1</v>
      </c>
      <c r="E1314" s="1" t="n">
        <v>1</v>
      </c>
      <c r="F1314" s="3" t="s">
        <v>20</v>
      </c>
      <c r="G1314" s="3" t="s">
        <v>5441</v>
      </c>
      <c r="H1314" s="1" t="s">
        <v>22</v>
      </c>
      <c r="I1314" s="1" t="n">
        <v>20240430085539</v>
      </c>
      <c r="J1314" s="3" t="s">
        <v>5442</v>
      </c>
      <c r="K1314" s="3" t="s">
        <v>5443</v>
      </c>
      <c r="L1314" s="3" t="s">
        <v>5444</v>
      </c>
      <c r="M1314" s="3" t="n">
        <v>859423</v>
      </c>
      <c r="N1314" s="3" t="s">
        <v>1009</v>
      </c>
      <c r="O1314" s="1" t="n">
        <v>843037</v>
      </c>
      <c r="P1314" s="1" t="n">
        <v>98.09</v>
      </c>
      <c r="Q1314" s="1" t="s">
        <v>20</v>
      </c>
      <c r="R1314" s="1" t="s">
        <v>27</v>
      </c>
      <c r="S1314" s="1" t="s">
        <v>28</v>
      </c>
      <c r="T1314" s="1" t="s">
        <v>29</v>
      </c>
    </row>
    <row r="1315" customFormat="false" ht="18.7" hidden="false" customHeight="true" outlineLevel="0" collapsed="false">
      <c r="A1315" s="1" t="n">
        <v>1314</v>
      </c>
      <c r="B1315" s="6" t="str">
        <f aca="false">HYPERLINK("https://mncourtfraud.com/file/MCRO_27-CR-20-9036_Notice of Remote Hearing with Instructions_2023-12-12_20240430085536.pdf","MCRO_27-CR-20-9036_Notice of Remote Hearing with Instructions_2023-12-12_20240430085536.pdf")</f>
        <v>MCRO_27-CR-20-9036_Notice of Remote Hearing with Instructions_2023-12-12_20240430085536.pdf</v>
      </c>
      <c r="C1315" s="1" t="n">
        <v>5</v>
      </c>
      <c r="D1315" s="1" t="n">
        <v>1</v>
      </c>
      <c r="E1315" s="1" t="n">
        <v>1</v>
      </c>
      <c r="F1315" s="3" t="s">
        <v>20</v>
      </c>
      <c r="G1315" s="3" t="s">
        <v>5445</v>
      </c>
      <c r="H1315" s="1" t="s">
        <v>22</v>
      </c>
      <c r="I1315" s="1" t="n">
        <v>20240430085536</v>
      </c>
      <c r="J1315" s="3" t="s">
        <v>5446</v>
      </c>
      <c r="K1315" s="3" t="s">
        <v>5447</v>
      </c>
      <c r="L1315" s="3" t="s">
        <v>4045</v>
      </c>
      <c r="M1315" s="3" t="n">
        <v>855823</v>
      </c>
      <c r="N1315" s="3" t="s">
        <v>1248</v>
      </c>
      <c r="O1315" s="1" t="n">
        <v>839437</v>
      </c>
      <c r="P1315" s="1" t="n">
        <v>98.09</v>
      </c>
      <c r="Q1315" s="1" t="s">
        <v>20</v>
      </c>
      <c r="R1315" s="1" t="s">
        <v>27</v>
      </c>
      <c r="S1315" s="1" t="s">
        <v>28</v>
      </c>
      <c r="T1315" s="1" t="s">
        <v>29</v>
      </c>
    </row>
    <row r="1316" customFormat="false" ht="18.7" hidden="false" customHeight="true" outlineLevel="0" collapsed="false">
      <c r="A1316" s="1" t="n">
        <v>1315</v>
      </c>
      <c r="B1316" s="6" t="str">
        <f aca="false">HYPERLINK("https://mncourtfraud.com/file/MCRO_27-CR-20-9036_Order-Evaluation for Competency to Proceed (Rule 20.01)_2023-07-18_20240430085542.pdf","MCRO_27-CR-20-9036_Order-Evaluation for Competency to Proceed (Rule 20.01)_2023-07-18_20240430085542.pdf")</f>
        <v>MCRO_27-CR-20-9036_Order-Evaluation for Competency to Proceed (Rule 20.01)_2023-07-18_20240430085542.pdf</v>
      </c>
      <c r="C1316" s="1" t="n">
        <v>5</v>
      </c>
      <c r="D1316" s="1" t="n">
        <v>1</v>
      </c>
      <c r="E1316" s="1" t="n">
        <v>1</v>
      </c>
      <c r="F1316" s="3" t="s">
        <v>20</v>
      </c>
      <c r="G1316" s="3" t="s">
        <v>5448</v>
      </c>
      <c r="H1316" s="1" t="s">
        <v>22</v>
      </c>
      <c r="I1316" s="1" t="n">
        <v>20240430085542</v>
      </c>
      <c r="J1316" s="3" t="s">
        <v>5449</v>
      </c>
      <c r="K1316" s="3" t="s">
        <v>5450</v>
      </c>
      <c r="L1316" s="3" t="s">
        <v>5451</v>
      </c>
      <c r="M1316" s="3" t="n">
        <v>760686</v>
      </c>
      <c r="N1316" s="3" t="s">
        <v>1091</v>
      </c>
      <c r="O1316" s="1" t="n">
        <v>744300</v>
      </c>
      <c r="P1316" s="1" t="n">
        <v>97.85</v>
      </c>
      <c r="Q1316" s="1" t="s">
        <v>20</v>
      </c>
      <c r="R1316" s="1" t="s">
        <v>27</v>
      </c>
      <c r="S1316" s="1" t="s">
        <v>28</v>
      </c>
      <c r="T1316" s="1" t="s">
        <v>29</v>
      </c>
    </row>
    <row r="1317" customFormat="false" ht="18.7" hidden="false" customHeight="true" outlineLevel="0" collapsed="false">
      <c r="A1317" s="1" t="n">
        <v>1316</v>
      </c>
      <c r="B1317" s="6" t="str">
        <f aca="false">HYPERLINK("https://mncourtfraud.com/file/MCRO_27-CR-20-9036_Order-Evaluation for Competency to Proceed (Rule 20.01)_2023-10-10_20240430085537.pdf","MCRO_27-CR-20-9036_Order-Evaluation for Competency to Proceed (Rule 20.01)_2023-10-10_20240430085537.pdf")</f>
        <v>MCRO_27-CR-20-9036_Order-Evaluation for Competency to Proceed (Rule 20.01)_2023-10-10_20240430085537.pdf</v>
      </c>
      <c r="C1317" s="1" t="n">
        <v>5</v>
      </c>
      <c r="D1317" s="1" t="n">
        <v>1</v>
      </c>
      <c r="E1317" s="1" t="n">
        <v>1</v>
      </c>
      <c r="F1317" s="3" t="s">
        <v>20</v>
      </c>
      <c r="G1317" s="3" t="s">
        <v>5452</v>
      </c>
      <c r="H1317" s="1" t="s">
        <v>22</v>
      </c>
      <c r="I1317" s="1" t="n">
        <v>20240430085537</v>
      </c>
      <c r="J1317" s="3" t="s">
        <v>5453</v>
      </c>
      <c r="K1317" s="3" t="s">
        <v>5454</v>
      </c>
      <c r="L1317" s="3" t="s">
        <v>1416</v>
      </c>
      <c r="M1317" s="3" t="n">
        <v>763576</v>
      </c>
      <c r="N1317" s="3" t="s">
        <v>1257</v>
      </c>
      <c r="O1317" s="1" t="n">
        <v>747190</v>
      </c>
      <c r="P1317" s="1" t="n">
        <v>97.85</v>
      </c>
      <c r="Q1317" s="1" t="s">
        <v>20</v>
      </c>
      <c r="R1317" s="1" t="s">
        <v>27</v>
      </c>
      <c r="S1317" s="1" t="s">
        <v>28</v>
      </c>
      <c r="T1317" s="1" t="s">
        <v>29</v>
      </c>
    </row>
    <row r="1318" customFormat="false" ht="18.7" hidden="false" customHeight="true" outlineLevel="0" collapsed="false">
      <c r="A1318" s="1" t="n">
        <v>1317</v>
      </c>
      <c r="B1318" s="6" t="str">
        <f aca="false">HYPERLINK("https://mncourtfraud.com/file/MCRO_27-CR-20-9036_Order for Conditional Release_2020-12-31_20240430085557.pdf","MCRO_27-CR-20-9036_Order for Conditional Release_2020-12-31_20240430085557.pdf")</f>
        <v>MCRO_27-CR-20-9036_Order for Conditional Release_2020-12-31_20240430085557.pdf</v>
      </c>
      <c r="C1318" s="1" t="n">
        <v>4</v>
      </c>
      <c r="D1318" s="1" t="n">
        <v>1</v>
      </c>
      <c r="E1318" s="1" t="n">
        <v>1</v>
      </c>
      <c r="F1318" s="3" t="s">
        <v>20</v>
      </c>
      <c r="G1318" s="3" t="s">
        <v>5455</v>
      </c>
      <c r="H1318" s="1" t="s">
        <v>22</v>
      </c>
      <c r="I1318" s="1" t="n">
        <v>20240430085557</v>
      </c>
      <c r="J1318" s="3" t="s">
        <v>5456</v>
      </c>
      <c r="K1318" s="3" t="s">
        <v>5457</v>
      </c>
      <c r="L1318" s="3" t="s">
        <v>5458</v>
      </c>
      <c r="M1318" s="3" t="n">
        <v>136318</v>
      </c>
      <c r="N1318" s="3" t="s">
        <v>456</v>
      </c>
      <c r="O1318" s="1" t="n">
        <v>119932</v>
      </c>
      <c r="P1318" s="1" t="n">
        <v>87.98</v>
      </c>
      <c r="Q1318" s="1" t="s">
        <v>20</v>
      </c>
      <c r="R1318" s="1" t="s">
        <v>27</v>
      </c>
      <c r="S1318" s="1" t="s">
        <v>28</v>
      </c>
      <c r="T1318" s="1" t="s">
        <v>29</v>
      </c>
    </row>
    <row r="1319" customFormat="false" ht="18.7" hidden="false" customHeight="true" outlineLevel="0" collapsed="false">
      <c r="A1319" s="1" t="n">
        <v>1318</v>
      </c>
      <c r="B1319" s="6" t="str">
        <f aca="false">HYPERLINK("https://mncourtfraud.com/file/MCRO_27-CR-20-9036_Other Document_2021-02-17_20240430085555.pdf","MCRO_27-CR-20-9036_Other Document_2021-02-17_20240430085555.pdf")</f>
        <v>MCRO_27-CR-20-9036_Other Document_2021-02-17_20240430085555.pdf</v>
      </c>
      <c r="C1319" s="1" t="n">
        <v>3</v>
      </c>
      <c r="D1319" s="1" t="n">
        <v>1</v>
      </c>
      <c r="E1319" s="1" t="n">
        <v>1</v>
      </c>
      <c r="F1319" s="3" t="s">
        <v>20</v>
      </c>
      <c r="G1319" s="3" t="s">
        <v>5459</v>
      </c>
      <c r="H1319" s="1" t="s">
        <v>22</v>
      </c>
      <c r="I1319" s="1" t="n">
        <v>20240430085555</v>
      </c>
      <c r="J1319" s="3" t="s">
        <v>5460</v>
      </c>
      <c r="K1319" s="3" t="s">
        <v>5461</v>
      </c>
      <c r="L1319" s="3" t="s">
        <v>5462</v>
      </c>
      <c r="M1319" s="3" t="n">
        <v>182363</v>
      </c>
      <c r="N1319" s="3" t="s">
        <v>3673</v>
      </c>
      <c r="O1319" s="1" t="n">
        <v>165977</v>
      </c>
      <c r="P1319" s="1" t="n">
        <v>91.01</v>
      </c>
      <c r="Q1319" s="1" t="s">
        <v>20</v>
      </c>
      <c r="R1319" s="1" t="s">
        <v>27</v>
      </c>
      <c r="S1319" s="1" t="s">
        <v>28</v>
      </c>
      <c r="T1319" s="1" t="s">
        <v>29</v>
      </c>
    </row>
    <row r="1320" customFormat="false" ht="18.7" hidden="false" customHeight="true" outlineLevel="0" collapsed="false">
      <c r="A1320" s="1" t="n">
        <v>1319</v>
      </c>
      <c r="B1320" s="6" t="str">
        <f aca="false">HYPERLINK("https://mncourtfraud.com/file/MCRO_27-CR-20-9036_Prosecutor's Offer_2023-12-21_20240430085533.pdf","MCRO_27-CR-20-9036_Prosecutor's Offer_2023-12-21_20240430085533.pdf")</f>
        <v>MCRO_27-CR-20-9036_Prosecutor's Offer_2023-12-21_20240430085533.pdf</v>
      </c>
      <c r="C1320" s="1" t="n">
        <v>3</v>
      </c>
      <c r="D1320" s="1" t="n">
        <v>1</v>
      </c>
      <c r="E1320" s="1" t="n">
        <v>1</v>
      </c>
      <c r="F1320" s="3" t="s">
        <v>20</v>
      </c>
      <c r="G1320" s="3" t="s">
        <v>5463</v>
      </c>
      <c r="H1320" s="1" t="s">
        <v>22</v>
      </c>
      <c r="I1320" s="1" t="n">
        <v>20240430085533</v>
      </c>
      <c r="J1320" s="3" t="s">
        <v>5464</v>
      </c>
      <c r="K1320" s="3" t="s">
        <v>5465</v>
      </c>
      <c r="L1320" s="3" t="s">
        <v>5466</v>
      </c>
      <c r="M1320" s="3" t="n">
        <v>205618</v>
      </c>
      <c r="N1320" s="3" t="s">
        <v>5096</v>
      </c>
      <c r="O1320" s="1" t="n">
        <v>189232</v>
      </c>
      <c r="P1320" s="1" t="n">
        <v>92.03</v>
      </c>
      <c r="Q1320" s="1" t="s">
        <v>20</v>
      </c>
      <c r="R1320" s="1" t="s">
        <v>27</v>
      </c>
      <c r="S1320" s="1" t="s">
        <v>28</v>
      </c>
      <c r="T1320" s="1" t="s">
        <v>29</v>
      </c>
    </row>
    <row r="1321" customFormat="false" ht="18.7" hidden="false" customHeight="true" outlineLevel="0" collapsed="false">
      <c r="A1321" s="1" t="n">
        <v>1320</v>
      </c>
      <c r="B1321" s="6" t="str">
        <f aca="false">HYPERLINK("https://mncourtfraud.com/file/MCRO_27-CR-20-9036_Returned Mail_2020-12-16_20240430085559.pdf","MCRO_27-CR-20-9036_Returned Mail_2020-12-16_20240430085559.pdf")</f>
        <v>MCRO_27-CR-20-9036_Returned Mail_2020-12-16_20240430085559.pdf</v>
      </c>
      <c r="C1321" s="1" t="n">
        <v>4</v>
      </c>
      <c r="D1321" s="1" t="n">
        <v>1</v>
      </c>
      <c r="E1321" s="1" t="n">
        <v>1</v>
      </c>
      <c r="F1321" s="3" t="s">
        <v>20</v>
      </c>
      <c r="G1321" s="3" t="s">
        <v>5467</v>
      </c>
      <c r="H1321" s="1" t="s">
        <v>22</v>
      </c>
      <c r="I1321" s="1" t="n">
        <v>20240430085559</v>
      </c>
      <c r="J1321" s="3" t="s">
        <v>5468</v>
      </c>
      <c r="K1321" s="3" t="s">
        <v>5469</v>
      </c>
      <c r="L1321" s="3" t="s">
        <v>5470</v>
      </c>
      <c r="M1321" s="3" t="n">
        <v>256016</v>
      </c>
      <c r="N1321" s="3" t="s">
        <v>456</v>
      </c>
      <c r="O1321" s="1" t="n">
        <v>239630</v>
      </c>
      <c r="P1321" s="1" t="n">
        <v>93.6</v>
      </c>
      <c r="Q1321" s="1" t="s">
        <v>20</v>
      </c>
      <c r="R1321" s="1" t="s">
        <v>27</v>
      </c>
      <c r="S1321" s="1" t="s">
        <v>28</v>
      </c>
      <c r="T1321" s="1" t="s">
        <v>29</v>
      </c>
    </row>
    <row r="1322" customFormat="false" ht="18.7" hidden="false" customHeight="true" outlineLevel="0" collapsed="false">
      <c r="A1322" s="1" t="n">
        <v>1321</v>
      </c>
      <c r="B1322" s="6" t="str">
        <f aca="false">HYPERLINK("https://mncourtfraud.com/file/MCRO_27-CR-20-9036_Returned Mail_2021-02-24_20240430085554.pdf","MCRO_27-CR-20-9036_Returned Mail_2021-02-24_20240430085554.pdf")</f>
        <v>MCRO_27-CR-20-9036_Returned Mail_2021-02-24_20240430085554.pdf</v>
      </c>
      <c r="C1322" s="1" t="n">
        <v>4</v>
      </c>
      <c r="D1322" s="1" t="n">
        <v>1</v>
      </c>
      <c r="E1322" s="1" t="n">
        <v>1</v>
      </c>
      <c r="F1322" s="3" t="s">
        <v>20</v>
      </c>
      <c r="G1322" s="3" t="s">
        <v>5471</v>
      </c>
      <c r="H1322" s="1" t="s">
        <v>22</v>
      </c>
      <c r="I1322" s="1" t="n">
        <v>20240430085554</v>
      </c>
      <c r="J1322" s="3" t="s">
        <v>5472</v>
      </c>
      <c r="K1322" s="3" t="s">
        <v>5473</v>
      </c>
      <c r="L1322" s="3" t="s">
        <v>5474</v>
      </c>
      <c r="M1322" s="3" t="n">
        <v>282429</v>
      </c>
      <c r="N1322" s="3" t="s">
        <v>456</v>
      </c>
      <c r="O1322" s="1" t="n">
        <v>266043</v>
      </c>
      <c r="P1322" s="1" t="n">
        <v>94.2</v>
      </c>
      <c r="Q1322" s="1" t="s">
        <v>20</v>
      </c>
      <c r="R1322" s="1" t="s">
        <v>27</v>
      </c>
      <c r="S1322" s="1" t="s">
        <v>28</v>
      </c>
      <c r="T1322" s="1" t="s">
        <v>29</v>
      </c>
    </row>
    <row r="1323" customFormat="false" ht="18.7" hidden="false" customHeight="true" outlineLevel="0" collapsed="false">
      <c r="A1323" s="1" t="n">
        <v>1322</v>
      </c>
      <c r="B1323" s="6" t="str">
        <f aca="false">HYPERLINK("https://mncourtfraud.com/file/MCRO_27-CR-20-9036_Returned Mail_2023-04-17_20240430085547.pdf","MCRO_27-CR-20-9036_Returned Mail_2023-04-17_20240430085547.pdf")</f>
        <v>MCRO_27-CR-20-9036_Returned Mail_2023-04-17_20240430085547.pdf</v>
      </c>
      <c r="C1323" s="1" t="n">
        <v>4</v>
      </c>
      <c r="D1323" s="1" t="n">
        <v>1</v>
      </c>
      <c r="E1323" s="1" t="n">
        <v>1</v>
      </c>
      <c r="F1323" s="3" t="s">
        <v>20</v>
      </c>
      <c r="G1323" s="3" t="s">
        <v>5475</v>
      </c>
      <c r="H1323" s="1" t="s">
        <v>22</v>
      </c>
      <c r="I1323" s="1" t="n">
        <v>20240430085547</v>
      </c>
      <c r="J1323" s="3" t="s">
        <v>5476</v>
      </c>
      <c r="K1323" s="3" t="s">
        <v>5477</v>
      </c>
      <c r="L1323" s="3" t="s">
        <v>1457</v>
      </c>
      <c r="M1323" s="3" t="n">
        <v>235084</v>
      </c>
      <c r="N1323" s="3" t="s">
        <v>119</v>
      </c>
      <c r="O1323" s="1" t="n">
        <v>218698</v>
      </c>
      <c r="P1323" s="1" t="n">
        <v>93.03</v>
      </c>
      <c r="Q1323" s="1" t="s">
        <v>20</v>
      </c>
      <c r="R1323" s="1" t="s">
        <v>27</v>
      </c>
      <c r="S1323" s="1" t="s">
        <v>28</v>
      </c>
      <c r="T1323" s="1" t="s">
        <v>29</v>
      </c>
    </row>
    <row r="1324" customFormat="false" ht="18.7" hidden="false" customHeight="true" outlineLevel="0" collapsed="false">
      <c r="A1324" s="1" t="n">
        <v>1323</v>
      </c>
      <c r="B1324" s="6" t="str">
        <f aca="false">HYPERLINK("https://mncourtfraud.com/file/MCRO_27-CR-21-10675_Correspondence_2023-05-18_20240430082222.pdf","MCRO_27-CR-21-10675_Correspondence_2023-05-18_20240430082222.pdf")</f>
        <v>MCRO_27-CR-21-10675_Correspondence_2023-05-18_20240430082222.pdf</v>
      </c>
      <c r="C1324" s="1" t="n">
        <v>5</v>
      </c>
      <c r="D1324" s="1" t="n">
        <v>5</v>
      </c>
      <c r="E1324" s="1" t="n">
        <v>5</v>
      </c>
      <c r="F1324" s="3" t="s">
        <v>20</v>
      </c>
      <c r="G1324" s="3" t="s">
        <v>5478</v>
      </c>
      <c r="H1324" s="1" t="s">
        <v>22</v>
      </c>
      <c r="I1324" s="1" t="n">
        <v>20240430082222</v>
      </c>
      <c r="J1324" s="3" t="s">
        <v>5479</v>
      </c>
      <c r="K1324" s="3" t="s">
        <v>5480</v>
      </c>
      <c r="L1324" s="3" t="s">
        <v>5481</v>
      </c>
      <c r="M1324" s="3" t="n">
        <v>381014</v>
      </c>
      <c r="N1324" s="3" t="s">
        <v>4192</v>
      </c>
      <c r="O1324" s="1" t="n">
        <v>364628</v>
      </c>
      <c r="P1324" s="1" t="n">
        <v>95.7</v>
      </c>
      <c r="Q1324" s="1" t="s">
        <v>20</v>
      </c>
      <c r="R1324" s="1" t="s">
        <v>27</v>
      </c>
      <c r="S1324" s="1" t="s">
        <v>28</v>
      </c>
      <c r="T1324" s="1" t="s">
        <v>29</v>
      </c>
    </row>
    <row r="1325" customFormat="false" ht="18.7" hidden="false" customHeight="true" outlineLevel="0" collapsed="false">
      <c r="A1325" s="1" t="n">
        <v>1324</v>
      </c>
      <c r="B1325" s="6" t="str">
        <f aca="false">HYPERLINK("https://mncourtfraud.com/file/MCRO_27-CR-21-10675_Demand or Request for Discovery_2021-06-26_20240430082241.pdf","MCRO_27-CR-21-10675_Demand or Request for Discovery_2021-06-26_20240430082241.pdf")</f>
        <v>MCRO_27-CR-21-10675_Demand or Request for Discovery_2021-06-26_20240430082241.pdf</v>
      </c>
      <c r="C1325" s="1" t="n">
        <v>3</v>
      </c>
      <c r="D1325" s="1" t="n">
        <v>1</v>
      </c>
      <c r="E1325" s="1" t="n">
        <v>1</v>
      </c>
      <c r="F1325" s="3" t="s">
        <v>20</v>
      </c>
      <c r="G1325" s="3" t="s">
        <v>5482</v>
      </c>
      <c r="H1325" s="1" t="s">
        <v>22</v>
      </c>
      <c r="I1325" s="1" t="n">
        <v>20240430082241</v>
      </c>
      <c r="J1325" s="3" t="s">
        <v>5483</v>
      </c>
      <c r="K1325" s="3" t="s">
        <v>5484</v>
      </c>
      <c r="L1325" s="3" t="s">
        <v>5485</v>
      </c>
      <c r="M1325" s="3" t="n">
        <v>347555</v>
      </c>
      <c r="N1325" s="3" t="s">
        <v>3593</v>
      </c>
      <c r="O1325" s="1" t="n">
        <v>331169</v>
      </c>
      <c r="P1325" s="1" t="n">
        <v>95.29</v>
      </c>
      <c r="Q1325" s="1" t="s">
        <v>20</v>
      </c>
      <c r="R1325" s="1" t="s">
        <v>27</v>
      </c>
      <c r="S1325" s="1" t="s">
        <v>28</v>
      </c>
      <c r="T1325" s="1" t="s">
        <v>29</v>
      </c>
    </row>
    <row r="1326" customFormat="false" ht="18.7" hidden="false" customHeight="true" outlineLevel="0" collapsed="false">
      <c r="A1326" s="1" t="n">
        <v>1325</v>
      </c>
      <c r="B1326" s="6" t="str">
        <f aca="false">HYPERLINK("https://mncourtfraud.com/file/MCRO_27-CR-21-10675_E-filed Comp-Warrant_2021-06-07_20240430082243.pdf","MCRO_27-CR-21-10675_E-filed Comp-Warrant_2021-06-07_20240430082243.pdf")</f>
        <v>MCRO_27-CR-21-10675_E-filed Comp-Warrant_2021-06-07_20240430082243.pdf</v>
      </c>
      <c r="C1326" s="1" t="n">
        <v>4</v>
      </c>
      <c r="D1326" s="1" t="n">
        <v>2</v>
      </c>
      <c r="E1326" s="1" t="n">
        <v>2</v>
      </c>
      <c r="F1326" s="3" t="s">
        <v>20</v>
      </c>
      <c r="G1326" s="3" t="s">
        <v>5486</v>
      </c>
      <c r="H1326" s="1" t="s">
        <v>22</v>
      </c>
      <c r="I1326" s="1" t="n">
        <v>20240430082243</v>
      </c>
      <c r="J1326" s="3" t="s">
        <v>5487</v>
      </c>
      <c r="K1326" s="3" t="s">
        <v>5488</v>
      </c>
      <c r="L1326" s="3" t="s">
        <v>5489</v>
      </c>
      <c r="M1326" s="3" t="n">
        <v>490609</v>
      </c>
      <c r="N1326" s="3" t="s">
        <v>5490</v>
      </c>
      <c r="O1326" s="1" t="n">
        <v>474223</v>
      </c>
      <c r="P1326" s="1" t="n">
        <v>96.66</v>
      </c>
      <c r="Q1326" s="1" t="s">
        <v>20</v>
      </c>
      <c r="R1326" s="1" t="s">
        <v>27</v>
      </c>
      <c r="S1326" s="1" t="s">
        <v>28</v>
      </c>
      <c r="T1326" s="1" t="s">
        <v>29</v>
      </c>
    </row>
    <row r="1327" customFormat="false" ht="18.7" hidden="false" customHeight="true" outlineLevel="0" collapsed="false">
      <c r="A1327" s="1" t="n">
        <v>1326</v>
      </c>
      <c r="B1327" s="6" t="str">
        <f aca="false">HYPERLINK("https://mncourtfraud.com/file/MCRO_27-CR-21-10675_Finding of Incompetency and Order_2023-02-15_20240430082223.pdf","MCRO_27-CR-21-10675_Finding of Incompetency and Order_2023-02-15_20240430082223.pdf")</f>
        <v>MCRO_27-CR-21-10675_Finding of Incompetency and Order_2023-02-15_20240430082223.pdf</v>
      </c>
      <c r="C1327" s="1" t="n">
        <v>9</v>
      </c>
      <c r="D1327" s="1" t="n">
        <v>3</v>
      </c>
      <c r="E1327" s="1" t="n">
        <v>3</v>
      </c>
      <c r="F1327" s="3" t="s">
        <v>27</v>
      </c>
      <c r="G1327" s="3" t="s">
        <v>5491</v>
      </c>
      <c r="H1327" s="1" t="s">
        <v>22</v>
      </c>
      <c r="I1327" s="1" t="n">
        <v>20240430082223</v>
      </c>
      <c r="J1327" s="3" t="s">
        <v>5492</v>
      </c>
      <c r="K1327" s="3" t="s">
        <v>5493</v>
      </c>
      <c r="L1327" s="3" t="s">
        <v>5494</v>
      </c>
      <c r="M1327" s="3" t="n">
        <v>964365</v>
      </c>
      <c r="N1327" s="3" t="s">
        <v>5495</v>
      </c>
      <c r="O1327" s="1" t="n">
        <v>947979</v>
      </c>
      <c r="P1327" s="1" t="n">
        <v>98.3</v>
      </c>
      <c r="Q1327" s="1" t="s">
        <v>20</v>
      </c>
      <c r="R1327" s="1" t="s">
        <v>27</v>
      </c>
      <c r="S1327" s="1" t="s">
        <v>28</v>
      </c>
      <c r="T1327" s="1" t="s">
        <v>29</v>
      </c>
    </row>
    <row r="1328" customFormat="false" ht="18.7" hidden="false" customHeight="true" outlineLevel="0" collapsed="false">
      <c r="A1328" s="1" t="n">
        <v>1327</v>
      </c>
      <c r="B1328" s="6" t="str">
        <f aca="false">HYPERLINK("https://mncourtfraud.com/file/MCRO_27-CR-21-10675_Notice of Case Reassignment_2022-02-25_20240430082229.pdf","MCRO_27-CR-21-10675_Notice of Case Reassignment_2022-02-25_20240430082229.pdf")</f>
        <v>MCRO_27-CR-21-10675_Notice of Case Reassignment_2022-02-25_20240430082229.pdf</v>
      </c>
      <c r="C1328" s="1" t="n">
        <v>4</v>
      </c>
      <c r="D1328" s="1" t="n">
        <v>1</v>
      </c>
      <c r="E1328" s="1" t="n">
        <v>1</v>
      </c>
      <c r="F1328" s="3" t="s">
        <v>20</v>
      </c>
      <c r="G1328" s="3" t="s">
        <v>5496</v>
      </c>
      <c r="H1328" s="1" t="s">
        <v>22</v>
      </c>
      <c r="I1328" s="1" t="n">
        <v>20240430082229</v>
      </c>
      <c r="J1328" s="3" t="s">
        <v>5497</v>
      </c>
      <c r="K1328" s="3" t="s">
        <v>5498</v>
      </c>
      <c r="L1328" s="3" t="s">
        <v>5499</v>
      </c>
      <c r="M1328" s="3" t="n">
        <v>101212</v>
      </c>
      <c r="N1328" s="3" t="s">
        <v>456</v>
      </c>
      <c r="O1328" s="1" t="n">
        <v>84826</v>
      </c>
      <c r="P1328" s="1" t="n">
        <v>83.81</v>
      </c>
      <c r="Q1328" s="1" t="s">
        <v>20</v>
      </c>
      <c r="R1328" s="1" t="s">
        <v>27</v>
      </c>
      <c r="S1328" s="1" t="s">
        <v>28</v>
      </c>
      <c r="T1328" s="1" t="s">
        <v>29</v>
      </c>
    </row>
    <row r="1329" customFormat="false" ht="18.7" hidden="false" customHeight="true" outlineLevel="0" collapsed="false">
      <c r="A1329" s="1" t="n">
        <v>1328</v>
      </c>
      <c r="B1329" s="6" t="str">
        <f aca="false">HYPERLINK("https://mncourtfraud.com/file/MCRO_27-CR-21-10675_Notice of Case Reassignment_2022-04-01_20240430082228.pdf","MCRO_27-CR-21-10675_Notice of Case Reassignment_2022-04-01_20240430082228.pdf")</f>
        <v>MCRO_27-CR-21-10675_Notice of Case Reassignment_2022-04-01_20240430082228.pdf</v>
      </c>
      <c r="C1329" s="1" t="n">
        <v>4</v>
      </c>
      <c r="D1329" s="1" t="n">
        <v>1</v>
      </c>
      <c r="E1329" s="1" t="n">
        <v>1</v>
      </c>
      <c r="F1329" s="3" t="s">
        <v>20</v>
      </c>
      <c r="G1329" s="3" t="s">
        <v>5500</v>
      </c>
      <c r="H1329" s="1" t="s">
        <v>22</v>
      </c>
      <c r="I1329" s="1" t="n">
        <v>20240430082228</v>
      </c>
      <c r="J1329" s="3" t="s">
        <v>5501</v>
      </c>
      <c r="K1329" s="3" t="s">
        <v>5502</v>
      </c>
      <c r="L1329" s="3" t="s">
        <v>5503</v>
      </c>
      <c r="M1329" s="3" t="n">
        <v>96888</v>
      </c>
      <c r="N1329" s="3" t="s">
        <v>456</v>
      </c>
      <c r="O1329" s="1" t="n">
        <v>80502</v>
      </c>
      <c r="P1329" s="1" t="n">
        <v>83.09</v>
      </c>
      <c r="Q1329" s="1" t="s">
        <v>20</v>
      </c>
      <c r="R1329" s="1" t="s">
        <v>27</v>
      </c>
      <c r="S1329" s="1" t="s">
        <v>28</v>
      </c>
      <c r="T1329" s="1" t="s">
        <v>29</v>
      </c>
    </row>
    <row r="1330" customFormat="false" ht="18.7" hidden="false" customHeight="true" outlineLevel="0" collapsed="false">
      <c r="A1330" s="1" t="n">
        <v>1329</v>
      </c>
      <c r="B1330" s="6" t="str">
        <f aca="false">HYPERLINK("https://mncourtfraud.com/file/MCRO_27-CR-21-10675_Notice of Case Reassignment_2023-11-03_20240430082217.pdf","MCRO_27-CR-21-10675_Notice of Case Reassignment_2023-11-03_20240430082217.pdf")</f>
        <v>MCRO_27-CR-21-10675_Notice of Case Reassignment_2023-11-03_20240430082217.pdf</v>
      </c>
      <c r="C1330" s="1" t="n">
        <v>3</v>
      </c>
      <c r="D1330" s="1" t="n">
        <v>1</v>
      </c>
      <c r="E1330" s="1" t="n">
        <v>1</v>
      </c>
      <c r="F1330" s="3" t="s">
        <v>20</v>
      </c>
      <c r="G1330" s="3" t="s">
        <v>5504</v>
      </c>
      <c r="H1330" s="1" t="s">
        <v>22</v>
      </c>
      <c r="I1330" s="1" t="n">
        <v>20240430082217</v>
      </c>
      <c r="J1330" s="3" t="s">
        <v>5505</v>
      </c>
      <c r="K1330" s="3" t="s">
        <v>5506</v>
      </c>
      <c r="L1330" s="3" t="s">
        <v>5507</v>
      </c>
      <c r="M1330" s="3" t="n">
        <v>114468</v>
      </c>
      <c r="N1330" s="3" t="s">
        <v>128</v>
      </c>
      <c r="O1330" s="1" t="n">
        <v>98082</v>
      </c>
      <c r="P1330" s="1" t="n">
        <v>85.69</v>
      </c>
      <c r="Q1330" s="1" t="s">
        <v>20</v>
      </c>
      <c r="R1330" s="1" t="s">
        <v>27</v>
      </c>
      <c r="S1330" s="1" t="s">
        <v>28</v>
      </c>
      <c r="T1330" s="1" t="s">
        <v>29</v>
      </c>
    </row>
    <row r="1331" customFormat="false" ht="18.7" hidden="false" customHeight="true" outlineLevel="0" collapsed="false">
      <c r="A1331" s="1" t="n">
        <v>1330</v>
      </c>
      <c r="B1331" s="6" t="str">
        <f aca="false">HYPERLINK("https://mncourtfraud.com/file/MCRO_27-CR-21-10675_Notice of Hearing_2022-09-06_20240430082227.pdf","MCRO_27-CR-21-10675_Notice of Hearing_2022-09-06_20240430082227.pdf")</f>
        <v>MCRO_27-CR-21-10675_Notice of Hearing_2022-09-06_20240430082227.pdf</v>
      </c>
      <c r="C1331" s="1" t="n">
        <v>4</v>
      </c>
      <c r="D1331" s="1" t="n">
        <v>1</v>
      </c>
      <c r="E1331" s="1" t="n">
        <v>1</v>
      </c>
      <c r="F1331" s="3" t="s">
        <v>20</v>
      </c>
      <c r="G1331" s="3" t="s">
        <v>5508</v>
      </c>
      <c r="H1331" s="1" t="s">
        <v>22</v>
      </c>
      <c r="I1331" s="1" t="n">
        <v>20240430082227</v>
      </c>
      <c r="J1331" s="3" t="s">
        <v>5509</v>
      </c>
      <c r="K1331" s="3" t="s">
        <v>5510</v>
      </c>
      <c r="L1331" s="3" t="s">
        <v>5511</v>
      </c>
      <c r="M1331" s="3" t="n">
        <v>109001</v>
      </c>
      <c r="N1331" s="3" t="s">
        <v>456</v>
      </c>
      <c r="O1331" s="1" t="n">
        <v>92615</v>
      </c>
      <c r="P1331" s="1" t="n">
        <v>84.97</v>
      </c>
      <c r="Q1331" s="1" t="s">
        <v>20</v>
      </c>
      <c r="R1331" s="1" t="s">
        <v>27</v>
      </c>
      <c r="S1331" s="1" t="s">
        <v>28</v>
      </c>
      <c r="T1331" s="1" t="s">
        <v>29</v>
      </c>
    </row>
    <row r="1332" customFormat="false" ht="18.7" hidden="false" customHeight="true" outlineLevel="0" collapsed="false">
      <c r="A1332" s="1" t="n">
        <v>1331</v>
      </c>
      <c r="B1332" s="6" t="str">
        <f aca="false">HYPERLINK("https://mncourtfraud.com/file/MCRO_27-CR-21-10675_Notice of Hearing_2023-08-14_20240430082218.pdf","MCRO_27-CR-21-10675_Notice of Hearing_2023-08-14_20240430082218.pdf")</f>
        <v>MCRO_27-CR-21-10675_Notice of Hearing_2023-08-14_20240430082218.pdf</v>
      </c>
      <c r="C1332" s="1" t="n">
        <v>4</v>
      </c>
      <c r="D1332" s="1" t="n">
        <v>1</v>
      </c>
      <c r="E1332" s="1" t="n">
        <v>1</v>
      </c>
      <c r="F1332" s="3" t="s">
        <v>20</v>
      </c>
      <c r="G1332" s="3" t="s">
        <v>5512</v>
      </c>
      <c r="H1332" s="1" t="s">
        <v>22</v>
      </c>
      <c r="I1332" s="1" t="n">
        <v>20240430082218</v>
      </c>
      <c r="J1332" s="3" t="s">
        <v>5513</v>
      </c>
      <c r="K1332" s="3" t="s">
        <v>5514</v>
      </c>
      <c r="L1332" s="3" t="s">
        <v>5515</v>
      </c>
      <c r="M1332" s="3" t="n">
        <v>90384</v>
      </c>
      <c r="N1332" s="3" t="s">
        <v>3269</v>
      </c>
      <c r="O1332" s="1" t="n">
        <v>73998</v>
      </c>
      <c r="P1332" s="1" t="n">
        <v>81.87</v>
      </c>
      <c r="Q1332" s="1" t="s">
        <v>20</v>
      </c>
      <c r="R1332" s="1" t="s">
        <v>27</v>
      </c>
      <c r="S1332" s="1" t="s">
        <v>28</v>
      </c>
      <c r="T1332" s="1" t="s">
        <v>29</v>
      </c>
    </row>
    <row r="1333" customFormat="false" ht="18.7" hidden="false" customHeight="true" outlineLevel="0" collapsed="false">
      <c r="A1333" s="1" t="n">
        <v>1332</v>
      </c>
      <c r="B1333" s="6" t="str">
        <f aca="false">HYPERLINK("https://mncourtfraud.com/file/MCRO_27-CR-21-10675_Notice of Hearing_2023-11-09_20240430082216.pdf","MCRO_27-CR-21-10675_Notice of Hearing_2023-11-09_20240430082216.pdf")</f>
        <v>MCRO_27-CR-21-10675_Notice of Hearing_2023-11-09_20240430082216.pdf</v>
      </c>
      <c r="C1333" s="1" t="n">
        <v>4</v>
      </c>
      <c r="D1333" s="1" t="n">
        <v>1</v>
      </c>
      <c r="E1333" s="1" t="n">
        <v>1</v>
      </c>
      <c r="F1333" s="3" t="s">
        <v>20</v>
      </c>
      <c r="G1333" s="3" t="s">
        <v>5516</v>
      </c>
      <c r="H1333" s="1" t="s">
        <v>22</v>
      </c>
      <c r="I1333" s="1" t="n">
        <v>20240430082216</v>
      </c>
      <c r="J1333" s="3" t="s">
        <v>5517</v>
      </c>
      <c r="K1333" s="3" t="s">
        <v>5518</v>
      </c>
      <c r="L1333" s="3" t="s">
        <v>5519</v>
      </c>
      <c r="M1333" s="3" t="n">
        <v>89407</v>
      </c>
      <c r="N1333" s="3" t="s">
        <v>3269</v>
      </c>
      <c r="O1333" s="1" t="n">
        <v>73021</v>
      </c>
      <c r="P1333" s="1" t="n">
        <v>81.67</v>
      </c>
      <c r="Q1333" s="1" t="s">
        <v>20</v>
      </c>
      <c r="R1333" s="1" t="s">
        <v>27</v>
      </c>
      <c r="S1333" s="1" t="s">
        <v>28</v>
      </c>
      <c r="T1333" s="1" t="s">
        <v>29</v>
      </c>
    </row>
    <row r="1334" customFormat="false" ht="18.7" hidden="false" customHeight="true" outlineLevel="0" collapsed="false">
      <c r="A1334" s="1" t="n">
        <v>1333</v>
      </c>
      <c r="B1334" s="6" t="str">
        <f aca="false">HYPERLINK("https://mncourtfraud.com/file/MCRO_27-CR-21-10675_Notice of Remote Hearing with Instructions_2021-06-21_20240430082242.pdf","MCRO_27-CR-21-10675_Notice of Remote Hearing with Instructions_2021-06-21_20240430082242.pdf")</f>
        <v>MCRO_27-CR-21-10675_Notice of Remote Hearing with Instructions_2021-06-21_20240430082242.pdf</v>
      </c>
      <c r="C1334" s="1" t="n">
        <v>4</v>
      </c>
      <c r="D1334" s="1" t="n">
        <v>1</v>
      </c>
      <c r="E1334" s="1" t="n">
        <v>1</v>
      </c>
      <c r="F1334" s="3" t="s">
        <v>20</v>
      </c>
      <c r="G1334" s="3" t="s">
        <v>5520</v>
      </c>
      <c r="H1334" s="1" t="s">
        <v>22</v>
      </c>
      <c r="I1334" s="1" t="n">
        <v>20240430082242</v>
      </c>
      <c r="J1334" s="3" t="s">
        <v>5521</v>
      </c>
      <c r="K1334" s="3" t="s">
        <v>5522</v>
      </c>
      <c r="L1334" s="3" t="s">
        <v>5523</v>
      </c>
      <c r="M1334" s="3" t="n">
        <v>160593</v>
      </c>
      <c r="N1334" s="3" t="s">
        <v>1065</v>
      </c>
      <c r="O1334" s="1" t="n">
        <v>144207</v>
      </c>
      <c r="P1334" s="1" t="n">
        <v>89.8</v>
      </c>
      <c r="Q1334" s="1" t="s">
        <v>20</v>
      </c>
      <c r="R1334" s="1" t="s">
        <v>27</v>
      </c>
      <c r="S1334" s="1" t="s">
        <v>28</v>
      </c>
      <c r="T1334" s="1" t="s">
        <v>29</v>
      </c>
    </row>
    <row r="1335" customFormat="false" ht="18.7" hidden="false" customHeight="true" outlineLevel="0" collapsed="false">
      <c r="A1335" s="1" t="n">
        <v>1334</v>
      </c>
      <c r="B1335" s="6" t="str">
        <f aca="false">HYPERLINK("https://mncourtfraud.com/file/MCRO_27-CR-21-10675_Notice of Remote Hearing with Instructions_2021-09-21_20240430082240.pdf","MCRO_27-CR-21-10675_Notice of Remote Hearing with Instructions_2021-09-21_20240430082240.pdf")</f>
        <v>MCRO_27-CR-21-10675_Notice of Remote Hearing with Instructions_2021-09-21_20240430082240.pdf</v>
      </c>
      <c r="C1335" s="1" t="n">
        <v>4</v>
      </c>
      <c r="D1335" s="1" t="n">
        <v>1</v>
      </c>
      <c r="E1335" s="1" t="n">
        <v>1</v>
      </c>
      <c r="F1335" s="3" t="s">
        <v>20</v>
      </c>
      <c r="G1335" s="3" t="s">
        <v>5524</v>
      </c>
      <c r="H1335" s="1" t="s">
        <v>22</v>
      </c>
      <c r="I1335" s="1" t="n">
        <v>20240430082240</v>
      </c>
      <c r="J1335" s="3" t="s">
        <v>5525</v>
      </c>
      <c r="K1335" s="3" t="s">
        <v>5526</v>
      </c>
      <c r="L1335" s="3" t="s">
        <v>5527</v>
      </c>
      <c r="M1335" s="3" t="n">
        <v>140976</v>
      </c>
      <c r="N1335" s="3" t="s">
        <v>1065</v>
      </c>
      <c r="O1335" s="1" t="n">
        <v>124590</v>
      </c>
      <c r="P1335" s="1" t="n">
        <v>88.38</v>
      </c>
      <c r="Q1335" s="1" t="s">
        <v>20</v>
      </c>
      <c r="R1335" s="1" t="s">
        <v>27</v>
      </c>
      <c r="S1335" s="1" t="s">
        <v>28</v>
      </c>
      <c r="T1335" s="1" t="s">
        <v>29</v>
      </c>
    </row>
    <row r="1336" customFormat="false" ht="18.7" hidden="false" customHeight="true" outlineLevel="0" collapsed="false">
      <c r="A1336" s="1" t="n">
        <v>1335</v>
      </c>
      <c r="B1336" s="6" t="str">
        <f aca="false">HYPERLINK("https://mncourtfraud.com/file/MCRO_27-CR-21-10675_Notice of Remote Hearing with Instructions_2021-11-29_20240430082238.pdf","MCRO_27-CR-21-10675_Notice of Remote Hearing with Instructions_2021-11-29_20240430082238.pdf")</f>
        <v>MCRO_27-CR-21-10675_Notice of Remote Hearing with Instructions_2021-11-29_20240430082238.pdf</v>
      </c>
      <c r="C1336" s="1" t="n">
        <v>4</v>
      </c>
      <c r="D1336" s="1" t="n">
        <v>1</v>
      </c>
      <c r="E1336" s="1" t="n">
        <v>1</v>
      </c>
      <c r="F1336" s="3" t="s">
        <v>20</v>
      </c>
      <c r="G1336" s="3" t="s">
        <v>5528</v>
      </c>
      <c r="H1336" s="1" t="s">
        <v>22</v>
      </c>
      <c r="I1336" s="1" t="n">
        <v>20240430082238</v>
      </c>
      <c r="J1336" s="3" t="s">
        <v>5529</v>
      </c>
      <c r="K1336" s="3" t="s">
        <v>5530</v>
      </c>
      <c r="L1336" s="3" t="s">
        <v>5531</v>
      </c>
      <c r="M1336" s="3" t="n">
        <v>160944</v>
      </c>
      <c r="N1336" s="3" t="s">
        <v>1065</v>
      </c>
      <c r="O1336" s="1" t="n">
        <v>144558</v>
      </c>
      <c r="P1336" s="1" t="n">
        <v>89.82</v>
      </c>
      <c r="Q1336" s="1" t="s">
        <v>20</v>
      </c>
      <c r="R1336" s="1" t="s">
        <v>27</v>
      </c>
      <c r="S1336" s="1" t="s">
        <v>28</v>
      </c>
      <c r="T1336" s="1" t="s">
        <v>29</v>
      </c>
    </row>
    <row r="1337" customFormat="false" ht="18.7" hidden="false" customHeight="true" outlineLevel="0" collapsed="false">
      <c r="A1337" s="1" t="n">
        <v>1336</v>
      </c>
      <c r="B1337" s="6" t="str">
        <f aca="false">HYPERLINK("https://mncourtfraud.com/file/MCRO_27-CR-21-10675_Notice of Remote Hearing with Instructions_2022-01-25_20240430082234.pdf","MCRO_27-CR-21-10675_Notice of Remote Hearing with Instructions_2022-01-25_20240430082234.pdf")</f>
        <v>MCRO_27-CR-21-10675_Notice of Remote Hearing with Instructions_2022-01-25_20240430082234.pdf</v>
      </c>
      <c r="C1337" s="1" t="n">
        <v>4</v>
      </c>
      <c r="D1337" s="1" t="n">
        <v>1</v>
      </c>
      <c r="E1337" s="1" t="n">
        <v>1</v>
      </c>
      <c r="F1337" s="3" t="s">
        <v>20</v>
      </c>
      <c r="G1337" s="3" t="s">
        <v>5532</v>
      </c>
      <c r="H1337" s="1" t="s">
        <v>22</v>
      </c>
      <c r="I1337" s="1" t="n">
        <v>20240430082234</v>
      </c>
      <c r="J1337" s="3" t="s">
        <v>5533</v>
      </c>
      <c r="K1337" s="3" t="s">
        <v>5534</v>
      </c>
      <c r="L1337" s="3" t="s">
        <v>5535</v>
      </c>
      <c r="M1337" s="3" t="n">
        <v>694655</v>
      </c>
      <c r="N1337" s="3" t="s">
        <v>5536</v>
      </c>
      <c r="O1337" s="1" t="n">
        <v>678269</v>
      </c>
      <c r="P1337" s="1" t="n">
        <v>97.64</v>
      </c>
      <c r="Q1337" s="1" t="s">
        <v>20</v>
      </c>
      <c r="R1337" s="1" t="s">
        <v>27</v>
      </c>
      <c r="S1337" s="1" t="s">
        <v>28</v>
      </c>
      <c r="T1337" s="1" t="s">
        <v>29</v>
      </c>
    </row>
    <row r="1338" customFormat="false" ht="18.7" hidden="false" customHeight="true" outlineLevel="0" collapsed="false">
      <c r="A1338" s="1" t="n">
        <v>1337</v>
      </c>
      <c r="B1338" s="6" t="str">
        <f aca="false">HYPERLINK("https://mncourtfraud.com/file/MCRO_27-CR-21-10675_Notice of Remote Hearing with Instructions_2022-02-07_20240430082233.pdf","MCRO_27-CR-21-10675_Notice of Remote Hearing with Instructions_2022-02-07_20240430082233.pdf")</f>
        <v>MCRO_27-CR-21-10675_Notice of Remote Hearing with Instructions_2022-02-07_20240430082233.pdf</v>
      </c>
      <c r="C1338" s="1" t="n">
        <v>4</v>
      </c>
      <c r="D1338" s="1" t="n">
        <v>1</v>
      </c>
      <c r="E1338" s="1" t="n">
        <v>1</v>
      </c>
      <c r="F1338" s="3" t="s">
        <v>20</v>
      </c>
      <c r="G1338" s="3" t="s">
        <v>5537</v>
      </c>
      <c r="H1338" s="1" t="s">
        <v>22</v>
      </c>
      <c r="I1338" s="1" t="n">
        <v>20240430082233</v>
      </c>
      <c r="J1338" s="3" t="s">
        <v>5538</v>
      </c>
      <c r="K1338" s="3" t="s">
        <v>5539</v>
      </c>
      <c r="L1338" s="3" t="s">
        <v>5540</v>
      </c>
      <c r="M1338" s="3" t="n">
        <v>142735</v>
      </c>
      <c r="N1338" s="3" t="s">
        <v>361</v>
      </c>
      <c r="O1338" s="1" t="n">
        <v>126349</v>
      </c>
      <c r="P1338" s="1" t="n">
        <v>88.52</v>
      </c>
      <c r="Q1338" s="1" t="s">
        <v>20</v>
      </c>
      <c r="R1338" s="1" t="s">
        <v>27</v>
      </c>
      <c r="S1338" s="1" t="s">
        <v>28</v>
      </c>
      <c r="T1338" s="1" t="s">
        <v>29</v>
      </c>
    </row>
    <row r="1339" customFormat="false" ht="18.7" hidden="false" customHeight="true" outlineLevel="0" collapsed="false">
      <c r="A1339" s="1" t="n">
        <v>1338</v>
      </c>
      <c r="B1339" s="6" t="str">
        <f aca="false">HYPERLINK("https://mncourtfraud.com/file/MCRO_27-CR-21-10675_Notice of Remote Hearing with Instructions_2023-07-18_20240430082219.pdf","MCRO_27-CR-21-10675_Notice of Remote Hearing with Instructions_2023-07-18_20240430082219.pdf")</f>
        <v>MCRO_27-CR-21-10675_Notice of Remote Hearing with Instructions_2023-07-18_20240430082219.pdf</v>
      </c>
      <c r="C1339" s="1" t="n">
        <v>5</v>
      </c>
      <c r="D1339" s="1" t="n">
        <v>1</v>
      </c>
      <c r="E1339" s="1" t="n">
        <v>1</v>
      </c>
      <c r="F1339" s="3" t="s">
        <v>20</v>
      </c>
      <c r="G1339" s="3" t="s">
        <v>5541</v>
      </c>
      <c r="H1339" s="1" t="s">
        <v>22</v>
      </c>
      <c r="I1339" s="1" t="n">
        <v>20240430082219</v>
      </c>
      <c r="J1339" s="3" t="s">
        <v>5542</v>
      </c>
      <c r="K1339" s="3" t="s">
        <v>5543</v>
      </c>
      <c r="L1339" s="3" t="s">
        <v>5544</v>
      </c>
      <c r="M1339" s="3" t="n">
        <v>841063</v>
      </c>
      <c r="N1339" s="3" t="s">
        <v>510</v>
      </c>
      <c r="O1339" s="1" t="n">
        <v>824677</v>
      </c>
      <c r="P1339" s="1" t="n">
        <v>98.05</v>
      </c>
      <c r="Q1339" s="1" t="s">
        <v>20</v>
      </c>
      <c r="R1339" s="1" t="s">
        <v>27</v>
      </c>
      <c r="S1339" s="1" t="s">
        <v>28</v>
      </c>
      <c r="T1339" s="1" t="s">
        <v>29</v>
      </c>
    </row>
    <row r="1340" customFormat="false" ht="18.7" hidden="false" customHeight="true" outlineLevel="0" collapsed="false">
      <c r="A1340" s="1" t="n">
        <v>1339</v>
      </c>
      <c r="B1340" s="6" t="str">
        <f aca="false">HYPERLINK("https://mncourtfraud.com/file/MCRO_27-CR-21-10675_Order for Conditional Release_2021-11-29_20240430082239.pdf","MCRO_27-CR-21-10675_Order for Conditional Release_2021-11-29_20240430082239.pdf")</f>
        <v>MCRO_27-CR-21-10675_Order for Conditional Release_2021-11-29_20240430082239.pdf</v>
      </c>
      <c r="C1340" s="1" t="n">
        <v>4</v>
      </c>
      <c r="D1340" s="1" t="n">
        <v>1</v>
      </c>
      <c r="E1340" s="1" t="n">
        <v>1</v>
      </c>
      <c r="F1340" s="3" t="s">
        <v>20</v>
      </c>
      <c r="G1340" s="3" t="s">
        <v>5545</v>
      </c>
      <c r="H1340" s="1" t="s">
        <v>22</v>
      </c>
      <c r="I1340" s="1" t="n">
        <v>20240430082239</v>
      </c>
      <c r="J1340" s="3" t="s">
        <v>5546</v>
      </c>
      <c r="K1340" s="3" t="s">
        <v>5547</v>
      </c>
      <c r="L1340" s="3" t="s">
        <v>5548</v>
      </c>
      <c r="M1340" s="3" t="n">
        <v>134688</v>
      </c>
      <c r="N1340" s="3" t="s">
        <v>456</v>
      </c>
      <c r="O1340" s="1" t="n">
        <v>118302</v>
      </c>
      <c r="P1340" s="1" t="n">
        <v>87.83</v>
      </c>
      <c r="Q1340" s="1" t="s">
        <v>20</v>
      </c>
      <c r="R1340" s="1" t="s">
        <v>27</v>
      </c>
      <c r="S1340" s="1" t="s">
        <v>28</v>
      </c>
      <c r="T1340" s="1" t="s">
        <v>29</v>
      </c>
    </row>
    <row r="1341" customFormat="false" ht="18.7" hidden="false" customHeight="true" outlineLevel="0" collapsed="false">
      <c r="A1341" s="1" t="n">
        <v>1340</v>
      </c>
      <c r="B1341" s="6" t="str">
        <f aca="false">HYPERLINK("https://mncourtfraud.com/file/MCRO_27-CR-21-10675_Order for Conditional Release_2022-01-25_20240430082235.pdf","MCRO_27-CR-21-10675_Order for Conditional Release_2022-01-25_20240430082235.pdf")</f>
        <v>MCRO_27-CR-21-10675_Order for Conditional Release_2022-01-25_20240430082235.pdf</v>
      </c>
      <c r="C1341" s="1" t="n">
        <v>4</v>
      </c>
      <c r="D1341" s="1" t="n">
        <v>54</v>
      </c>
      <c r="E1341" s="1" t="n">
        <v>2</v>
      </c>
      <c r="F1341" s="3" t="s">
        <v>20</v>
      </c>
      <c r="G1341" s="3" t="s">
        <v>5549</v>
      </c>
      <c r="H1341" s="1" t="s">
        <v>22</v>
      </c>
      <c r="I1341" s="1" t="n">
        <v>20240430082235</v>
      </c>
      <c r="J1341" s="3" t="s">
        <v>5550</v>
      </c>
      <c r="K1341" s="3" t="s">
        <v>5551</v>
      </c>
      <c r="L1341" s="3" t="s">
        <v>5552</v>
      </c>
      <c r="M1341" s="3" t="n">
        <v>219278</v>
      </c>
      <c r="N1341" s="3" t="s">
        <v>5553</v>
      </c>
      <c r="O1341" s="1" t="n">
        <v>202892</v>
      </c>
      <c r="P1341" s="1" t="n">
        <v>92.53</v>
      </c>
      <c r="Q1341" s="1" t="s">
        <v>20</v>
      </c>
      <c r="R1341" s="1" t="s">
        <v>27</v>
      </c>
      <c r="S1341" s="1" t="s">
        <v>28</v>
      </c>
      <c r="T1341" s="1" t="s">
        <v>29</v>
      </c>
    </row>
    <row r="1342" customFormat="false" ht="18.7" hidden="false" customHeight="true" outlineLevel="0" collapsed="false">
      <c r="A1342" s="1" t="n">
        <v>1341</v>
      </c>
      <c r="B1342" s="6" t="str">
        <f aca="false">HYPERLINK("https://mncourtfraud.com/file/MCRO_27-CR-21-10675_Order for Conditional Release_2022-09-06_20240430082226.pdf","MCRO_27-CR-21-10675_Order for Conditional Release_2022-09-06_20240430082226.pdf")</f>
        <v>MCRO_27-CR-21-10675_Order for Conditional Release_2022-09-06_20240430082226.pdf</v>
      </c>
      <c r="C1342" s="1" t="n">
        <v>4</v>
      </c>
      <c r="D1342" s="1" t="n">
        <v>1</v>
      </c>
      <c r="E1342" s="1" t="n">
        <v>1</v>
      </c>
      <c r="F1342" s="3" t="s">
        <v>20</v>
      </c>
      <c r="G1342" s="3" t="s">
        <v>5554</v>
      </c>
      <c r="H1342" s="1" t="s">
        <v>22</v>
      </c>
      <c r="I1342" s="1" t="n">
        <v>20240430082226</v>
      </c>
      <c r="J1342" s="3" t="s">
        <v>5555</v>
      </c>
      <c r="K1342" s="3" t="s">
        <v>5556</v>
      </c>
      <c r="L1342" s="3" t="s">
        <v>5557</v>
      </c>
      <c r="M1342" s="3" t="n">
        <v>141782</v>
      </c>
      <c r="N1342" s="3" t="s">
        <v>456</v>
      </c>
      <c r="O1342" s="1" t="n">
        <v>125396</v>
      </c>
      <c r="P1342" s="1" t="n">
        <v>88.44</v>
      </c>
      <c r="Q1342" s="1" t="s">
        <v>20</v>
      </c>
      <c r="R1342" s="1" t="s">
        <v>27</v>
      </c>
      <c r="S1342" s="1" t="s">
        <v>28</v>
      </c>
      <c r="T1342" s="1" t="s">
        <v>29</v>
      </c>
    </row>
    <row r="1343" customFormat="false" ht="18.7" hidden="false" customHeight="true" outlineLevel="0" collapsed="false">
      <c r="A1343" s="1" t="n">
        <v>1342</v>
      </c>
      <c r="B1343" s="6" t="str">
        <f aca="false">HYPERLINK("https://mncourtfraud.com/file/MCRO_27-CR-21-10675_Order-Other_2023-07-13_20240430082220.pdf","MCRO_27-CR-21-10675_Order-Other_2023-07-13_20240430082220.pdf")</f>
        <v>MCRO_27-CR-21-10675_Order-Other_2023-07-13_20240430082220.pdf</v>
      </c>
      <c r="C1343" s="1" t="n">
        <v>7</v>
      </c>
      <c r="D1343" s="1" t="n">
        <v>5</v>
      </c>
      <c r="E1343" s="1" t="n">
        <v>5</v>
      </c>
      <c r="F1343" s="3" t="s">
        <v>20</v>
      </c>
      <c r="G1343" s="3" t="s">
        <v>5558</v>
      </c>
      <c r="H1343" s="1" t="s">
        <v>22</v>
      </c>
      <c r="I1343" s="1" t="n">
        <v>20240430082220</v>
      </c>
      <c r="J1343" s="3" t="s">
        <v>5559</v>
      </c>
      <c r="K1343" s="3" t="s">
        <v>5560</v>
      </c>
      <c r="L1343" s="3" t="s">
        <v>5561</v>
      </c>
      <c r="M1343" s="3" t="n">
        <v>328154</v>
      </c>
      <c r="N1343" s="3" t="s">
        <v>1316</v>
      </c>
      <c r="O1343" s="1" t="n">
        <v>311768</v>
      </c>
      <c r="P1343" s="1" t="n">
        <v>95.01</v>
      </c>
      <c r="Q1343" s="1" t="s">
        <v>20</v>
      </c>
      <c r="R1343" s="1" t="s">
        <v>27</v>
      </c>
      <c r="S1343" s="1" t="s">
        <v>28</v>
      </c>
      <c r="T1343" s="1" t="s">
        <v>29</v>
      </c>
    </row>
    <row r="1344" customFormat="false" ht="18.7" hidden="false" customHeight="true" outlineLevel="0" collapsed="false">
      <c r="A1344" s="1" t="n">
        <v>1343</v>
      </c>
      <c r="B1344" s="6" t="str">
        <f aca="false">HYPERLINK("https://mncourtfraud.com/file/MCRO_27-CR-21-10675_Order Revoking Interim Conditions of Release_2022-01-03_20240430082236.pdf","MCRO_27-CR-21-10675_Order Revoking Interim Conditions of Release_2022-01-03_20240430082236.pdf")</f>
        <v>MCRO_27-CR-21-10675_Order Revoking Interim Conditions of Release_2022-01-03_20240430082236.pdf</v>
      </c>
      <c r="C1344" s="1" t="n">
        <v>5</v>
      </c>
      <c r="D1344" s="1" t="n">
        <v>4</v>
      </c>
      <c r="E1344" s="1" t="n">
        <v>4</v>
      </c>
      <c r="F1344" s="3" t="s">
        <v>20</v>
      </c>
      <c r="G1344" s="3" t="s">
        <v>5562</v>
      </c>
      <c r="H1344" s="1" t="s">
        <v>22</v>
      </c>
      <c r="I1344" s="1" t="n">
        <v>20240430082236</v>
      </c>
      <c r="J1344" s="3" t="s">
        <v>5563</v>
      </c>
      <c r="K1344" s="3" t="s">
        <v>5564</v>
      </c>
      <c r="L1344" s="3" t="s">
        <v>5565</v>
      </c>
      <c r="M1344" s="3" t="n">
        <v>587587</v>
      </c>
      <c r="N1344" s="3" t="s">
        <v>854</v>
      </c>
      <c r="O1344" s="1" t="n">
        <v>571201</v>
      </c>
      <c r="P1344" s="1" t="n">
        <v>97.21</v>
      </c>
      <c r="Q1344" s="1" t="s">
        <v>20</v>
      </c>
      <c r="R1344" s="1" t="s">
        <v>27</v>
      </c>
      <c r="S1344" s="1" t="s">
        <v>28</v>
      </c>
      <c r="T1344" s="1" t="s">
        <v>29</v>
      </c>
    </row>
    <row r="1345" customFormat="false" ht="18.7" hidden="false" customHeight="true" outlineLevel="0" collapsed="false">
      <c r="A1345" s="1" t="n">
        <v>1344</v>
      </c>
      <c r="B1345" s="6" t="str">
        <f aca="false">HYPERLINK("https://mncourtfraud.com/file/MCRO_27-CR-21-10675_Order Revoking Interim Conditions of Release_2022-02-24_20240430082230.pdf","MCRO_27-CR-21-10675_Order Revoking Interim Conditions of Release_2022-02-24_20240430082230.pdf")</f>
        <v>MCRO_27-CR-21-10675_Order Revoking Interim Conditions of Release_2022-02-24_20240430082230.pdf</v>
      </c>
      <c r="C1345" s="1" t="n">
        <v>5</v>
      </c>
      <c r="D1345" s="1" t="n">
        <v>4</v>
      </c>
      <c r="E1345" s="1" t="n">
        <v>4</v>
      </c>
      <c r="F1345" s="3" t="s">
        <v>20</v>
      </c>
      <c r="G1345" s="3" t="s">
        <v>5566</v>
      </c>
      <c r="H1345" s="1" t="s">
        <v>22</v>
      </c>
      <c r="I1345" s="1" t="n">
        <v>20240430082230</v>
      </c>
      <c r="J1345" s="3" t="s">
        <v>5567</v>
      </c>
      <c r="K1345" s="3" t="s">
        <v>5568</v>
      </c>
      <c r="L1345" s="3" t="s">
        <v>5569</v>
      </c>
      <c r="M1345" s="3" t="n">
        <v>362501</v>
      </c>
      <c r="N1345" s="3" t="s">
        <v>5570</v>
      </c>
      <c r="O1345" s="1" t="n">
        <v>346115</v>
      </c>
      <c r="P1345" s="1" t="n">
        <v>95.48</v>
      </c>
      <c r="Q1345" s="1" t="s">
        <v>20</v>
      </c>
      <c r="R1345" s="1" t="s">
        <v>27</v>
      </c>
      <c r="S1345" s="1" t="s">
        <v>28</v>
      </c>
      <c r="T1345" s="1" t="s">
        <v>29</v>
      </c>
    </row>
    <row r="1346" customFormat="false" ht="18.7" hidden="false" customHeight="true" outlineLevel="0" collapsed="false">
      <c r="A1346" s="1" t="n">
        <v>1345</v>
      </c>
      <c r="B1346" s="6" t="str">
        <f aca="false">HYPERLINK("https://mncourtfraud.com/file/MCRO_27-CR-21-10675_Order Revoking Interim Conditions of Release_2022-09-16_20240430082224.pdf","MCRO_27-CR-21-10675_Order Revoking Interim Conditions of Release_2022-09-16_20240430082224.pdf")</f>
        <v>MCRO_27-CR-21-10675_Order Revoking Interim Conditions of Release_2022-09-16_20240430082224.pdf</v>
      </c>
      <c r="C1346" s="1" t="n">
        <v>5</v>
      </c>
      <c r="D1346" s="1" t="n">
        <v>4</v>
      </c>
      <c r="E1346" s="1" t="n">
        <v>4</v>
      </c>
      <c r="F1346" s="3" t="s">
        <v>20</v>
      </c>
      <c r="G1346" s="3" t="s">
        <v>5571</v>
      </c>
      <c r="H1346" s="1" t="s">
        <v>22</v>
      </c>
      <c r="I1346" s="1" t="n">
        <v>20240430082224</v>
      </c>
      <c r="J1346" s="3" t="s">
        <v>5572</v>
      </c>
      <c r="K1346" s="3" t="s">
        <v>5573</v>
      </c>
      <c r="L1346" s="3" t="s">
        <v>5574</v>
      </c>
      <c r="M1346" s="3" t="n">
        <v>358081</v>
      </c>
      <c r="N1346" s="3" t="s">
        <v>3215</v>
      </c>
      <c r="O1346" s="1" t="n">
        <v>341695</v>
      </c>
      <c r="P1346" s="1" t="n">
        <v>95.42</v>
      </c>
      <c r="Q1346" s="1" t="s">
        <v>20</v>
      </c>
      <c r="R1346" s="1" t="s">
        <v>27</v>
      </c>
      <c r="S1346" s="1" t="s">
        <v>28</v>
      </c>
      <c r="T1346" s="1" t="s">
        <v>29</v>
      </c>
    </row>
    <row r="1347" customFormat="false" ht="18.7" hidden="false" customHeight="true" outlineLevel="0" collapsed="false">
      <c r="A1347" s="1" t="n">
        <v>1346</v>
      </c>
      <c r="B1347" s="6" t="str">
        <f aca="false">HYPERLINK("https://mncourtfraud.com/file/MCRO_27-CR-21-10675_Proposed Order or Document_2022-01-03_20240430082237.pdf","MCRO_27-CR-21-10675_Proposed Order or Document_2022-01-03_20240430082237.pdf")</f>
        <v>MCRO_27-CR-21-10675_Proposed Order or Document_2022-01-03_20240430082237.pdf</v>
      </c>
      <c r="C1347" s="1" t="n">
        <v>3</v>
      </c>
      <c r="D1347" s="1" t="n">
        <v>1</v>
      </c>
      <c r="E1347" s="1" t="n">
        <v>1</v>
      </c>
      <c r="F1347" s="3" t="s">
        <v>20</v>
      </c>
      <c r="G1347" s="3" t="s">
        <v>5575</v>
      </c>
      <c r="H1347" s="1" t="s">
        <v>22</v>
      </c>
      <c r="I1347" s="1" t="n">
        <v>20240430082237</v>
      </c>
      <c r="J1347" s="3" t="s">
        <v>5576</v>
      </c>
      <c r="K1347" s="3" t="s">
        <v>5577</v>
      </c>
      <c r="L1347" s="3" t="s">
        <v>5578</v>
      </c>
      <c r="M1347" s="3" t="n">
        <v>449724</v>
      </c>
      <c r="N1347" s="3" t="s">
        <v>5096</v>
      </c>
      <c r="O1347" s="1" t="n">
        <v>433338</v>
      </c>
      <c r="P1347" s="1" t="n">
        <v>96.36</v>
      </c>
      <c r="Q1347" s="1" t="s">
        <v>20</v>
      </c>
      <c r="R1347" s="1" t="s">
        <v>27</v>
      </c>
      <c r="S1347" s="1" t="s">
        <v>28</v>
      </c>
      <c r="T1347" s="1" t="s">
        <v>29</v>
      </c>
    </row>
    <row r="1348" customFormat="false" ht="18.7" hidden="false" customHeight="true" outlineLevel="0" collapsed="false">
      <c r="A1348" s="1" t="n">
        <v>1347</v>
      </c>
      <c r="B1348" s="6" t="str">
        <f aca="false">HYPERLINK("https://mncourtfraud.com/file/MCRO_27-CR-21-10675_Proposed Order or Document_2022-02-24_20240430082232.pdf","MCRO_27-CR-21-10675_Proposed Order or Document_2022-02-24_20240430082232.pdf")</f>
        <v>MCRO_27-CR-21-10675_Proposed Order or Document_2022-02-24_20240430082232.pdf</v>
      </c>
      <c r="C1348" s="1" t="n">
        <v>4</v>
      </c>
      <c r="D1348" s="1" t="n">
        <v>1</v>
      </c>
      <c r="E1348" s="1" t="n">
        <v>1</v>
      </c>
      <c r="F1348" s="3" t="s">
        <v>20</v>
      </c>
      <c r="G1348" s="3" t="s">
        <v>5579</v>
      </c>
      <c r="H1348" s="1" t="s">
        <v>22</v>
      </c>
      <c r="I1348" s="1" t="n">
        <v>20240430082232</v>
      </c>
      <c r="J1348" s="3" t="s">
        <v>5580</v>
      </c>
      <c r="K1348" s="3" t="s">
        <v>5581</v>
      </c>
      <c r="L1348" s="3" t="s">
        <v>5582</v>
      </c>
      <c r="M1348" s="3" t="n">
        <v>209081</v>
      </c>
      <c r="N1348" s="3" t="s">
        <v>3929</v>
      </c>
      <c r="O1348" s="1" t="n">
        <v>192695</v>
      </c>
      <c r="P1348" s="1" t="n">
        <v>92.16</v>
      </c>
      <c r="Q1348" s="1" t="s">
        <v>20</v>
      </c>
      <c r="R1348" s="1" t="s">
        <v>27</v>
      </c>
      <c r="S1348" s="1" t="s">
        <v>28</v>
      </c>
      <c r="T1348" s="1" t="s">
        <v>29</v>
      </c>
    </row>
    <row r="1349" customFormat="false" ht="18.7" hidden="false" customHeight="true" outlineLevel="0" collapsed="false">
      <c r="A1349" s="1" t="n">
        <v>1348</v>
      </c>
      <c r="B1349" s="6" t="str">
        <f aca="false">HYPERLINK("https://mncourtfraud.com/file/MCRO_27-CR-21-10675_Proposed Order or Document_2022-09-16_20240430082225.pdf","MCRO_27-CR-21-10675_Proposed Order or Document_2022-09-16_20240430082225.pdf")</f>
        <v>MCRO_27-CR-21-10675_Proposed Order or Document_2022-09-16_20240430082225.pdf</v>
      </c>
      <c r="C1349" s="1" t="n">
        <v>4</v>
      </c>
      <c r="D1349" s="1" t="n">
        <v>1</v>
      </c>
      <c r="E1349" s="1" t="n">
        <v>1</v>
      </c>
      <c r="F1349" s="3" t="s">
        <v>20</v>
      </c>
      <c r="G1349" s="3" t="s">
        <v>5583</v>
      </c>
      <c r="H1349" s="1" t="s">
        <v>22</v>
      </c>
      <c r="I1349" s="1" t="n">
        <v>20240430082225</v>
      </c>
      <c r="J1349" s="3" t="s">
        <v>5584</v>
      </c>
      <c r="K1349" s="3" t="s">
        <v>5585</v>
      </c>
      <c r="L1349" s="3" t="s">
        <v>5586</v>
      </c>
      <c r="M1349" s="3" t="n">
        <v>209288</v>
      </c>
      <c r="N1349" s="3" t="s">
        <v>3929</v>
      </c>
      <c r="O1349" s="1" t="n">
        <v>192902</v>
      </c>
      <c r="P1349" s="1" t="n">
        <v>92.17</v>
      </c>
      <c r="Q1349" s="1" t="s">
        <v>20</v>
      </c>
      <c r="R1349" s="1" t="s">
        <v>27</v>
      </c>
      <c r="S1349" s="1" t="s">
        <v>28</v>
      </c>
      <c r="T1349" s="1" t="s">
        <v>29</v>
      </c>
    </row>
    <row r="1350" customFormat="false" ht="18.7" hidden="false" customHeight="true" outlineLevel="0" collapsed="false">
      <c r="A1350" s="1" t="n">
        <v>1349</v>
      </c>
      <c r="B1350" s="6" t="str">
        <f aca="false">HYPERLINK("https://mncourtfraud.com/file/MCRO_27-CR-21-10675_Proposed Order or Document_2023-07-12_20240430082221.pdf","MCRO_27-CR-21-10675_Proposed Order or Document_2023-07-12_20240430082221.pdf")</f>
        <v>MCRO_27-CR-21-10675_Proposed Order or Document_2023-07-12_20240430082221.pdf</v>
      </c>
      <c r="C1350" s="1" t="n">
        <v>3</v>
      </c>
      <c r="D1350" s="1" t="n">
        <v>1</v>
      </c>
      <c r="E1350" s="1" t="n">
        <v>1</v>
      </c>
      <c r="F1350" s="3" t="s">
        <v>20</v>
      </c>
      <c r="G1350" s="3" t="s">
        <v>5587</v>
      </c>
      <c r="H1350" s="1" t="s">
        <v>22</v>
      </c>
      <c r="I1350" s="1" t="n">
        <v>20240430082221</v>
      </c>
      <c r="J1350" s="3" t="s">
        <v>5588</v>
      </c>
      <c r="K1350" s="3" t="s">
        <v>5589</v>
      </c>
      <c r="L1350" s="3" t="s">
        <v>5590</v>
      </c>
      <c r="M1350" s="3" t="n">
        <v>178391</v>
      </c>
      <c r="N1350" s="3" t="s">
        <v>1115</v>
      </c>
      <c r="O1350" s="1" t="n">
        <v>162005</v>
      </c>
      <c r="P1350" s="1" t="n">
        <v>90.81</v>
      </c>
      <c r="Q1350" s="1" t="s">
        <v>20</v>
      </c>
      <c r="R1350" s="1" t="s">
        <v>27</v>
      </c>
      <c r="S1350" s="1" t="s">
        <v>28</v>
      </c>
      <c r="T1350" s="1" t="s">
        <v>29</v>
      </c>
    </row>
    <row r="1351" customFormat="false" ht="18.7" hidden="false" customHeight="true" outlineLevel="0" collapsed="false">
      <c r="A1351" s="1" t="n">
        <v>1350</v>
      </c>
      <c r="B1351" s="6" t="str">
        <f aca="false">HYPERLINK("https://mncourtfraud.com/file/MCRO_27-CR-21-1171_Amended Criminal Complaint_2023-02-13_20240430075319.pdf","MCRO_27-CR-21-1171_Amended Criminal Complaint_2023-02-13_20240430075319.pdf")</f>
        <v>MCRO_27-CR-21-1171_Amended Criminal Complaint_2023-02-13_20240430075319.pdf</v>
      </c>
      <c r="C1351" s="1" t="n">
        <v>4</v>
      </c>
      <c r="D1351" s="1" t="n">
        <v>1</v>
      </c>
      <c r="E1351" s="1" t="n">
        <v>1</v>
      </c>
      <c r="F1351" s="3" t="s">
        <v>20</v>
      </c>
      <c r="G1351" s="3" t="s">
        <v>5591</v>
      </c>
      <c r="H1351" s="1" t="s">
        <v>22</v>
      </c>
      <c r="I1351" s="1" t="n">
        <v>20240430075319</v>
      </c>
      <c r="J1351" s="3" t="s">
        <v>5592</v>
      </c>
      <c r="K1351" s="3" t="s">
        <v>5593</v>
      </c>
      <c r="L1351" s="3" t="s">
        <v>5594</v>
      </c>
      <c r="M1351" s="3" t="n">
        <v>994764</v>
      </c>
      <c r="N1351" s="3" t="s">
        <v>79</v>
      </c>
      <c r="O1351" s="1" t="n">
        <v>978378</v>
      </c>
      <c r="P1351" s="1" t="n">
        <v>98.35</v>
      </c>
      <c r="Q1351" s="1" t="s">
        <v>20</v>
      </c>
      <c r="R1351" s="1" t="s">
        <v>27</v>
      </c>
      <c r="S1351" s="1" t="s">
        <v>28</v>
      </c>
      <c r="T1351" s="1" t="s">
        <v>29</v>
      </c>
    </row>
    <row r="1352" customFormat="false" ht="18.7" hidden="false" customHeight="true" outlineLevel="0" collapsed="false">
      <c r="A1352" s="1" t="n">
        <v>1351</v>
      </c>
      <c r="B1352" s="6" t="str">
        <f aca="false">HYPERLINK("https://mncourtfraud.com/file/MCRO_27-CR-21-1171_Amended Order_2024-01-08_20240430075313.pdf","MCRO_27-CR-21-1171_Amended Order_2024-01-08_20240430075313.pdf")</f>
        <v>MCRO_27-CR-21-1171_Amended Order_2024-01-08_20240430075313.pdf</v>
      </c>
      <c r="C1352" s="1" t="n">
        <v>5</v>
      </c>
      <c r="D1352" s="1" t="n">
        <v>3</v>
      </c>
      <c r="E1352" s="1" t="n">
        <v>3</v>
      </c>
      <c r="F1352" s="3" t="s">
        <v>20</v>
      </c>
      <c r="G1352" s="3" t="s">
        <v>5595</v>
      </c>
      <c r="H1352" s="1" t="s">
        <v>22</v>
      </c>
      <c r="I1352" s="1" t="n">
        <v>20240430075313</v>
      </c>
      <c r="J1352" s="3" t="s">
        <v>5596</v>
      </c>
      <c r="K1352" s="3" t="s">
        <v>5597</v>
      </c>
      <c r="L1352" s="3" t="s">
        <v>5598</v>
      </c>
      <c r="M1352" s="3" t="n">
        <v>307326</v>
      </c>
      <c r="N1352" s="3" t="s">
        <v>5599</v>
      </c>
      <c r="O1352" s="1" t="n">
        <v>290940</v>
      </c>
      <c r="P1352" s="1" t="n">
        <v>94.67</v>
      </c>
      <c r="Q1352" s="1" t="s">
        <v>20</v>
      </c>
      <c r="R1352" s="1" t="s">
        <v>27</v>
      </c>
      <c r="S1352" s="1" t="s">
        <v>28</v>
      </c>
      <c r="T1352" s="1" t="s">
        <v>29</v>
      </c>
    </row>
    <row r="1353" customFormat="false" ht="18.7" hidden="false" customHeight="true" outlineLevel="0" collapsed="false">
      <c r="A1353" s="1" t="n">
        <v>1352</v>
      </c>
      <c r="B1353" s="6" t="str">
        <f aca="false">HYPERLINK("https://mncourtfraud.com/file/MCRO_27-CR-21-1171_Demand or Request for Discovery_2021-01-25_20240430075328.pdf","MCRO_27-CR-21-1171_Demand or Request for Discovery_2021-01-25_20240430075328.pdf")</f>
        <v>MCRO_27-CR-21-1171_Demand or Request for Discovery_2021-01-25_20240430075328.pdf</v>
      </c>
      <c r="C1353" s="1" t="n">
        <v>3</v>
      </c>
      <c r="D1353" s="1" t="n">
        <v>1</v>
      </c>
      <c r="E1353" s="1" t="n">
        <v>1</v>
      </c>
      <c r="F1353" s="3" t="s">
        <v>20</v>
      </c>
      <c r="G1353" s="3" t="s">
        <v>5600</v>
      </c>
      <c r="H1353" s="1" t="s">
        <v>22</v>
      </c>
      <c r="I1353" s="1" t="n">
        <v>20240430075328</v>
      </c>
      <c r="J1353" s="3" t="s">
        <v>5601</v>
      </c>
      <c r="K1353" s="3" t="s">
        <v>5602</v>
      </c>
      <c r="L1353" s="3" t="s">
        <v>5603</v>
      </c>
      <c r="M1353" s="3" t="n">
        <v>373886</v>
      </c>
      <c r="N1353" s="3" t="s">
        <v>5604</v>
      </c>
      <c r="O1353" s="1" t="n">
        <v>357500</v>
      </c>
      <c r="P1353" s="1" t="n">
        <v>95.62</v>
      </c>
      <c r="Q1353" s="1" t="s">
        <v>20</v>
      </c>
      <c r="R1353" s="1" t="s">
        <v>27</v>
      </c>
      <c r="S1353" s="1" t="s">
        <v>28</v>
      </c>
      <c r="T1353" s="1" t="s">
        <v>29</v>
      </c>
    </row>
    <row r="1354" customFormat="false" ht="18.7" hidden="false" customHeight="true" outlineLevel="0" collapsed="false">
      <c r="A1354" s="1" t="n">
        <v>1353</v>
      </c>
      <c r="B1354" s="6" t="str">
        <f aca="false">HYPERLINK("https://mncourtfraud.com/file/MCRO_27-CR-21-1171_E-filed Comp-Order for Detention_2021-01-19_20240430075329.pdf","MCRO_27-CR-21-1171_E-filed Comp-Order for Detention_2021-01-19_20240430075329.pdf")</f>
        <v>MCRO_27-CR-21-1171_E-filed Comp-Order for Detention_2021-01-19_20240430075329.pdf</v>
      </c>
      <c r="C1354" s="1" t="n">
        <v>4</v>
      </c>
      <c r="D1354" s="1" t="n">
        <v>2</v>
      </c>
      <c r="E1354" s="1" t="n">
        <v>2</v>
      </c>
      <c r="F1354" s="3" t="s">
        <v>20</v>
      </c>
      <c r="G1354" s="3" t="s">
        <v>5605</v>
      </c>
      <c r="H1354" s="1" t="s">
        <v>22</v>
      </c>
      <c r="I1354" s="1" t="n">
        <v>20240430075329</v>
      </c>
      <c r="J1354" s="3" t="s">
        <v>5606</v>
      </c>
      <c r="K1354" s="3" t="s">
        <v>5607</v>
      </c>
      <c r="L1354" s="3" t="s">
        <v>5608</v>
      </c>
      <c r="M1354" s="3" t="n">
        <v>501120</v>
      </c>
      <c r="N1354" s="3" t="s">
        <v>4934</v>
      </c>
      <c r="O1354" s="1" t="n">
        <v>484734</v>
      </c>
      <c r="P1354" s="1" t="n">
        <v>96.73</v>
      </c>
      <c r="Q1354" s="1" t="s">
        <v>20</v>
      </c>
      <c r="R1354" s="1" t="s">
        <v>27</v>
      </c>
      <c r="S1354" s="1" t="s">
        <v>28</v>
      </c>
      <c r="T1354" s="1" t="s">
        <v>29</v>
      </c>
    </row>
    <row r="1355" customFormat="false" ht="18.7" hidden="false" customHeight="true" outlineLevel="0" collapsed="false">
      <c r="A1355" s="1" t="n">
        <v>1354</v>
      </c>
      <c r="B1355" s="6" t="str">
        <f aca="false">HYPERLINK("https://mncourtfraud.com/file/MCRO_27-CR-21-1171_Finding of Incompetency and Order_2023-05-02_20240430075317.pdf","MCRO_27-CR-21-1171_Finding of Incompetency and Order_2023-05-02_20240430075317.pdf")</f>
        <v>MCRO_27-CR-21-1171_Finding of Incompetency and Order_2023-05-02_20240430075317.pdf</v>
      </c>
      <c r="C1355" s="1" t="n">
        <v>9</v>
      </c>
      <c r="D1355" s="1" t="n">
        <v>3</v>
      </c>
      <c r="E1355" s="1" t="n">
        <v>3</v>
      </c>
      <c r="F1355" s="3" t="s">
        <v>27</v>
      </c>
      <c r="G1355" s="3" t="s">
        <v>5609</v>
      </c>
      <c r="H1355" s="1" t="s">
        <v>22</v>
      </c>
      <c r="I1355" s="1" t="n">
        <v>20240430075317</v>
      </c>
      <c r="J1355" s="3" t="s">
        <v>5610</v>
      </c>
      <c r="K1355" s="3" t="s">
        <v>5611</v>
      </c>
      <c r="L1355" s="3" t="s">
        <v>5612</v>
      </c>
      <c r="M1355" s="3" t="n">
        <v>945490</v>
      </c>
      <c r="N1355" s="3" t="s">
        <v>5613</v>
      </c>
      <c r="O1355" s="1" t="n">
        <v>929104</v>
      </c>
      <c r="P1355" s="1" t="n">
        <v>98.27</v>
      </c>
      <c r="Q1355" s="1" t="s">
        <v>20</v>
      </c>
      <c r="R1355" s="1" t="s">
        <v>27</v>
      </c>
      <c r="S1355" s="1" t="s">
        <v>28</v>
      </c>
      <c r="T1355" s="1" t="s">
        <v>29</v>
      </c>
    </row>
    <row r="1356" customFormat="false" ht="18.7" hidden="false" customHeight="true" outlineLevel="0" collapsed="false">
      <c r="A1356" s="1" t="n">
        <v>1355</v>
      </c>
      <c r="B1356" s="6" t="str">
        <f aca="false">HYPERLINK("https://mncourtfraud.com/file/MCRO_27-CR-21-1171_Memorandum_2023-02-08_20240430075322.pdf","MCRO_27-CR-21-1171_Memorandum_2023-02-08_20240430075322.pdf")</f>
        <v>MCRO_27-CR-21-1171_Memorandum_2023-02-08_20240430075322.pdf</v>
      </c>
      <c r="C1356" s="1" t="n">
        <v>3</v>
      </c>
      <c r="D1356" s="1" t="n">
        <v>1</v>
      </c>
      <c r="E1356" s="1" t="n">
        <v>1</v>
      </c>
      <c r="F1356" s="3" t="s">
        <v>20</v>
      </c>
      <c r="G1356" s="3" t="s">
        <v>5614</v>
      </c>
      <c r="H1356" s="1" t="s">
        <v>22</v>
      </c>
      <c r="I1356" s="1" t="n">
        <v>20240430075322</v>
      </c>
      <c r="J1356" s="3" t="s">
        <v>5615</v>
      </c>
      <c r="K1356" s="3" t="s">
        <v>5616</v>
      </c>
      <c r="L1356" s="3" t="s">
        <v>5617</v>
      </c>
      <c r="M1356" s="3" t="n">
        <v>819655</v>
      </c>
      <c r="N1356" s="3" t="s">
        <v>2368</v>
      </c>
      <c r="O1356" s="1" t="n">
        <v>803269</v>
      </c>
      <c r="P1356" s="1" t="n">
        <v>98</v>
      </c>
      <c r="Q1356" s="1" t="s">
        <v>20</v>
      </c>
      <c r="R1356" s="1" t="s">
        <v>27</v>
      </c>
      <c r="S1356" s="1" t="s">
        <v>28</v>
      </c>
      <c r="T1356" s="1" t="s">
        <v>29</v>
      </c>
    </row>
    <row r="1357" customFormat="false" ht="18.7" hidden="false" customHeight="true" outlineLevel="0" collapsed="false">
      <c r="A1357" s="1" t="n">
        <v>1356</v>
      </c>
      <c r="B1357" s="6" t="str">
        <f aca="false">HYPERLINK("https://mncourtfraud.com/file/MCRO_27-CR-21-1171_Notice of Hearing_2023-01-09_20240430075324.pdf","MCRO_27-CR-21-1171_Notice of Hearing_2023-01-09_20240430075324.pdf")</f>
        <v>MCRO_27-CR-21-1171_Notice of Hearing_2023-01-09_20240430075324.pdf</v>
      </c>
      <c r="C1357" s="1" t="n">
        <v>4</v>
      </c>
      <c r="D1357" s="1" t="n">
        <v>1</v>
      </c>
      <c r="E1357" s="1" t="n">
        <v>1</v>
      </c>
      <c r="F1357" s="3" t="s">
        <v>20</v>
      </c>
      <c r="G1357" s="3" t="s">
        <v>5618</v>
      </c>
      <c r="H1357" s="1" t="s">
        <v>22</v>
      </c>
      <c r="I1357" s="1" t="n">
        <v>20240430075324</v>
      </c>
      <c r="J1357" s="3" t="s">
        <v>5619</v>
      </c>
      <c r="K1357" s="3" t="s">
        <v>5620</v>
      </c>
      <c r="L1357" s="3" t="s">
        <v>5621</v>
      </c>
      <c r="M1357" s="3" t="n">
        <v>115297</v>
      </c>
      <c r="N1357" s="3" t="s">
        <v>3269</v>
      </c>
      <c r="O1357" s="1" t="n">
        <v>98911</v>
      </c>
      <c r="P1357" s="1" t="n">
        <v>85.79</v>
      </c>
      <c r="Q1357" s="1" t="s">
        <v>20</v>
      </c>
      <c r="R1357" s="1" t="s">
        <v>27</v>
      </c>
      <c r="S1357" s="1" t="s">
        <v>28</v>
      </c>
      <c r="T1357" s="1" t="s">
        <v>29</v>
      </c>
    </row>
    <row r="1358" customFormat="false" ht="18.7" hidden="false" customHeight="true" outlineLevel="0" collapsed="false">
      <c r="A1358" s="1" t="n">
        <v>1357</v>
      </c>
      <c r="B1358" s="6" t="str">
        <f aca="false">HYPERLINK("https://mncourtfraud.com/file/MCRO_27-CR-21-1171_Notice of Hearing_2024-03-19_20240430075310.pdf","MCRO_27-CR-21-1171_Notice of Hearing_2024-03-19_20240430075310.pdf")</f>
        <v>MCRO_27-CR-21-1171_Notice of Hearing_2024-03-19_20240430075310.pdf</v>
      </c>
      <c r="C1358" s="1" t="n">
        <v>4</v>
      </c>
      <c r="D1358" s="1" t="n">
        <v>1</v>
      </c>
      <c r="E1358" s="1" t="n">
        <v>1</v>
      </c>
      <c r="F1358" s="3" t="s">
        <v>20</v>
      </c>
      <c r="G1358" s="3" t="s">
        <v>5622</v>
      </c>
      <c r="H1358" s="1" t="s">
        <v>22</v>
      </c>
      <c r="I1358" s="1" t="n">
        <v>20240430075310</v>
      </c>
      <c r="J1358" s="3" t="s">
        <v>5623</v>
      </c>
      <c r="K1358" s="3" t="s">
        <v>5624</v>
      </c>
      <c r="L1358" s="3" t="s">
        <v>5625</v>
      </c>
      <c r="M1358" s="3" t="n">
        <v>195593</v>
      </c>
      <c r="N1358" s="3" t="s">
        <v>3917</v>
      </c>
      <c r="O1358" s="1" t="n">
        <v>179207</v>
      </c>
      <c r="P1358" s="1" t="n">
        <v>91.62</v>
      </c>
      <c r="Q1358" s="1" t="s">
        <v>20</v>
      </c>
      <c r="R1358" s="1" t="s">
        <v>27</v>
      </c>
      <c r="S1358" s="1" t="s">
        <v>28</v>
      </c>
      <c r="T1358" s="1" t="s">
        <v>29</v>
      </c>
    </row>
    <row r="1359" customFormat="false" ht="18.7" hidden="false" customHeight="true" outlineLevel="0" collapsed="false">
      <c r="A1359" s="1" t="n">
        <v>1358</v>
      </c>
      <c r="B1359" s="6" t="str">
        <f aca="false">HYPERLINK("https://mncourtfraud.com/file/MCRO_27-CR-21-1171_Notice of Hearing_2024-04-17_20240430075308.pdf","MCRO_27-CR-21-1171_Notice of Hearing_2024-04-17_20240430075308.pdf")</f>
        <v>MCRO_27-CR-21-1171_Notice of Hearing_2024-04-17_20240430075308.pdf</v>
      </c>
      <c r="C1359" s="1" t="n">
        <v>4</v>
      </c>
      <c r="D1359" s="1" t="n">
        <v>1</v>
      </c>
      <c r="E1359" s="1" t="n">
        <v>1</v>
      </c>
      <c r="F1359" s="3" t="s">
        <v>20</v>
      </c>
      <c r="G1359" s="3" t="s">
        <v>5626</v>
      </c>
      <c r="H1359" s="1" t="s">
        <v>22</v>
      </c>
      <c r="I1359" s="1" t="n">
        <v>20240430075308</v>
      </c>
      <c r="J1359" s="3" t="s">
        <v>5627</v>
      </c>
      <c r="K1359" s="3" t="s">
        <v>5628</v>
      </c>
      <c r="L1359" s="3" t="s">
        <v>5629</v>
      </c>
      <c r="M1359" s="3" t="n">
        <v>113725</v>
      </c>
      <c r="N1359" s="3" t="s">
        <v>3269</v>
      </c>
      <c r="O1359" s="1" t="n">
        <v>97339</v>
      </c>
      <c r="P1359" s="1" t="n">
        <v>85.59</v>
      </c>
      <c r="Q1359" s="1" t="s">
        <v>20</v>
      </c>
      <c r="R1359" s="1" t="s">
        <v>27</v>
      </c>
      <c r="S1359" s="1" t="s">
        <v>28</v>
      </c>
      <c r="T1359" s="1" t="s">
        <v>29</v>
      </c>
    </row>
    <row r="1360" customFormat="false" ht="18.7" hidden="false" customHeight="true" outlineLevel="0" collapsed="false">
      <c r="A1360" s="1" t="n">
        <v>1359</v>
      </c>
      <c r="B1360" s="6" t="str">
        <f aca="false">HYPERLINK("https://mncourtfraud.com/file/MCRO_27-CR-21-1171_Notice of Motion and Motion_2023-02-08_20240430075323.pdf","MCRO_27-CR-21-1171_Notice of Motion and Motion_2023-02-08_20240430075323.pdf")</f>
        <v>MCRO_27-CR-21-1171_Notice of Motion and Motion_2023-02-08_20240430075323.pdf</v>
      </c>
      <c r="C1360" s="1" t="n">
        <v>3</v>
      </c>
      <c r="D1360" s="1" t="n">
        <v>1</v>
      </c>
      <c r="E1360" s="1" t="n">
        <v>1</v>
      </c>
      <c r="F1360" s="3" t="s">
        <v>20</v>
      </c>
      <c r="G1360" s="3" t="s">
        <v>5630</v>
      </c>
      <c r="H1360" s="1" t="s">
        <v>22</v>
      </c>
      <c r="I1360" s="1" t="n">
        <v>20240430075323</v>
      </c>
      <c r="J1360" s="3" t="s">
        <v>5631</v>
      </c>
      <c r="K1360" s="3" t="s">
        <v>5632</v>
      </c>
      <c r="L1360" s="3" t="s">
        <v>5633</v>
      </c>
      <c r="M1360" s="3" t="n">
        <v>146885</v>
      </c>
      <c r="N1360" s="3" t="s">
        <v>2777</v>
      </c>
      <c r="O1360" s="1" t="n">
        <v>130499</v>
      </c>
      <c r="P1360" s="1" t="n">
        <v>88.84</v>
      </c>
      <c r="Q1360" s="1" t="s">
        <v>20</v>
      </c>
      <c r="R1360" s="1" t="s">
        <v>27</v>
      </c>
      <c r="S1360" s="1" t="s">
        <v>28</v>
      </c>
      <c r="T1360" s="1" t="s">
        <v>29</v>
      </c>
    </row>
    <row r="1361" customFormat="false" ht="18.7" hidden="false" customHeight="true" outlineLevel="0" collapsed="false">
      <c r="A1361" s="1" t="n">
        <v>1360</v>
      </c>
      <c r="B1361" s="6" t="str">
        <f aca="false">HYPERLINK("https://mncourtfraud.com/file/MCRO_27-CR-21-1171_Notice of Remote Hearing with Instructions_2021-02-09_20240430075327.pdf","MCRO_27-CR-21-1171_Notice of Remote Hearing with Instructions_2021-02-09_20240430075327.pdf")</f>
        <v>MCRO_27-CR-21-1171_Notice of Remote Hearing with Instructions_2021-02-09_20240430075327.pdf</v>
      </c>
      <c r="C1361" s="1" t="n">
        <v>4</v>
      </c>
      <c r="D1361" s="1" t="n">
        <v>1</v>
      </c>
      <c r="E1361" s="1" t="n">
        <v>1</v>
      </c>
      <c r="F1361" s="3" t="s">
        <v>20</v>
      </c>
      <c r="G1361" s="3" t="s">
        <v>5634</v>
      </c>
      <c r="H1361" s="1" t="s">
        <v>22</v>
      </c>
      <c r="I1361" s="1" t="n">
        <v>20240430075327</v>
      </c>
      <c r="J1361" s="3" t="s">
        <v>5635</v>
      </c>
      <c r="K1361" s="3" t="s">
        <v>5636</v>
      </c>
      <c r="L1361" s="3" t="s">
        <v>5637</v>
      </c>
      <c r="M1361" s="3" t="n">
        <v>739584</v>
      </c>
      <c r="N1361" s="3" t="s">
        <v>1086</v>
      </c>
      <c r="O1361" s="1" t="n">
        <v>723198</v>
      </c>
      <c r="P1361" s="1" t="n">
        <v>97.78</v>
      </c>
      <c r="Q1361" s="1" t="s">
        <v>20</v>
      </c>
      <c r="R1361" s="1" t="s">
        <v>27</v>
      </c>
      <c r="S1361" s="1" t="s">
        <v>28</v>
      </c>
      <c r="T1361" s="1" t="s">
        <v>29</v>
      </c>
    </row>
    <row r="1362" customFormat="false" ht="18.7" hidden="false" customHeight="true" outlineLevel="0" collapsed="false">
      <c r="A1362" s="1" t="n">
        <v>1361</v>
      </c>
      <c r="B1362" s="6" t="str">
        <f aca="false">HYPERLINK("https://mncourtfraud.com/file/MCRO_27-CR-21-1171_Notice of Remote Hearing with Instructions_2021-02-26_20240430075326.pdf","MCRO_27-CR-21-1171_Notice of Remote Hearing with Instructions_2021-02-26_20240430075326.pdf")</f>
        <v>MCRO_27-CR-21-1171_Notice of Remote Hearing with Instructions_2021-02-26_20240430075326.pdf</v>
      </c>
      <c r="C1362" s="1" t="n">
        <v>4</v>
      </c>
      <c r="D1362" s="1" t="n">
        <v>1</v>
      </c>
      <c r="E1362" s="1" t="n">
        <v>1</v>
      </c>
      <c r="F1362" s="3" t="s">
        <v>20</v>
      </c>
      <c r="G1362" s="3" t="s">
        <v>5638</v>
      </c>
      <c r="H1362" s="1" t="s">
        <v>22</v>
      </c>
      <c r="I1362" s="1" t="n">
        <v>20240430075326</v>
      </c>
      <c r="J1362" s="3" t="s">
        <v>5639</v>
      </c>
      <c r="K1362" s="3" t="s">
        <v>5640</v>
      </c>
      <c r="L1362" s="3" t="s">
        <v>5641</v>
      </c>
      <c r="M1362" s="3" t="n">
        <v>737868</v>
      </c>
      <c r="N1362" s="3" t="s">
        <v>1086</v>
      </c>
      <c r="O1362" s="1" t="n">
        <v>721482</v>
      </c>
      <c r="P1362" s="1" t="n">
        <v>97.78</v>
      </c>
      <c r="Q1362" s="1" t="s">
        <v>20</v>
      </c>
      <c r="R1362" s="1" t="s">
        <v>27</v>
      </c>
      <c r="S1362" s="1" t="s">
        <v>28</v>
      </c>
      <c r="T1362" s="1" t="s">
        <v>29</v>
      </c>
    </row>
    <row r="1363" customFormat="false" ht="18.7" hidden="false" customHeight="true" outlineLevel="0" collapsed="false">
      <c r="A1363" s="1" t="n">
        <v>1362</v>
      </c>
      <c r="B1363" s="6" t="str">
        <f aca="false">HYPERLINK("https://mncourtfraud.com/file/MCRO_27-CR-21-1171_Notice of Remote Hearing with Instructions_2023-10-31_20240430075315.pdf","MCRO_27-CR-21-1171_Notice of Remote Hearing with Instructions_2023-10-31_20240430075315.pdf")</f>
        <v>MCRO_27-CR-21-1171_Notice of Remote Hearing with Instructions_2023-10-31_20240430075315.pdf</v>
      </c>
      <c r="C1363" s="1" t="n">
        <v>5</v>
      </c>
      <c r="D1363" s="1" t="n">
        <v>1</v>
      </c>
      <c r="E1363" s="1" t="n">
        <v>1</v>
      </c>
      <c r="F1363" s="3" t="s">
        <v>20</v>
      </c>
      <c r="G1363" s="3" t="s">
        <v>5642</v>
      </c>
      <c r="H1363" s="1" t="s">
        <v>22</v>
      </c>
      <c r="I1363" s="1" t="n">
        <v>20240430075315</v>
      </c>
      <c r="J1363" s="3" t="s">
        <v>5643</v>
      </c>
      <c r="K1363" s="3" t="s">
        <v>5644</v>
      </c>
      <c r="L1363" s="3" t="s">
        <v>5645</v>
      </c>
      <c r="M1363" s="3" t="n">
        <v>843943</v>
      </c>
      <c r="N1363" s="3" t="s">
        <v>510</v>
      </c>
      <c r="O1363" s="1" t="n">
        <v>827557</v>
      </c>
      <c r="P1363" s="1" t="n">
        <v>98.06</v>
      </c>
      <c r="Q1363" s="1" t="s">
        <v>20</v>
      </c>
      <c r="R1363" s="1" t="s">
        <v>27</v>
      </c>
      <c r="S1363" s="1" t="s">
        <v>28</v>
      </c>
      <c r="T1363" s="1" t="s">
        <v>29</v>
      </c>
    </row>
    <row r="1364" customFormat="false" ht="18.7" hidden="false" customHeight="true" outlineLevel="0" collapsed="false">
      <c r="A1364" s="1" t="n">
        <v>1363</v>
      </c>
      <c r="B1364" s="6" t="str">
        <f aca="false">HYPERLINK("https://mncourtfraud.com/file/MCRO_27-CR-21-1171_Notice of Remote Hearing with Instructions_2024-01-08_20240430075312.pdf","MCRO_27-CR-21-1171_Notice of Remote Hearing with Instructions_2024-01-08_20240430075312.pdf")</f>
        <v>MCRO_27-CR-21-1171_Notice of Remote Hearing with Instructions_2024-01-08_20240430075312.pdf</v>
      </c>
      <c r="C1364" s="1" t="n">
        <v>5</v>
      </c>
      <c r="D1364" s="1" t="n">
        <v>1</v>
      </c>
      <c r="E1364" s="1" t="n">
        <v>1</v>
      </c>
      <c r="F1364" s="3" t="s">
        <v>20</v>
      </c>
      <c r="G1364" s="3" t="s">
        <v>5646</v>
      </c>
      <c r="H1364" s="1" t="s">
        <v>22</v>
      </c>
      <c r="I1364" s="1" t="n">
        <v>20240430075312</v>
      </c>
      <c r="J1364" s="3" t="s">
        <v>5647</v>
      </c>
      <c r="K1364" s="3" t="s">
        <v>5648</v>
      </c>
      <c r="L1364" s="3" t="s">
        <v>5649</v>
      </c>
      <c r="M1364" s="3" t="n">
        <v>842742</v>
      </c>
      <c r="N1364" s="3" t="s">
        <v>510</v>
      </c>
      <c r="O1364" s="1" t="n">
        <v>826356</v>
      </c>
      <c r="P1364" s="1" t="n">
        <v>98.06</v>
      </c>
      <c r="Q1364" s="1" t="s">
        <v>20</v>
      </c>
      <c r="R1364" s="1" t="s">
        <v>27</v>
      </c>
      <c r="S1364" s="1" t="s">
        <v>28</v>
      </c>
      <c r="T1364" s="1" t="s">
        <v>29</v>
      </c>
    </row>
    <row r="1365" customFormat="false" ht="18.7" hidden="false" customHeight="true" outlineLevel="0" collapsed="false">
      <c r="A1365" s="1" t="n">
        <v>1364</v>
      </c>
      <c r="B1365" s="6" t="str">
        <f aca="false">HYPERLINK("https://mncourtfraud.com/file/MCRO_27-CR-21-1171_Order-Evaluation for Competency to Proceed (Rule 20.01)_2023-03-27_20240430075318.pdf","MCRO_27-CR-21-1171_Order-Evaluation for Competency to Proceed (Rule 20.01)_2023-03-27_20240430075318.pdf")</f>
        <v>MCRO_27-CR-21-1171_Order-Evaluation for Competency to Proceed (Rule 20.01)_2023-03-27_20240430075318.pdf</v>
      </c>
      <c r="C1365" s="1" t="n">
        <v>4</v>
      </c>
      <c r="D1365" s="1" t="n">
        <v>1</v>
      </c>
      <c r="E1365" s="1" t="n">
        <v>1</v>
      </c>
      <c r="F1365" s="3" t="s">
        <v>20</v>
      </c>
      <c r="G1365" s="3" t="s">
        <v>5650</v>
      </c>
      <c r="H1365" s="1" t="s">
        <v>22</v>
      </c>
      <c r="I1365" s="1" t="n">
        <v>20240430075318</v>
      </c>
      <c r="J1365" s="3" t="s">
        <v>5651</v>
      </c>
      <c r="K1365" s="3" t="s">
        <v>5652</v>
      </c>
      <c r="L1365" s="3" t="s">
        <v>5653</v>
      </c>
      <c r="M1365" s="3" t="n">
        <v>757265</v>
      </c>
      <c r="N1365" s="3" t="s">
        <v>5654</v>
      </c>
      <c r="O1365" s="1" t="n">
        <v>740879</v>
      </c>
      <c r="P1365" s="1" t="n">
        <v>97.84</v>
      </c>
      <c r="Q1365" s="1" t="s">
        <v>20</v>
      </c>
      <c r="R1365" s="1" t="s">
        <v>27</v>
      </c>
      <c r="S1365" s="1" t="s">
        <v>28</v>
      </c>
      <c r="T1365" s="1" t="s">
        <v>29</v>
      </c>
    </row>
    <row r="1366" customFormat="false" ht="18.7" hidden="false" customHeight="true" outlineLevel="0" collapsed="false">
      <c r="A1366" s="1" t="n">
        <v>1365</v>
      </c>
      <c r="B1366" s="6" t="str">
        <f aca="false">HYPERLINK("https://mncourtfraud.com/file/MCRO_27-CR-21-1171_Order-Evaluation for Competency to Proceed (Rule 20.01)_2023-08-22_20240430075316.pdf","MCRO_27-CR-21-1171_Order-Evaluation for Competency to Proceed (Rule 20.01)_2023-08-22_20240430075316.pdf")</f>
        <v>MCRO_27-CR-21-1171_Order-Evaluation for Competency to Proceed (Rule 20.01)_2023-08-22_20240430075316.pdf</v>
      </c>
      <c r="C1366" s="1" t="n">
        <v>6</v>
      </c>
      <c r="D1366" s="1" t="n">
        <v>2</v>
      </c>
      <c r="E1366" s="1" t="n">
        <v>2</v>
      </c>
      <c r="F1366" s="3" t="s">
        <v>27</v>
      </c>
      <c r="G1366" s="3" t="s">
        <v>5655</v>
      </c>
      <c r="H1366" s="1" t="s">
        <v>22</v>
      </c>
      <c r="I1366" s="1" t="n">
        <v>20240430075316</v>
      </c>
      <c r="J1366" s="3" t="s">
        <v>5656</v>
      </c>
      <c r="K1366" s="3" t="s">
        <v>5657</v>
      </c>
      <c r="L1366" s="3" t="s">
        <v>5658</v>
      </c>
      <c r="M1366" s="3" t="n">
        <v>877795</v>
      </c>
      <c r="N1366" s="3" t="s">
        <v>554</v>
      </c>
      <c r="O1366" s="1" t="n">
        <v>861409</v>
      </c>
      <c r="P1366" s="1" t="n">
        <v>98.13</v>
      </c>
      <c r="Q1366" s="1" t="s">
        <v>20</v>
      </c>
      <c r="R1366" s="1" t="s">
        <v>27</v>
      </c>
      <c r="S1366" s="1" t="s">
        <v>28</v>
      </c>
      <c r="T1366" s="1" t="s">
        <v>29</v>
      </c>
    </row>
    <row r="1367" customFormat="false" ht="18.7" hidden="false" customHeight="true" outlineLevel="0" collapsed="false">
      <c r="A1367" s="1" t="n">
        <v>1366</v>
      </c>
      <c r="B1367" s="6" t="str">
        <f aca="false">HYPERLINK("https://mncourtfraud.com/file/MCRO_27-CR-21-1171_Order-Evaluation for Competency to Proceed (Rule 20.01)_2024-01-08_20240430075311.pdf","MCRO_27-CR-21-1171_Order-Evaluation for Competency to Proceed (Rule 20.01)_2024-01-08_20240430075311.pdf")</f>
        <v>MCRO_27-CR-21-1171_Order-Evaluation for Competency to Proceed (Rule 20.01)_2024-01-08_20240430075311.pdf</v>
      </c>
      <c r="C1367" s="1" t="n">
        <v>6</v>
      </c>
      <c r="D1367" s="1" t="n">
        <v>2</v>
      </c>
      <c r="E1367" s="1" t="n">
        <v>2</v>
      </c>
      <c r="F1367" s="3" t="s">
        <v>20</v>
      </c>
      <c r="G1367" s="3" t="s">
        <v>5659</v>
      </c>
      <c r="H1367" s="1" t="s">
        <v>22</v>
      </c>
      <c r="I1367" s="1" t="n">
        <v>20240430075311</v>
      </c>
      <c r="J1367" s="3" t="s">
        <v>5660</v>
      </c>
      <c r="K1367" s="3" t="s">
        <v>5661</v>
      </c>
      <c r="L1367" s="3" t="s">
        <v>5662</v>
      </c>
      <c r="M1367" s="3" t="n">
        <v>868584</v>
      </c>
      <c r="N1367" s="3" t="s">
        <v>4399</v>
      </c>
      <c r="O1367" s="1" t="n">
        <v>852198</v>
      </c>
      <c r="P1367" s="1" t="n">
        <v>98.11</v>
      </c>
      <c r="Q1367" s="1" t="s">
        <v>20</v>
      </c>
      <c r="R1367" s="1" t="s">
        <v>27</v>
      </c>
      <c r="S1367" s="1" t="s">
        <v>28</v>
      </c>
      <c r="T1367" s="1" t="s">
        <v>29</v>
      </c>
    </row>
    <row r="1368" customFormat="false" ht="18.7" hidden="false" customHeight="true" outlineLevel="0" collapsed="false">
      <c r="A1368" s="1" t="n">
        <v>1367</v>
      </c>
      <c r="B1368" s="6" t="str">
        <f aca="false">HYPERLINK("https://mncourtfraud.com/file/MCRO_27-CR-21-1171_Other Document_2023-02-08_20240430075320.pdf","MCRO_27-CR-21-1171_Other Document_2023-02-08_20240430075320.pdf")</f>
        <v>MCRO_27-CR-21-1171_Other Document_2023-02-08_20240430075320.pdf</v>
      </c>
      <c r="C1368" s="1" t="n">
        <v>4</v>
      </c>
      <c r="D1368" s="1" t="n">
        <v>1</v>
      </c>
      <c r="E1368" s="1" t="n">
        <v>1</v>
      </c>
      <c r="F1368" s="3" t="s">
        <v>20</v>
      </c>
      <c r="G1368" s="3" t="s">
        <v>5663</v>
      </c>
      <c r="H1368" s="1" t="s">
        <v>22</v>
      </c>
      <c r="I1368" s="1" t="n">
        <v>20240430075320</v>
      </c>
      <c r="J1368" s="3" t="s">
        <v>5664</v>
      </c>
      <c r="K1368" s="3" t="s">
        <v>5665</v>
      </c>
      <c r="L1368" s="3" t="s">
        <v>5666</v>
      </c>
      <c r="M1368" s="3" t="n">
        <v>563390</v>
      </c>
      <c r="N1368" s="3" t="s">
        <v>1466</v>
      </c>
      <c r="O1368" s="1" t="n">
        <v>547004</v>
      </c>
      <c r="P1368" s="1" t="n">
        <v>97.09</v>
      </c>
      <c r="Q1368" s="1" t="s">
        <v>20</v>
      </c>
      <c r="R1368" s="1" t="s">
        <v>27</v>
      </c>
      <c r="S1368" s="1" t="s">
        <v>28</v>
      </c>
      <c r="T1368" s="1" t="s">
        <v>29</v>
      </c>
    </row>
    <row r="1369" customFormat="false" ht="18.7" hidden="false" customHeight="true" outlineLevel="0" collapsed="false">
      <c r="A1369" s="1" t="n">
        <v>1368</v>
      </c>
      <c r="B1369" s="6" t="str">
        <f aca="false">HYPERLINK("https://mncourtfraud.com/file/MCRO_27-CR-21-1171_Other Document_2023-02-08_20240430075322.pdf","MCRO_27-CR-21-1171_Other Document_2023-02-08_20240430075322.pdf")</f>
        <v>MCRO_27-CR-21-1171_Other Document_2023-02-08_20240430075322.pdf</v>
      </c>
      <c r="C1369" s="1" t="n">
        <v>4</v>
      </c>
      <c r="D1369" s="1" t="n">
        <v>1</v>
      </c>
      <c r="E1369" s="1" t="n">
        <v>1</v>
      </c>
      <c r="F1369" s="3" t="s">
        <v>20</v>
      </c>
      <c r="G1369" s="3" t="s">
        <v>5667</v>
      </c>
      <c r="H1369" s="1" t="s">
        <v>22</v>
      </c>
      <c r="I1369" s="1" t="n">
        <v>20240430075322</v>
      </c>
      <c r="J1369" s="3" t="s">
        <v>5615</v>
      </c>
      <c r="K1369" s="3" t="s">
        <v>5616</v>
      </c>
      <c r="L1369" s="3" t="s">
        <v>5668</v>
      </c>
      <c r="M1369" s="3" t="n">
        <v>1707875</v>
      </c>
      <c r="N1369" s="3" t="s">
        <v>5669</v>
      </c>
      <c r="O1369" s="1" t="n">
        <v>1691489</v>
      </c>
      <c r="P1369" s="1" t="n">
        <v>99.04</v>
      </c>
      <c r="Q1369" s="1" t="s">
        <v>20</v>
      </c>
      <c r="R1369" s="1" t="s">
        <v>27</v>
      </c>
      <c r="S1369" s="1" t="s">
        <v>28</v>
      </c>
      <c r="T1369" s="1" t="s">
        <v>29</v>
      </c>
    </row>
    <row r="1370" customFormat="false" ht="18.7" hidden="false" customHeight="true" outlineLevel="0" collapsed="false">
      <c r="A1370" s="1" t="n">
        <v>1369</v>
      </c>
      <c r="B1370" s="6" t="str">
        <f aca="false">HYPERLINK("https://mncourtfraud.com/file/MCRO_27-CR-21-1171_Returned Mail_2023-11-09_20240430075314.pdf","MCRO_27-CR-21-1171_Returned Mail_2023-11-09_20240430075314.pdf")</f>
        <v>MCRO_27-CR-21-1171_Returned Mail_2023-11-09_20240430075314.pdf</v>
      </c>
      <c r="C1370" s="1" t="n">
        <v>4</v>
      </c>
      <c r="D1370" s="1" t="n">
        <v>1</v>
      </c>
      <c r="E1370" s="1" t="n">
        <v>1</v>
      </c>
      <c r="F1370" s="3" t="s">
        <v>20</v>
      </c>
      <c r="G1370" s="3" t="s">
        <v>5670</v>
      </c>
      <c r="H1370" s="1" t="s">
        <v>22</v>
      </c>
      <c r="I1370" s="1" t="n">
        <v>20240430075314</v>
      </c>
      <c r="J1370" s="3" t="s">
        <v>5671</v>
      </c>
      <c r="K1370" s="3" t="s">
        <v>5672</v>
      </c>
      <c r="L1370" s="3" t="s">
        <v>5673</v>
      </c>
      <c r="M1370" s="3" t="n">
        <v>98897</v>
      </c>
      <c r="N1370" s="3" t="s">
        <v>435</v>
      </c>
      <c r="O1370" s="1" t="n">
        <v>82511</v>
      </c>
      <c r="P1370" s="1" t="n">
        <v>83.43</v>
      </c>
      <c r="Q1370" s="1" t="s">
        <v>20</v>
      </c>
      <c r="R1370" s="1" t="s">
        <v>27</v>
      </c>
      <c r="S1370" s="1" t="s">
        <v>28</v>
      </c>
      <c r="T1370" s="1" t="s">
        <v>29</v>
      </c>
    </row>
    <row r="1371" customFormat="false" ht="18.7" hidden="false" customHeight="true" outlineLevel="0" collapsed="false">
      <c r="A1371" s="1" t="n">
        <v>1370</v>
      </c>
      <c r="B1371" s="6" t="str">
        <f aca="false">HYPERLINK("https://mncourtfraud.com/file/MCRO_27-CR-21-1230_Affidavit in Support of Petition_2023-03-30_20240430075429.pdf","MCRO_27-CR-21-1230_Affidavit in Support of Petition_2023-03-30_20240430075429.pdf")</f>
        <v>MCRO_27-CR-21-1230_Affidavit in Support of Petition_2023-03-30_20240430075429.pdf</v>
      </c>
      <c r="C1371" s="1" t="n">
        <v>3</v>
      </c>
      <c r="D1371" s="1" t="n">
        <v>1</v>
      </c>
      <c r="E1371" s="1" t="n">
        <v>1</v>
      </c>
      <c r="F1371" s="3" t="s">
        <v>20</v>
      </c>
      <c r="G1371" s="3" t="s">
        <v>5674</v>
      </c>
      <c r="H1371" s="1" t="s">
        <v>22</v>
      </c>
      <c r="I1371" s="1" t="n">
        <v>20240430075429</v>
      </c>
      <c r="J1371" s="3" t="s">
        <v>5675</v>
      </c>
      <c r="K1371" s="3" t="s">
        <v>5676</v>
      </c>
      <c r="L1371" s="3" t="s">
        <v>5677</v>
      </c>
      <c r="M1371" s="3" t="n">
        <v>186823</v>
      </c>
      <c r="N1371" s="3" t="s">
        <v>1673</v>
      </c>
      <c r="O1371" s="1" t="n">
        <v>170437</v>
      </c>
      <c r="P1371" s="1" t="n">
        <v>91.23</v>
      </c>
      <c r="Q1371" s="1" t="s">
        <v>20</v>
      </c>
      <c r="R1371" s="1" t="s">
        <v>27</v>
      </c>
      <c r="S1371" s="1" t="s">
        <v>28</v>
      </c>
      <c r="T1371" s="1" t="s">
        <v>29</v>
      </c>
    </row>
    <row r="1372" customFormat="false" ht="18.7" hidden="false" customHeight="true" outlineLevel="0" collapsed="false">
      <c r="A1372" s="1" t="n">
        <v>1371</v>
      </c>
      <c r="B1372" s="6" t="str">
        <f aca="false">HYPERLINK("https://mncourtfraud.com/file/MCRO_27-CR-21-1230_Affidavit of Mailing_2023-03-30_20240430075427.pdf","MCRO_27-CR-21-1230_Affidavit of Mailing_2023-03-30_20240430075427.pdf")</f>
        <v>MCRO_27-CR-21-1230_Affidavit of Mailing_2023-03-30_20240430075427.pdf</v>
      </c>
      <c r="C1372" s="1" t="n">
        <v>3</v>
      </c>
      <c r="D1372" s="1" t="n">
        <v>1</v>
      </c>
      <c r="E1372" s="1" t="n">
        <v>1</v>
      </c>
      <c r="F1372" s="3" t="s">
        <v>20</v>
      </c>
      <c r="G1372" s="3" t="s">
        <v>5678</v>
      </c>
      <c r="H1372" s="1" t="s">
        <v>22</v>
      </c>
      <c r="I1372" s="1" t="n">
        <v>20240430075427</v>
      </c>
      <c r="J1372" s="3" t="s">
        <v>5679</v>
      </c>
      <c r="K1372" s="3" t="s">
        <v>5680</v>
      </c>
      <c r="L1372" s="3" t="s">
        <v>5681</v>
      </c>
      <c r="M1372" s="3" t="n">
        <v>65266</v>
      </c>
      <c r="N1372" s="3" t="s">
        <v>4614</v>
      </c>
      <c r="O1372" s="1" t="n">
        <v>48880</v>
      </c>
      <c r="P1372" s="1" t="n">
        <v>74.89</v>
      </c>
      <c r="Q1372" s="1" t="s">
        <v>20</v>
      </c>
      <c r="R1372" s="1" t="s">
        <v>27</v>
      </c>
      <c r="S1372" s="1" t="s">
        <v>28</v>
      </c>
      <c r="T1372" s="1" t="s">
        <v>29</v>
      </c>
    </row>
    <row r="1373" customFormat="false" ht="18.7" hidden="false" customHeight="true" outlineLevel="0" collapsed="false">
      <c r="A1373" s="1" t="n">
        <v>1372</v>
      </c>
      <c r="B1373" s="6" t="str">
        <f aca="false">HYPERLINK("https://mncourtfraud.com/file/MCRO_27-CR-21-1230_Certificate of Representation_2023-03-30_20240430075431.pdf","MCRO_27-CR-21-1230_Certificate of Representation_2023-03-30_20240430075431.pdf")</f>
        <v>MCRO_27-CR-21-1230_Certificate of Representation_2023-03-30_20240430075431.pdf</v>
      </c>
      <c r="C1373" s="1" t="n">
        <v>3</v>
      </c>
      <c r="D1373" s="1" t="n">
        <v>1</v>
      </c>
      <c r="E1373" s="1" t="n">
        <v>1</v>
      </c>
      <c r="F1373" s="3" t="s">
        <v>20</v>
      </c>
      <c r="G1373" s="3" t="s">
        <v>5682</v>
      </c>
      <c r="H1373" s="1" t="s">
        <v>22</v>
      </c>
      <c r="I1373" s="1" t="n">
        <v>20240430075431</v>
      </c>
      <c r="J1373" s="3" t="s">
        <v>5683</v>
      </c>
      <c r="K1373" s="3" t="s">
        <v>5684</v>
      </c>
      <c r="L1373" s="3" t="s">
        <v>5685</v>
      </c>
      <c r="M1373" s="3" t="n">
        <v>84806</v>
      </c>
      <c r="N1373" s="3" t="s">
        <v>481</v>
      </c>
      <c r="O1373" s="1" t="n">
        <v>68420</v>
      </c>
      <c r="P1373" s="1" t="n">
        <v>80.68</v>
      </c>
      <c r="Q1373" s="1" t="s">
        <v>20</v>
      </c>
      <c r="R1373" s="1" t="s">
        <v>27</v>
      </c>
      <c r="S1373" s="1" t="s">
        <v>28</v>
      </c>
      <c r="T1373" s="1" t="s">
        <v>29</v>
      </c>
    </row>
    <row r="1374" customFormat="false" ht="18.7" hidden="false" customHeight="true" outlineLevel="0" collapsed="false">
      <c r="A1374" s="1" t="n">
        <v>1373</v>
      </c>
      <c r="B1374" s="6" t="str">
        <f aca="false">HYPERLINK("https://mncourtfraud.com/file/MCRO_27-CR-21-1230_Correspondence_2023-03-30_20240430075433.pdf","MCRO_27-CR-21-1230_Correspondence_2023-03-30_20240430075433.pdf")</f>
        <v>MCRO_27-CR-21-1230_Correspondence_2023-03-30_20240430075433.pdf</v>
      </c>
      <c r="C1374" s="1" t="n">
        <v>3</v>
      </c>
      <c r="D1374" s="1" t="n">
        <v>1</v>
      </c>
      <c r="E1374" s="1" t="n">
        <v>1</v>
      </c>
      <c r="F1374" s="3" t="s">
        <v>20</v>
      </c>
      <c r="G1374" s="3" t="s">
        <v>5686</v>
      </c>
      <c r="H1374" s="1" t="s">
        <v>22</v>
      </c>
      <c r="I1374" s="1" t="n">
        <v>20240430075433</v>
      </c>
      <c r="J1374" s="3" t="s">
        <v>5687</v>
      </c>
      <c r="K1374" s="3" t="s">
        <v>5688</v>
      </c>
      <c r="L1374" s="3" t="s">
        <v>5689</v>
      </c>
      <c r="M1374" s="3" t="n">
        <v>141392</v>
      </c>
      <c r="N1374" s="3" t="s">
        <v>3668</v>
      </c>
      <c r="O1374" s="1" t="n">
        <v>125006</v>
      </c>
      <c r="P1374" s="1" t="n">
        <v>88.41</v>
      </c>
      <c r="Q1374" s="1" t="s">
        <v>20</v>
      </c>
      <c r="R1374" s="1" t="s">
        <v>27</v>
      </c>
      <c r="S1374" s="1" t="s">
        <v>28</v>
      </c>
      <c r="T1374" s="1" t="s">
        <v>29</v>
      </c>
    </row>
    <row r="1375" customFormat="false" ht="18.7" hidden="false" customHeight="true" outlineLevel="0" collapsed="false">
      <c r="A1375" s="1" t="n">
        <v>1374</v>
      </c>
      <c r="B1375" s="6" t="str">
        <f aca="false">HYPERLINK("https://mncourtfraud.com/file/MCRO_27-CR-21-1230_Demand or Request for Discovery_2021-01-25_20240430075455.pdf","MCRO_27-CR-21-1230_Demand or Request for Discovery_2021-01-25_20240430075455.pdf")</f>
        <v>MCRO_27-CR-21-1230_Demand or Request for Discovery_2021-01-25_20240430075455.pdf</v>
      </c>
      <c r="C1375" s="1" t="n">
        <v>3</v>
      </c>
      <c r="D1375" s="1" t="n">
        <v>1</v>
      </c>
      <c r="E1375" s="1" t="n">
        <v>1</v>
      </c>
      <c r="F1375" s="3" t="s">
        <v>20</v>
      </c>
      <c r="G1375" s="3" t="s">
        <v>5690</v>
      </c>
      <c r="H1375" s="1" t="s">
        <v>22</v>
      </c>
      <c r="I1375" s="1" t="n">
        <v>20240430075455</v>
      </c>
      <c r="J1375" s="3" t="s">
        <v>5691</v>
      </c>
      <c r="K1375" s="3" t="s">
        <v>5692</v>
      </c>
      <c r="L1375" s="3" t="s">
        <v>5693</v>
      </c>
      <c r="M1375" s="3" t="n">
        <v>344397</v>
      </c>
      <c r="N1375" s="3" t="s">
        <v>5694</v>
      </c>
      <c r="O1375" s="1" t="n">
        <v>328011</v>
      </c>
      <c r="P1375" s="1" t="n">
        <v>95.24</v>
      </c>
      <c r="Q1375" s="1" t="s">
        <v>20</v>
      </c>
      <c r="R1375" s="1" t="s">
        <v>27</v>
      </c>
      <c r="S1375" s="1" t="s">
        <v>28</v>
      </c>
      <c r="T1375" s="1" t="s">
        <v>29</v>
      </c>
    </row>
    <row r="1376" customFormat="false" ht="18.7" hidden="false" customHeight="true" outlineLevel="0" collapsed="false">
      <c r="A1376" s="1" t="n">
        <v>1375</v>
      </c>
      <c r="B1376" s="6" t="str">
        <f aca="false">HYPERLINK("https://mncourtfraud.com/file/MCRO_27-CR-21-1230_E-filed Comp-Order for Detention_2021-01-20_20240430075458.pdf","MCRO_27-CR-21-1230_E-filed Comp-Order for Detention_2021-01-20_20240430075458.pdf")</f>
        <v>MCRO_27-CR-21-1230_E-filed Comp-Order for Detention_2021-01-20_20240430075458.pdf</v>
      </c>
      <c r="C1376" s="1" t="n">
        <v>4</v>
      </c>
      <c r="D1376" s="1" t="n">
        <v>2</v>
      </c>
      <c r="E1376" s="1" t="n">
        <v>2</v>
      </c>
      <c r="F1376" s="3" t="s">
        <v>20</v>
      </c>
      <c r="G1376" s="3" t="s">
        <v>5695</v>
      </c>
      <c r="H1376" s="1" t="s">
        <v>22</v>
      </c>
      <c r="I1376" s="1" t="n">
        <v>20240430075458</v>
      </c>
      <c r="J1376" s="3" t="s">
        <v>5696</v>
      </c>
      <c r="K1376" s="3" t="s">
        <v>5697</v>
      </c>
      <c r="L1376" s="3" t="s">
        <v>5698</v>
      </c>
      <c r="M1376" s="3" t="n">
        <v>506245</v>
      </c>
      <c r="N1376" s="3" t="s">
        <v>2496</v>
      </c>
      <c r="O1376" s="1" t="n">
        <v>489859</v>
      </c>
      <c r="P1376" s="1" t="n">
        <v>96.76</v>
      </c>
      <c r="Q1376" s="1" t="s">
        <v>20</v>
      </c>
      <c r="R1376" s="1" t="s">
        <v>27</v>
      </c>
      <c r="S1376" s="1" t="s">
        <v>28</v>
      </c>
      <c r="T1376" s="1" t="s">
        <v>29</v>
      </c>
    </row>
    <row r="1377" customFormat="false" ht="18.7" hidden="false" customHeight="true" outlineLevel="0" collapsed="false">
      <c r="A1377" s="1" t="n">
        <v>1376</v>
      </c>
      <c r="B1377" s="6" t="str">
        <f aca="false">HYPERLINK("https://mncourtfraud.com/file/MCRO_27-CR-21-1230_Law Enforcement Bail Bond Receipt_2024-04-03_20240430075404.pdf","MCRO_27-CR-21-1230_Law Enforcement Bail Bond Receipt_2024-04-03_20240430075404.pdf")</f>
        <v>MCRO_27-CR-21-1230_Law Enforcement Bail Bond Receipt_2024-04-03_20240430075404.pdf</v>
      </c>
      <c r="C1377" s="1" t="n">
        <v>4</v>
      </c>
      <c r="D1377" s="1" t="n">
        <v>1</v>
      </c>
      <c r="E1377" s="1" t="n">
        <v>1</v>
      </c>
      <c r="F1377" s="3" t="s">
        <v>20</v>
      </c>
      <c r="G1377" s="3" t="s">
        <v>5699</v>
      </c>
      <c r="H1377" s="1" t="s">
        <v>22</v>
      </c>
      <c r="I1377" s="1" t="n">
        <v>20240430075404</v>
      </c>
      <c r="J1377" s="3" t="s">
        <v>5700</v>
      </c>
      <c r="K1377" s="3" t="s">
        <v>5701</v>
      </c>
      <c r="L1377" s="3" t="s">
        <v>5702</v>
      </c>
      <c r="M1377" s="3" t="n">
        <v>236766</v>
      </c>
      <c r="N1377" s="3" t="s">
        <v>1159</v>
      </c>
      <c r="O1377" s="1" t="n">
        <v>220380</v>
      </c>
      <c r="P1377" s="1" t="n">
        <v>93.08</v>
      </c>
      <c r="Q1377" s="1" t="s">
        <v>20</v>
      </c>
      <c r="R1377" s="1" t="s">
        <v>27</v>
      </c>
      <c r="S1377" s="1" t="s">
        <v>28</v>
      </c>
      <c r="T1377" s="1" t="s">
        <v>29</v>
      </c>
    </row>
    <row r="1378" customFormat="false" ht="18.7" hidden="false" customHeight="true" outlineLevel="0" collapsed="false">
      <c r="A1378" s="1" t="n">
        <v>1377</v>
      </c>
      <c r="B1378" s="6" t="str">
        <f aca="false">HYPERLINK("https://mncourtfraud.com/file/MCRO_27-CR-21-1230_Law Enforcement Notice of Release and Appearance_2021-04-26_20240430075447.pdf","MCRO_27-CR-21-1230_Law Enforcement Notice of Release and Appearance_2021-04-26_20240430075447.pdf")</f>
        <v>MCRO_27-CR-21-1230_Law Enforcement Notice of Release and Appearance_2021-04-26_20240430075447.pdf</v>
      </c>
      <c r="C1378" s="1" t="n">
        <v>4</v>
      </c>
      <c r="D1378" s="1" t="n">
        <v>1</v>
      </c>
      <c r="E1378" s="1" t="n">
        <v>1</v>
      </c>
      <c r="F1378" s="3" t="s">
        <v>20</v>
      </c>
      <c r="G1378" s="3" t="s">
        <v>5703</v>
      </c>
      <c r="H1378" s="1" t="s">
        <v>22</v>
      </c>
      <c r="I1378" s="1" t="n">
        <v>20240430075447</v>
      </c>
      <c r="J1378" s="3" t="s">
        <v>5704</v>
      </c>
      <c r="K1378" s="3" t="s">
        <v>5705</v>
      </c>
      <c r="L1378" s="3" t="s">
        <v>5706</v>
      </c>
      <c r="M1378" s="3" t="n">
        <v>112211</v>
      </c>
      <c r="N1378" s="3" t="s">
        <v>456</v>
      </c>
      <c r="O1378" s="1" t="n">
        <v>95825</v>
      </c>
      <c r="P1378" s="1" t="n">
        <v>85.4</v>
      </c>
      <c r="Q1378" s="1" t="s">
        <v>20</v>
      </c>
      <c r="R1378" s="1" t="s">
        <v>27</v>
      </c>
      <c r="S1378" s="1" t="s">
        <v>28</v>
      </c>
      <c r="T1378" s="1" t="s">
        <v>29</v>
      </c>
    </row>
    <row r="1379" customFormat="false" ht="18.7" hidden="false" customHeight="true" outlineLevel="0" collapsed="false">
      <c r="A1379" s="1" t="n">
        <v>1378</v>
      </c>
      <c r="B1379" s="6" t="str">
        <f aca="false">HYPERLINK("https://mncourtfraud.com/file/MCRO_27-CR-21-1230_Non-Cash Bond Posted_2021-04-25_20240430075449.pdf","MCRO_27-CR-21-1230_Non-Cash Bond Posted_2021-04-25_20240430075449.pdf")</f>
        <v>MCRO_27-CR-21-1230_Non-Cash Bond Posted_2021-04-25_20240430075449.pdf</v>
      </c>
      <c r="C1379" s="1" t="n">
        <v>4</v>
      </c>
      <c r="D1379" s="1" t="n">
        <v>1</v>
      </c>
      <c r="E1379" s="1" t="n">
        <v>1</v>
      </c>
      <c r="F1379" s="3" t="s">
        <v>20</v>
      </c>
      <c r="G1379" s="3" t="s">
        <v>5707</v>
      </c>
      <c r="H1379" s="1" t="s">
        <v>22</v>
      </c>
      <c r="I1379" s="1" t="n">
        <v>20240430075449</v>
      </c>
      <c r="J1379" s="3" t="s">
        <v>5708</v>
      </c>
      <c r="K1379" s="3" t="s">
        <v>5709</v>
      </c>
      <c r="L1379" s="3" t="s">
        <v>5710</v>
      </c>
      <c r="M1379" s="3" t="n">
        <v>215762</v>
      </c>
      <c r="N1379" s="3" t="s">
        <v>1065</v>
      </c>
      <c r="O1379" s="1" t="n">
        <v>199376</v>
      </c>
      <c r="P1379" s="1" t="n">
        <v>92.41</v>
      </c>
      <c r="Q1379" s="1" t="s">
        <v>20</v>
      </c>
      <c r="R1379" s="1" t="s">
        <v>27</v>
      </c>
      <c r="S1379" s="1" t="s">
        <v>28</v>
      </c>
      <c r="T1379" s="1" t="s">
        <v>29</v>
      </c>
    </row>
    <row r="1380" customFormat="false" ht="18.7" hidden="false" customHeight="true" outlineLevel="0" collapsed="false">
      <c r="A1380" s="1" t="n">
        <v>1379</v>
      </c>
      <c r="B1380" s="6" t="str">
        <f aca="false">HYPERLINK("https://mncourtfraud.com/file/MCRO_27-CR-21-1230_Non-Cash Bond Posted_2023-03-17_20240430075434.pdf","MCRO_27-CR-21-1230_Non-Cash Bond Posted_2023-03-17_20240430075434.pdf")</f>
        <v>MCRO_27-CR-21-1230_Non-Cash Bond Posted_2023-03-17_20240430075434.pdf</v>
      </c>
      <c r="C1380" s="1" t="n">
        <v>4</v>
      </c>
      <c r="D1380" s="1" t="n">
        <v>1</v>
      </c>
      <c r="E1380" s="1" t="n">
        <v>1</v>
      </c>
      <c r="F1380" s="3" t="s">
        <v>20</v>
      </c>
      <c r="G1380" s="3" t="s">
        <v>5711</v>
      </c>
      <c r="H1380" s="1" t="s">
        <v>22</v>
      </c>
      <c r="I1380" s="1" t="n">
        <v>20240430075434</v>
      </c>
      <c r="J1380" s="3" t="s">
        <v>5712</v>
      </c>
      <c r="K1380" s="3" t="s">
        <v>5713</v>
      </c>
      <c r="L1380" s="3" t="s">
        <v>5714</v>
      </c>
      <c r="M1380" s="3" t="n">
        <v>242177</v>
      </c>
      <c r="N1380" s="3" t="s">
        <v>1159</v>
      </c>
      <c r="O1380" s="1" t="n">
        <v>225791</v>
      </c>
      <c r="P1380" s="1" t="n">
        <v>93.23</v>
      </c>
      <c r="Q1380" s="1" t="s">
        <v>20</v>
      </c>
      <c r="R1380" s="1" t="s">
        <v>27</v>
      </c>
      <c r="S1380" s="1" t="s">
        <v>28</v>
      </c>
      <c r="T1380" s="1" t="s">
        <v>29</v>
      </c>
    </row>
    <row r="1381" customFormat="false" ht="18.7" hidden="false" customHeight="true" outlineLevel="0" collapsed="false">
      <c r="A1381" s="1" t="n">
        <v>1380</v>
      </c>
      <c r="B1381" s="6" t="str">
        <f aca="false">HYPERLINK("https://mncourtfraud.com/file/MCRO_27-CR-21-1230_Notice of Bond Forfeiture_2023-01-13_20240430075435.pdf","MCRO_27-CR-21-1230_Notice of Bond Forfeiture_2023-01-13_20240430075435.pdf")</f>
        <v>MCRO_27-CR-21-1230_Notice of Bond Forfeiture_2023-01-13_20240430075435.pdf</v>
      </c>
      <c r="C1381" s="1" t="n">
        <v>5</v>
      </c>
      <c r="D1381" s="1" t="n">
        <v>1</v>
      </c>
      <c r="E1381" s="1" t="n">
        <v>1</v>
      </c>
      <c r="F1381" s="3" t="s">
        <v>20</v>
      </c>
      <c r="G1381" s="3" t="s">
        <v>5715</v>
      </c>
      <c r="H1381" s="1" t="s">
        <v>22</v>
      </c>
      <c r="I1381" s="1" t="n">
        <v>20240430075435</v>
      </c>
      <c r="J1381" s="3" t="s">
        <v>5716</v>
      </c>
      <c r="K1381" s="3" t="s">
        <v>5717</v>
      </c>
      <c r="L1381" s="3" t="s">
        <v>5718</v>
      </c>
      <c r="M1381" s="3" t="n">
        <v>765572</v>
      </c>
      <c r="N1381" s="3" t="s">
        <v>3917</v>
      </c>
      <c r="O1381" s="1" t="n">
        <v>749186</v>
      </c>
      <c r="P1381" s="1" t="n">
        <v>97.86</v>
      </c>
      <c r="Q1381" s="1" t="s">
        <v>20</v>
      </c>
      <c r="R1381" s="1" t="s">
        <v>27</v>
      </c>
      <c r="S1381" s="1" t="s">
        <v>28</v>
      </c>
      <c r="T1381" s="1" t="s">
        <v>29</v>
      </c>
    </row>
    <row r="1382" customFormat="false" ht="18.7" hidden="false" customHeight="true" outlineLevel="0" collapsed="false">
      <c r="A1382" s="1" t="n">
        <v>1381</v>
      </c>
      <c r="B1382" s="6" t="str">
        <f aca="false">HYPERLINK("https://mncourtfraud.com/file/MCRO_27-CR-21-1230_Notice of Case Reassignment_2021-08-25_20240430075444.pdf","MCRO_27-CR-21-1230_Notice of Case Reassignment_2021-08-25_20240430075444.pdf")</f>
        <v>MCRO_27-CR-21-1230_Notice of Case Reassignment_2021-08-25_20240430075444.pdf</v>
      </c>
      <c r="C1382" s="1" t="n">
        <v>4</v>
      </c>
      <c r="D1382" s="1" t="n">
        <v>1</v>
      </c>
      <c r="E1382" s="1" t="n">
        <v>1</v>
      </c>
      <c r="F1382" s="3" t="s">
        <v>20</v>
      </c>
      <c r="G1382" s="3" t="s">
        <v>5719</v>
      </c>
      <c r="H1382" s="1" t="s">
        <v>22</v>
      </c>
      <c r="I1382" s="1" t="n">
        <v>20240430075444</v>
      </c>
      <c r="J1382" s="3" t="s">
        <v>5720</v>
      </c>
      <c r="K1382" s="3" t="s">
        <v>5721</v>
      </c>
      <c r="L1382" s="3" t="s">
        <v>5722</v>
      </c>
      <c r="M1382" s="3" t="n">
        <v>335024</v>
      </c>
      <c r="N1382" s="3" t="s">
        <v>456</v>
      </c>
      <c r="O1382" s="1" t="n">
        <v>318638</v>
      </c>
      <c r="P1382" s="1" t="n">
        <v>95.11</v>
      </c>
      <c r="Q1382" s="1" t="s">
        <v>20</v>
      </c>
      <c r="R1382" s="1" t="s">
        <v>27</v>
      </c>
      <c r="S1382" s="1" t="s">
        <v>28</v>
      </c>
      <c r="T1382" s="1" t="s">
        <v>29</v>
      </c>
    </row>
    <row r="1383" customFormat="false" ht="18.7" hidden="false" customHeight="true" outlineLevel="0" collapsed="false">
      <c r="A1383" s="1" t="n">
        <v>1382</v>
      </c>
      <c r="B1383" s="6" t="str">
        <f aca="false">HYPERLINK("https://mncourtfraud.com/file/MCRO_27-CR-21-1230_Notice of Case Reassignment_2022-04-29_20240430075442.pdf","MCRO_27-CR-21-1230_Notice of Case Reassignment_2022-04-29_20240430075442.pdf")</f>
        <v>MCRO_27-CR-21-1230_Notice of Case Reassignment_2022-04-29_20240430075442.pdf</v>
      </c>
      <c r="C1383" s="1" t="n">
        <v>4</v>
      </c>
      <c r="D1383" s="1" t="n">
        <v>1</v>
      </c>
      <c r="E1383" s="1" t="n">
        <v>1</v>
      </c>
      <c r="F1383" s="3" t="s">
        <v>20</v>
      </c>
      <c r="G1383" s="3" t="s">
        <v>5723</v>
      </c>
      <c r="H1383" s="1" t="s">
        <v>22</v>
      </c>
      <c r="I1383" s="1" t="n">
        <v>20240430075442</v>
      </c>
      <c r="J1383" s="3" t="s">
        <v>5724</v>
      </c>
      <c r="K1383" s="3" t="s">
        <v>5725</v>
      </c>
      <c r="L1383" s="3" t="s">
        <v>5726</v>
      </c>
      <c r="M1383" s="3" t="n">
        <v>91983</v>
      </c>
      <c r="N1383" s="3" t="s">
        <v>456</v>
      </c>
      <c r="O1383" s="1" t="n">
        <v>75597</v>
      </c>
      <c r="P1383" s="1" t="n">
        <v>82.19</v>
      </c>
      <c r="Q1383" s="1" t="s">
        <v>20</v>
      </c>
      <c r="R1383" s="1" t="s">
        <v>27</v>
      </c>
      <c r="S1383" s="1" t="s">
        <v>28</v>
      </c>
      <c r="T1383" s="1" t="s">
        <v>29</v>
      </c>
    </row>
    <row r="1384" customFormat="false" ht="18.7" hidden="false" customHeight="true" outlineLevel="0" collapsed="false">
      <c r="A1384" s="1" t="n">
        <v>1383</v>
      </c>
      <c r="B1384" s="6" t="str">
        <f aca="false">HYPERLINK("https://mncourtfraud.com/file/MCRO_27-CR-21-1230_Notice of Case Reassignment_2022-12-16_20240430075437.pdf","MCRO_27-CR-21-1230_Notice of Case Reassignment_2022-12-16_20240430075437.pdf")</f>
        <v>MCRO_27-CR-21-1230_Notice of Case Reassignment_2022-12-16_20240430075437.pdf</v>
      </c>
      <c r="C1384" s="1" t="n">
        <v>4</v>
      </c>
      <c r="D1384" s="1" t="n">
        <v>1</v>
      </c>
      <c r="E1384" s="1" t="n">
        <v>1</v>
      </c>
      <c r="F1384" s="3" t="s">
        <v>20</v>
      </c>
      <c r="G1384" s="3" t="s">
        <v>5727</v>
      </c>
      <c r="H1384" s="1" t="s">
        <v>22</v>
      </c>
      <c r="I1384" s="1" t="n">
        <v>20240430075437</v>
      </c>
      <c r="J1384" s="3" t="s">
        <v>5728</v>
      </c>
      <c r="K1384" s="3" t="s">
        <v>5729</v>
      </c>
      <c r="L1384" s="3" t="s">
        <v>5730</v>
      </c>
      <c r="M1384" s="3" t="n">
        <v>293747</v>
      </c>
      <c r="N1384" s="3" t="s">
        <v>158</v>
      </c>
      <c r="O1384" s="1" t="n">
        <v>277361</v>
      </c>
      <c r="P1384" s="1" t="n">
        <v>94.42</v>
      </c>
      <c r="Q1384" s="1" t="s">
        <v>20</v>
      </c>
      <c r="R1384" s="1" t="s">
        <v>27</v>
      </c>
      <c r="S1384" s="1" t="s">
        <v>28</v>
      </c>
      <c r="T1384" s="1" t="s">
        <v>29</v>
      </c>
    </row>
    <row r="1385" customFormat="false" ht="18.7" hidden="false" customHeight="true" outlineLevel="0" collapsed="false">
      <c r="A1385" s="1" t="n">
        <v>1384</v>
      </c>
      <c r="B1385" s="6" t="str">
        <f aca="false">HYPERLINK("https://mncourtfraud.com/file/MCRO_27-CR-21-1230_Notice of Case Reassignment_2023-12-27_20240430075406.pdf","MCRO_27-CR-21-1230_Notice of Case Reassignment_2023-12-27_20240430075406.pdf")</f>
        <v>MCRO_27-CR-21-1230_Notice of Case Reassignment_2023-12-27_20240430075406.pdf</v>
      </c>
      <c r="C1385" s="1" t="n">
        <v>3</v>
      </c>
      <c r="D1385" s="1" t="n">
        <v>1</v>
      </c>
      <c r="E1385" s="1" t="n">
        <v>1</v>
      </c>
      <c r="F1385" s="3" t="s">
        <v>20</v>
      </c>
      <c r="G1385" s="3" t="s">
        <v>5731</v>
      </c>
      <c r="H1385" s="1" t="s">
        <v>22</v>
      </c>
      <c r="I1385" s="1" t="n">
        <v>20240430075406</v>
      </c>
      <c r="J1385" s="3" t="s">
        <v>5732</v>
      </c>
      <c r="K1385" s="3" t="s">
        <v>5733</v>
      </c>
      <c r="L1385" s="3" t="s">
        <v>5734</v>
      </c>
      <c r="M1385" s="3" t="n">
        <v>173176</v>
      </c>
      <c r="N1385" s="3" t="s">
        <v>1176</v>
      </c>
      <c r="O1385" s="1" t="n">
        <v>156790</v>
      </c>
      <c r="P1385" s="1" t="n">
        <v>90.54</v>
      </c>
      <c r="Q1385" s="1" t="s">
        <v>20</v>
      </c>
      <c r="R1385" s="1" t="s">
        <v>27</v>
      </c>
      <c r="S1385" s="1" t="s">
        <v>28</v>
      </c>
      <c r="T1385" s="1" t="s">
        <v>29</v>
      </c>
    </row>
    <row r="1386" customFormat="false" ht="18.7" hidden="false" customHeight="true" outlineLevel="0" collapsed="false">
      <c r="A1386" s="1" t="n">
        <v>1385</v>
      </c>
      <c r="B1386" s="6" t="str">
        <f aca="false">HYPERLINK("https://mncourtfraud.com/file/MCRO_27-CR-21-1230_Notice of Filing of Order_2023-04-17_20240430075423.pdf","MCRO_27-CR-21-1230_Notice of Filing of Order_2023-04-17_20240430075423.pdf")</f>
        <v>MCRO_27-CR-21-1230_Notice of Filing of Order_2023-04-17_20240430075423.pdf</v>
      </c>
      <c r="C1386" s="1" t="n">
        <v>3</v>
      </c>
      <c r="D1386" s="1" t="n">
        <v>1</v>
      </c>
      <c r="E1386" s="1" t="n">
        <v>1</v>
      </c>
      <c r="F1386" s="3" t="s">
        <v>20</v>
      </c>
      <c r="G1386" s="3" t="s">
        <v>5735</v>
      </c>
      <c r="H1386" s="1" t="s">
        <v>22</v>
      </c>
      <c r="I1386" s="1" t="n">
        <v>20240430075423</v>
      </c>
      <c r="J1386" s="3" t="s">
        <v>5736</v>
      </c>
      <c r="K1386" s="3" t="s">
        <v>5737</v>
      </c>
      <c r="L1386" s="3" t="s">
        <v>5738</v>
      </c>
      <c r="M1386" s="3" t="n">
        <v>78564</v>
      </c>
      <c r="N1386" s="3" t="s">
        <v>892</v>
      </c>
      <c r="O1386" s="1" t="n">
        <v>62178</v>
      </c>
      <c r="P1386" s="1" t="n">
        <v>79.14</v>
      </c>
      <c r="Q1386" s="1" t="s">
        <v>20</v>
      </c>
      <c r="R1386" s="1" t="s">
        <v>27</v>
      </c>
      <c r="S1386" s="1" t="s">
        <v>28</v>
      </c>
      <c r="T1386" s="1" t="s">
        <v>29</v>
      </c>
    </row>
    <row r="1387" customFormat="false" ht="18.7" hidden="false" customHeight="true" outlineLevel="0" collapsed="false">
      <c r="A1387" s="1" t="n">
        <v>1386</v>
      </c>
      <c r="B1387" s="6" t="str">
        <f aca="false">HYPERLINK("https://mncourtfraud.com/file/MCRO_27-CR-21-1230_Notice of Hearing_2021-07-15_20240430075447.pdf","MCRO_27-CR-21-1230_Notice of Hearing_2021-07-15_20240430075447.pdf")</f>
        <v>MCRO_27-CR-21-1230_Notice of Hearing_2021-07-15_20240430075447.pdf</v>
      </c>
      <c r="C1387" s="1" t="n">
        <v>5</v>
      </c>
      <c r="D1387" s="1" t="n">
        <v>1</v>
      </c>
      <c r="E1387" s="1" t="n">
        <v>1</v>
      </c>
      <c r="F1387" s="3" t="s">
        <v>20</v>
      </c>
      <c r="G1387" s="3" t="s">
        <v>5739</v>
      </c>
      <c r="H1387" s="1" t="s">
        <v>22</v>
      </c>
      <c r="I1387" s="1" t="n">
        <v>20240430075447</v>
      </c>
      <c r="J1387" s="3" t="s">
        <v>5740</v>
      </c>
      <c r="K1387" s="3" t="s">
        <v>5741</v>
      </c>
      <c r="L1387" s="3" t="s">
        <v>5742</v>
      </c>
      <c r="M1387" s="3" t="n">
        <v>744214</v>
      </c>
      <c r="N1387" s="3" t="s">
        <v>922</v>
      </c>
      <c r="O1387" s="1" t="n">
        <v>727828</v>
      </c>
      <c r="P1387" s="1" t="n">
        <v>97.8</v>
      </c>
      <c r="Q1387" s="1" t="s">
        <v>20</v>
      </c>
      <c r="R1387" s="1" t="s">
        <v>27</v>
      </c>
      <c r="S1387" s="1" t="s">
        <v>28</v>
      </c>
      <c r="T1387" s="1" t="s">
        <v>29</v>
      </c>
    </row>
    <row r="1388" customFormat="false" ht="18.7" hidden="false" customHeight="true" outlineLevel="0" collapsed="false">
      <c r="A1388" s="1" t="n">
        <v>1387</v>
      </c>
      <c r="B1388" s="6" t="str">
        <f aca="false">HYPERLINK("https://mncourtfraud.com/file/MCRO_27-CR-21-1230_Notice of Hearing_2023-04-06_20240430075425.pdf","MCRO_27-CR-21-1230_Notice of Hearing_2023-04-06_20240430075425.pdf")</f>
        <v>MCRO_27-CR-21-1230_Notice of Hearing_2023-04-06_20240430075425.pdf</v>
      </c>
      <c r="C1388" s="1" t="n">
        <v>4</v>
      </c>
      <c r="D1388" s="1" t="n">
        <v>1</v>
      </c>
      <c r="E1388" s="1" t="n">
        <v>1</v>
      </c>
      <c r="F1388" s="3" t="s">
        <v>20</v>
      </c>
      <c r="G1388" s="3" t="s">
        <v>5743</v>
      </c>
      <c r="H1388" s="1" t="s">
        <v>22</v>
      </c>
      <c r="I1388" s="1" t="n">
        <v>20240430075425</v>
      </c>
      <c r="J1388" s="3" t="s">
        <v>5744</v>
      </c>
      <c r="K1388" s="3" t="s">
        <v>5745</v>
      </c>
      <c r="L1388" s="3" t="s">
        <v>5746</v>
      </c>
      <c r="M1388" s="3" t="n">
        <v>561325</v>
      </c>
      <c r="N1388" s="3" t="s">
        <v>1128</v>
      </c>
      <c r="O1388" s="1" t="n">
        <v>544939</v>
      </c>
      <c r="P1388" s="1" t="n">
        <v>97.08</v>
      </c>
      <c r="Q1388" s="1" t="s">
        <v>20</v>
      </c>
      <c r="R1388" s="1" t="s">
        <v>27</v>
      </c>
      <c r="S1388" s="1" t="s">
        <v>28</v>
      </c>
      <c r="T1388" s="1" t="s">
        <v>29</v>
      </c>
    </row>
    <row r="1389" customFormat="false" ht="18.7" hidden="false" customHeight="true" outlineLevel="0" collapsed="false">
      <c r="A1389" s="1" t="n">
        <v>1388</v>
      </c>
      <c r="B1389" s="6" t="str">
        <f aca="false">HYPERLINK("https://mncourtfraud.com/file/MCRO_27-CR-21-1230_Notice of Hearing_2023-04-20_20240430075421.pdf","MCRO_27-CR-21-1230_Notice of Hearing_2023-04-20_20240430075421.pdf")</f>
        <v>MCRO_27-CR-21-1230_Notice of Hearing_2023-04-20_20240430075421.pdf</v>
      </c>
      <c r="C1389" s="1" t="n">
        <v>4</v>
      </c>
      <c r="D1389" s="1" t="n">
        <v>1</v>
      </c>
      <c r="E1389" s="1" t="n">
        <v>1</v>
      </c>
      <c r="F1389" s="3" t="s">
        <v>20</v>
      </c>
      <c r="G1389" s="3" t="s">
        <v>5747</v>
      </c>
      <c r="H1389" s="1" t="s">
        <v>22</v>
      </c>
      <c r="I1389" s="1" t="n">
        <v>20240430075421</v>
      </c>
      <c r="J1389" s="3" t="s">
        <v>5748</v>
      </c>
      <c r="K1389" s="3" t="s">
        <v>5749</v>
      </c>
      <c r="L1389" s="3" t="s">
        <v>5750</v>
      </c>
      <c r="M1389" s="3" t="n">
        <v>601130</v>
      </c>
      <c r="N1389" s="3" t="s">
        <v>1128</v>
      </c>
      <c r="O1389" s="1" t="n">
        <v>584744</v>
      </c>
      <c r="P1389" s="1" t="n">
        <v>97.27</v>
      </c>
      <c r="Q1389" s="1" t="s">
        <v>20</v>
      </c>
      <c r="R1389" s="1" t="s">
        <v>27</v>
      </c>
      <c r="S1389" s="1" t="s">
        <v>28</v>
      </c>
      <c r="T1389" s="1" t="s">
        <v>29</v>
      </c>
    </row>
    <row r="1390" customFormat="false" ht="18.7" hidden="false" customHeight="true" outlineLevel="0" collapsed="false">
      <c r="A1390" s="1" t="n">
        <v>1389</v>
      </c>
      <c r="B1390" s="6" t="str">
        <f aca="false">HYPERLINK("https://mncourtfraud.com/file/MCRO_27-CR-21-1230_Notice of Hearing_2023-05-15_20240430075420.pdf","MCRO_27-CR-21-1230_Notice of Hearing_2023-05-15_20240430075420.pdf")</f>
        <v>MCRO_27-CR-21-1230_Notice of Hearing_2023-05-15_20240430075420.pdf</v>
      </c>
      <c r="C1390" s="1" t="n">
        <v>4</v>
      </c>
      <c r="D1390" s="1" t="n">
        <v>1</v>
      </c>
      <c r="E1390" s="1" t="n">
        <v>1</v>
      </c>
      <c r="F1390" s="3" t="s">
        <v>20</v>
      </c>
      <c r="G1390" s="3" t="s">
        <v>5751</v>
      </c>
      <c r="H1390" s="1" t="s">
        <v>22</v>
      </c>
      <c r="I1390" s="1" t="n">
        <v>20240430075420</v>
      </c>
      <c r="J1390" s="3" t="s">
        <v>5752</v>
      </c>
      <c r="K1390" s="3" t="s">
        <v>5753</v>
      </c>
      <c r="L1390" s="3" t="s">
        <v>5754</v>
      </c>
      <c r="M1390" s="3" t="n">
        <v>688611</v>
      </c>
      <c r="N1390" s="3" t="s">
        <v>1065</v>
      </c>
      <c r="O1390" s="1" t="n">
        <v>672225</v>
      </c>
      <c r="P1390" s="1" t="n">
        <v>97.62</v>
      </c>
      <c r="Q1390" s="1" t="s">
        <v>20</v>
      </c>
      <c r="R1390" s="1" t="s">
        <v>27</v>
      </c>
      <c r="S1390" s="1" t="s">
        <v>28</v>
      </c>
      <c r="T1390" s="1" t="s">
        <v>29</v>
      </c>
    </row>
    <row r="1391" customFormat="false" ht="18.7" hidden="false" customHeight="true" outlineLevel="0" collapsed="false">
      <c r="A1391" s="1" t="n">
        <v>1390</v>
      </c>
      <c r="B1391" s="6" t="str">
        <f aca="false">HYPERLINK("https://mncourtfraud.com/file/MCRO_27-CR-21-1230_Notice of Hearing_2023-06-13_20240430075417.pdf","MCRO_27-CR-21-1230_Notice of Hearing_2023-06-13_20240430075417.pdf")</f>
        <v>MCRO_27-CR-21-1230_Notice of Hearing_2023-06-13_20240430075417.pdf</v>
      </c>
      <c r="C1391" s="1" t="n">
        <v>4</v>
      </c>
      <c r="D1391" s="1" t="n">
        <v>1</v>
      </c>
      <c r="E1391" s="1" t="n">
        <v>1</v>
      </c>
      <c r="F1391" s="3" t="s">
        <v>20</v>
      </c>
      <c r="G1391" s="3" t="s">
        <v>5755</v>
      </c>
      <c r="H1391" s="1" t="s">
        <v>22</v>
      </c>
      <c r="I1391" s="1" t="n">
        <v>20240430075417</v>
      </c>
      <c r="J1391" s="3" t="s">
        <v>5756</v>
      </c>
      <c r="K1391" s="3" t="s">
        <v>5757</v>
      </c>
      <c r="L1391" s="3" t="s">
        <v>5758</v>
      </c>
      <c r="M1391" s="3" t="n">
        <v>755010</v>
      </c>
      <c r="N1391" s="3" t="s">
        <v>1205</v>
      </c>
      <c r="O1391" s="1" t="n">
        <v>738624</v>
      </c>
      <c r="P1391" s="1" t="n">
        <v>97.83</v>
      </c>
      <c r="Q1391" s="1" t="s">
        <v>20</v>
      </c>
      <c r="R1391" s="1" t="s">
        <v>27</v>
      </c>
      <c r="S1391" s="1" t="s">
        <v>28</v>
      </c>
      <c r="T1391" s="1" t="s">
        <v>29</v>
      </c>
    </row>
    <row r="1392" customFormat="false" ht="18.7" hidden="false" customHeight="true" outlineLevel="0" collapsed="false">
      <c r="A1392" s="1" t="n">
        <v>1391</v>
      </c>
      <c r="B1392" s="6" t="str">
        <f aca="false">HYPERLINK("https://mncourtfraud.com/file/MCRO_27-CR-21-1230_Notice of Hearing_2023-08-01_20240430075412.pdf","MCRO_27-CR-21-1230_Notice of Hearing_2023-08-01_20240430075412.pdf")</f>
        <v>MCRO_27-CR-21-1230_Notice of Hearing_2023-08-01_20240430075412.pdf</v>
      </c>
      <c r="C1392" s="1" t="n">
        <v>4</v>
      </c>
      <c r="D1392" s="1" t="n">
        <v>1</v>
      </c>
      <c r="E1392" s="1" t="n">
        <v>1</v>
      </c>
      <c r="F1392" s="3" t="s">
        <v>20</v>
      </c>
      <c r="G1392" s="3" t="s">
        <v>5759</v>
      </c>
      <c r="H1392" s="1" t="s">
        <v>22</v>
      </c>
      <c r="I1392" s="1" t="n">
        <v>20240430075412</v>
      </c>
      <c r="J1392" s="3" t="s">
        <v>5760</v>
      </c>
      <c r="K1392" s="3" t="s">
        <v>5761</v>
      </c>
      <c r="L1392" s="3" t="s">
        <v>5762</v>
      </c>
      <c r="M1392" s="3" t="n">
        <v>715094</v>
      </c>
      <c r="N1392" s="3" t="s">
        <v>500</v>
      </c>
      <c r="O1392" s="1" t="n">
        <v>698708</v>
      </c>
      <c r="P1392" s="1" t="n">
        <v>97.71</v>
      </c>
      <c r="Q1392" s="1" t="s">
        <v>20</v>
      </c>
      <c r="R1392" s="1" t="s">
        <v>27</v>
      </c>
      <c r="S1392" s="1" t="s">
        <v>28</v>
      </c>
      <c r="T1392" s="1" t="s">
        <v>29</v>
      </c>
    </row>
    <row r="1393" customFormat="false" ht="18.7" hidden="false" customHeight="true" outlineLevel="0" collapsed="false">
      <c r="A1393" s="1" t="n">
        <v>1392</v>
      </c>
      <c r="B1393" s="6" t="str">
        <f aca="false">HYPERLINK("https://mncourtfraud.com/file/MCRO_27-CR-21-1230_Notice of Hearing_2023-09-22_20240430075410.pdf","MCRO_27-CR-21-1230_Notice of Hearing_2023-09-22_20240430075410.pdf")</f>
        <v>MCRO_27-CR-21-1230_Notice of Hearing_2023-09-22_20240430075410.pdf</v>
      </c>
      <c r="C1393" s="1" t="n">
        <v>4</v>
      </c>
      <c r="D1393" s="1" t="n">
        <v>1</v>
      </c>
      <c r="E1393" s="1" t="n">
        <v>1</v>
      </c>
      <c r="F1393" s="3" t="s">
        <v>20</v>
      </c>
      <c r="G1393" s="3" t="s">
        <v>5763</v>
      </c>
      <c r="H1393" s="1" t="s">
        <v>22</v>
      </c>
      <c r="I1393" s="1" t="n">
        <v>20240430075410</v>
      </c>
      <c r="J1393" s="3" t="s">
        <v>5764</v>
      </c>
      <c r="K1393" s="3" t="s">
        <v>5765</v>
      </c>
      <c r="L1393" s="3" t="s">
        <v>5762</v>
      </c>
      <c r="M1393" s="3" t="n">
        <v>715094</v>
      </c>
      <c r="N1393" s="3" t="s">
        <v>500</v>
      </c>
      <c r="O1393" s="1" t="n">
        <v>698708</v>
      </c>
      <c r="P1393" s="1" t="n">
        <v>97.71</v>
      </c>
      <c r="Q1393" s="1" t="s">
        <v>20</v>
      </c>
      <c r="R1393" s="1" t="s">
        <v>27</v>
      </c>
      <c r="S1393" s="1" t="s">
        <v>28</v>
      </c>
      <c r="T1393" s="1" t="s">
        <v>29</v>
      </c>
    </row>
    <row r="1394" customFormat="false" ht="18.7" hidden="false" customHeight="true" outlineLevel="0" collapsed="false">
      <c r="A1394" s="1" t="n">
        <v>1393</v>
      </c>
      <c r="B1394" s="6" t="str">
        <f aca="false">HYPERLINK("https://mncourtfraud.com/file/MCRO_27-CR-21-1230_Notice of Hearing_2023-12-14_20240430075407.pdf","MCRO_27-CR-21-1230_Notice of Hearing_2023-12-14_20240430075407.pdf")</f>
        <v>MCRO_27-CR-21-1230_Notice of Hearing_2023-12-14_20240430075407.pdf</v>
      </c>
      <c r="C1394" s="1" t="n">
        <v>4</v>
      </c>
      <c r="D1394" s="1" t="n">
        <v>1</v>
      </c>
      <c r="E1394" s="1" t="n">
        <v>1</v>
      </c>
      <c r="F1394" s="3" t="s">
        <v>20</v>
      </c>
      <c r="G1394" s="3" t="s">
        <v>5766</v>
      </c>
      <c r="H1394" s="1" t="s">
        <v>22</v>
      </c>
      <c r="I1394" s="1" t="n">
        <v>20240430075407</v>
      </c>
      <c r="J1394" s="3" t="s">
        <v>5767</v>
      </c>
      <c r="K1394" s="3" t="s">
        <v>5768</v>
      </c>
      <c r="L1394" s="3" t="s">
        <v>1385</v>
      </c>
      <c r="M1394" s="3" t="n">
        <v>715179</v>
      </c>
      <c r="N1394" s="3" t="s">
        <v>500</v>
      </c>
      <c r="O1394" s="1" t="n">
        <v>698793</v>
      </c>
      <c r="P1394" s="1" t="n">
        <v>97.71</v>
      </c>
      <c r="Q1394" s="1" t="s">
        <v>20</v>
      </c>
      <c r="R1394" s="1" t="s">
        <v>27</v>
      </c>
      <c r="S1394" s="1" t="s">
        <v>28</v>
      </c>
      <c r="T1394" s="1" t="s">
        <v>29</v>
      </c>
    </row>
    <row r="1395" customFormat="false" ht="18.7" hidden="false" customHeight="true" outlineLevel="0" collapsed="false">
      <c r="A1395" s="1" t="n">
        <v>1394</v>
      </c>
      <c r="B1395" s="6" t="str">
        <f aca="false">HYPERLINK("https://mncourtfraud.com/file/MCRO_27-CR-21-1230_Notice of Motion and Motion_2022-10-17_20240430075438.pdf","MCRO_27-CR-21-1230_Notice of Motion and Motion_2022-10-17_20240430075438.pdf")</f>
        <v>MCRO_27-CR-21-1230_Notice of Motion and Motion_2022-10-17_20240430075438.pdf</v>
      </c>
      <c r="C1395" s="1" t="n">
        <v>3</v>
      </c>
      <c r="D1395" s="1" t="n">
        <v>1</v>
      </c>
      <c r="E1395" s="1" t="n">
        <v>1</v>
      </c>
      <c r="F1395" s="3" t="s">
        <v>20</v>
      </c>
      <c r="G1395" s="3" t="s">
        <v>5769</v>
      </c>
      <c r="H1395" s="1" t="s">
        <v>22</v>
      </c>
      <c r="I1395" s="1" t="n">
        <v>20240430075438</v>
      </c>
      <c r="J1395" s="3" t="s">
        <v>5770</v>
      </c>
      <c r="K1395" s="3" t="s">
        <v>5771</v>
      </c>
      <c r="L1395" s="3" t="s">
        <v>5772</v>
      </c>
      <c r="M1395" s="3" t="n">
        <v>120902</v>
      </c>
      <c r="N1395" s="3" t="s">
        <v>736</v>
      </c>
      <c r="O1395" s="1" t="n">
        <v>104516</v>
      </c>
      <c r="P1395" s="1" t="n">
        <v>86.45</v>
      </c>
      <c r="Q1395" s="1" t="s">
        <v>20</v>
      </c>
      <c r="R1395" s="1" t="s">
        <v>27</v>
      </c>
      <c r="S1395" s="1" t="s">
        <v>28</v>
      </c>
      <c r="T1395" s="1" t="s">
        <v>29</v>
      </c>
    </row>
    <row r="1396" customFormat="false" ht="18.7" hidden="false" customHeight="true" outlineLevel="0" collapsed="false">
      <c r="A1396" s="1" t="n">
        <v>1395</v>
      </c>
      <c r="B1396" s="6" t="str">
        <f aca="false">HYPERLINK("https://mncourtfraud.com/file/MCRO_27-CR-21-1230_Notice of Remote Hearing with Instructions_2021-01-21_20240430075456.pdf","MCRO_27-CR-21-1230_Notice of Remote Hearing with Instructions_2021-01-21_20240430075456.pdf")</f>
        <v>MCRO_27-CR-21-1230_Notice of Remote Hearing with Instructions_2021-01-21_20240430075456.pdf</v>
      </c>
      <c r="C1396" s="1" t="n">
        <v>4</v>
      </c>
      <c r="D1396" s="1" t="n">
        <v>1</v>
      </c>
      <c r="E1396" s="1" t="n">
        <v>1</v>
      </c>
      <c r="F1396" s="3" t="s">
        <v>20</v>
      </c>
      <c r="G1396" s="3" t="s">
        <v>5773</v>
      </c>
      <c r="H1396" s="1" t="s">
        <v>22</v>
      </c>
      <c r="I1396" s="1" t="n">
        <v>20240430075456</v>
      </c>
      <c r="J1396" s="3" t="s">
        <v>5774</v>
      </c>
      <c r="K1396" s="3" t="s">
        <v>5775</v>
      </c>
      <c r="L1396" s="3" t="s">
        <v>5776</v>
      </c>
      <c r="M1396" s="3" t="n">
        <v>820736</v>
      </c>
      <c r="N1396" s="3" t="s">
        <v>1065</v>
      </c>
      <c r="O1396" s="1" t="n">
        <v>804350</v>
      </c>
      <c r="P1396" s="1" t="n">
        <v>98</v>
      </c>
      <c r="Q1396" s="1" t="s">
        <v>20</v>
      </c>
      <c r="R1396" s="1" t="s">
        <v>27</v>
      </c>
      <c r="S1396" s="1" t="s">
        <v>28</v>
      </c>
      <c r="T1396" s="1" t="s">
        <v>29</v>
      </c>
    </row>
    <row r="1397" customFormat="false" ht="18.7" hidden="false" customHeight="true" outlineLevel="0" collapsed="false">
      <c r="A1397" s="1" t="n">
        <v>1396</v>
      </c>
      <c r="B1397" s="6" t="str">
        <f aca="false">HYPERLINK("https://mncourtfraud.com/file/MCRO_27-CR-21-1230_Notice of Remote Hearing with Instructions_2021-02-16_20240430075454.pdf","MCRO_27-CR-21-1230_Notice of Remote Hearing with Instructions_2021-02-16_20240430075454.pdf")</f>
        <v>MCRO_27-CR-21-1230_Notice of Remote Hearing with Instructions_2021-02-16_20240430075454.pdf</v>
      </c>
      <c r="C1397" s="1" t="n">
        <v>4</v>
      </c>
      <c r="D1397" s="1" t="n">
        <v>1</v>
      </c>
      <c r="E1397" s="1" t="n">
        <v>1</v>
      </c>
      <c r="F1397" s="3" t="s">
        <v>20</v>
      </c>
      <c r="G1397" s="3" t="s">
        <v>5777</v>
      </c>
      <c r="H1397" s="1" t="s">
        <v>22</v>
      </c>
      <c r="I1397" s="1" t="n">
        <v>20240430075454</v>
      </c>
      <c r="J1397" s="3" t="s">
        <v>5778</v>
      </c>
      <c r="K1397" s="3" t="s">
        <v>5779</v>
      </c>
      <c r="L1397" s="3" t="s">
        <v>5780</v>
      </c>
      <c r="M1397" s="3" t="n">
        <v>158755</v>
      </c>
      <c r="N1397" s="3" t="s">
        <v>1065</v>
      </c>
      <c r="O1397" s="1" t="n">
        <v>142369</v>
      </c>
      <c r="P1397" s="1" t="n">
        <v>89.68</v>
      </c>
      <c r="Q1397" s="1" t="s">
        <v>20</v>
      </c>
      <c r="R1397" s="1" t="s">
        <v>27</v>
      </c>
      <c r="S1397" s="1" t="s">
        <v>28</v>
      </c>
      <c r="T1397" s="1" t="s">
        <v>29</v>
      </c>
    </row>
    <row r="1398" customFormat="false" ht="18.7" hidden="false" customHeight="true" outlineLevel="0" collapsed="false">
      <c r="A1398" s="1" t="n">
        <v>1397</v>
      </c>
      <c r="B1398" s="6" t="str">
        <f aca="false">HYPERLINK("https://mncourtfraud.com/file/MCRO_27-CR-21-1230_Notice of Remote Hearing with Instructions_2021-03-08_20240430075451.pdf","MCRO_27-CR-21-1230_Notice of Remote Hearing with Instructions_2021-03-08_20240430075451.pdf")</f>
        <v>MCRO_27-CR-21-1230_Notice of Remote Hearing with Instructions_2021-03-08_20240430075451.pdf</v>
      </c>
      <c r="C1398" s="1" t="n">
        <v>4</v>
      </c>
      <c r="D1398" s="1" t="n">
        <v>1</v>
      </c>
      <c r="E1398" s="1" t="n">
        <v>1</v>
      </c>
      <c r="F1398" s="3" t="s">
        <v>20</v>
      </c>
      <c r="G1398" s="3" t="s">
        <v>5781</v>
      </c>
      <c r="H1398" s="1" t="s">
        <v>22</v>
      </c>
      <c r="I1398" s="1" t="n">
        <v>20240430075451</v>
      </c>
      <c r="J1398" s="3" t="s">
        <v>5782</v>
      </c>
      <c r="K1398" s="3" t="s">
        <v>5783</v>
      </c>
      <c r="L1398" s="3" t="s">
        <v>5784</v>
      </c>
      <c r="M1398" s="3" t="n">
        <v>136706</v>
      </c>
      <c r="N1398" s="3" t="s">
        <v>3198</v>
      </c>
      <c r="O1398" s="1" t="n">
        <v>120320</v>
      </c>
      <c r="P1398" s="1" t="n">
        <v>88.01</v>
      </c>
      <c r="Q1398" s="1" t="s">
        <v>20</v>
      </c>
      <c r="R1398" s="1" t="s">
        <v>27</v>
      </c>
      <c r="S1398" s="1" t="s">
        <v>28</v>
      </c>
      <c r="T1398" s="1" t="s">
        <v>29</v>
      </c>
    </row>
    <row r="1399" customFormat="false" ht="18.7" hidden="false" customHeight="true" outlineLevel="0" collapsed="false">
      <c r="A1399" s="1" t="n">
        <v>1398</v>
      </c>
      <c r="B1399" s="6" t="str">
        <f aca="false">HYPERLINK("https://mncourtfraud.com/file/MCRO_27-CR-21-1230_Notice of Remote Hearing with Instructions_2021-10-11_20240430075443.pdf","MCRO_27-CR-21-1230_Notice of Remote Hearing with Instructions_2021-10-11_20240430075443.pdf")</f>
        <v>MCRO_27-CR-21-1230_Notice of Remote Hearing with Instructions_2021-10-11_20240430075443.pdf</v>
      </c>
      <c r="C1399" s="1" t="n">
        <v>4</v>
      </c>
      <c r="D1399" s="1" t="n">
        <v>1</v>
      </c>
      <c r="E1399" s="1" t="n">
        <v>1</v>
      </c>
      <c r="F1399" s="3" t="s">
        <v>20</v>
      </c>
      <c r="G1399" s="3" t="s">
        <v>5785</v>
      </c>
      <c r="H1399" s="1" t="s">
        <v>22</v>
      </c>
      <c r="I1399" s="1" t="n">
        <v>20240430075443</v>
      </c>
      <c r="J1399" s="3" t="s">
        <v>5786</v>
      </c>
      <c r="K1399" s="3" t="s">
        <v>5787</v>
      </c>
      <c r="L1399" s="3" t="s">
        <v>5788</v>
      </c>
      <c r="M1399" s="3" t="n">
        <v>164231</v>
      </c>
      <c r="N1399" s="3" t="s">
        <v>1065</v>
      </c>
      <c r="O1399" s="1" t="n">
        <v>147845</v>
      </c>
      <c r="P1399" s="1" t="n">
        <v>90.02</v>
      </c>
      <c r="Q1399" s="1" t="s">
        <v>20</v>
      </c>
      <c r="R1399" s="1" t="s">
        <v>27</v>
      </c>
      <c r="S1399" s="1" t="s">
        <v>28</v>
      </c>
      <c r="T1399" s="1" t="s">
        <v>29</v>
      </c>
    </row>
    <row r="1400" customFormat="false" ht="18.7" hidden="false" customHeight="true" outlineLevel="0" collapsed="false">
      <c r="A1400" s="1" t="n">
        <v>1399</v>
      </c>
      <c r="B1400" s="6" t="str">
        <f aca="false">HYPERLINK("https://mncourtfraud.com/file/MCRO_27-CR-21-1230_Notice of Remote Hearing with Instructions_2023-05-15_20240430075418.pdf","MCRO_27-CR-21-1230_Notice of Remote Hearing with Instructions_2023-05-15_20240430075418.pdf")</f>
        <v>MCRO_27-CR-21-1230_Notice of Remote Hearing with Instructions_2023-05-15_20240430075418.pdf</v>
      </c>
      <c r="C1400" s="1" t="n">
        <v>4</v>
      </c>
      <c r="D1400" s="1" t="n">
        <v>1</v>
      </c>
      <c r="E1400" s="1" t="n">
        <v>1</v>
      </c>
      <c r="F1400" s="3" t="s">
        <v>20</v>
      </c>
      <c r="G1400" s="3" t="s">
        <v>5789</v>
      </c>
      <c r="H1400" s="1" t="s">
        <v>22</v>
      </c>
      <c r="I1400" s="1" t="n">
        <v>20240430075418</v>
      </c>
      <c r="J1400" s="3" t="s">
        <v>5790</v>
      </c>
      <c r="K1400" s="3" t="s">
        <v>5791</v>
      </c>
      <c r="L1400" s="3" t="s">
        <v>5792</v>
      </c>
      <c r="M1400" s="3" t="n">
        <v>240895</v>
      </c>
      <c r="N1400" s="3" t="s">
        <v>1659</v>
      </c>
      <c r="O1400" s="1" t="n">
        <v>224509</v>
      </c>
      <c r="P1400" s="1" t="n">
        <v>93.2</v>
      </c>
      <c r="Q1400" s="1" t="s">
        <v>20</v>
      </c>
      <c r="R1400" s="1" t="s">
        <v>27</v>
      </c>
      <c r="S1400" s="1" t="s">
        <v>28</v>
      </c>
      <c r="T1400" s="1" t="s">
        <v>29</v>
      </c>
    </row>
    <row r="1401" customFormat="false" ht="18.7" hidden="false" customHeight="true" outlineLevel="0" collapsed="false">
      <c r="A1401" s="1" t="n">
        <v>1400</v>
      </c>
      <c r="B1401" s="6" t="str">
        <f aca="false">HYPERLINK("https://mncourtfraud.com/file/MCRO_27-CR-21-1230_Notice of Remote Hearing with Instructions_2023-06-13_20240430075416.pdf","MCRO_27-CR-21-1230_Notice of Remote Hearing with Instructions_2023-06-13_20240430075416.pdf")</f>
        <v>MCRO_27-CR-21-1230_Notice of Remote Hearing with Instructions_2023-06-13_20240430075416.pdf</v>
      </c>
      <c r="C1401" s="1" t="n">
        <v>4</v>
      </c>
      <c r="D1401" s="1" t="n">
        <v>1</v>
      </c>
      <c r="E1401" s="1" t="n">
        <v>1</v>
      </c>
      <c r="F1401" s="3" t="s">
        <v>20</v>
      </c>
      <c r="G1401" s="3" t="s">
        <v>5793</v>
      </c>
      <c r="H1401" s="1" t="s">
        <v>22</v>
      </c>
      <c r="I1401" s="1" t="n">
        <v>20240430075416</v>
      </c>
      <c r="J1401" s="3" t="s">
        <v>5794</v>
      </c>
      <c r="K1401" s="3" t="s">
        <v>5795</v>
      </c>
      <c r="L1401" s="3" t="s">
        <v>5796</v>
      </c>
      <c r="M1401" s="3" t="n">
        <v>256078</v>
      </c>
      <c r="N1401" s="3" t="s">
        <v>74</v>
      </c>
      <c r="O1401" s="1" t="n">
        <v>239692</v>
      </c>
      <c r="P1401" s="1" t="n">
        <v>93.6</v>
      </c>
      <c r="Q1401" s="1" t="s">
        <v>20</v>
      </c>
      <c r="R1401" s="1" t="s">
        <v>27</v>
      </c>
      <c r="S1401" s="1" t="s">
        <v>28</v>
      </c>
      <c r="T1401" s="1" t="s">
        <v>29</v>
      </c>
    </row>
    <row r="1402" customFormat="false" ht="18.7" hidden="false" customHeight="true" outlineLevel="0" collapsed="false">
      <c r="A1402" s="1" t="n">
        <v>1401</v>
      </c>
      <c r="B1402" s="6" t="str">
        <f aca="false">HYPERLINK("https://mncourtfraud.com/file/MCRO_27-CR-21-1230_Notice of Remote Hearing with Instructions_2023-07-19_20240430075414.pdf","MCRO_27-CR-21-1230_Notice of Remote Hearing with Instructions_2023-07-19_20240430075414.pdf")</f>
        <v>MCRO_27-CR-21-1230_Notice of Remote Hearing with Instructions_2023-07-19_20240430075414.pdf</v>
      </c>
      <c r="C1402" s="1" t="n">
        <v>5</v>
      </c>
      <c r="D1402" s="1" t="n">
        <v>1</v>
      </c>
      <c r="E1402" s="1" t="n">
        <v>1</v>
      </c>
      <c r="F1402" s="3" t="s">
        <v>20</v>
      </c>
      <c r="G1402" s="3" t="s">
        <v>5797</v>
      </c>
      <c r="H1402" s="1" t="s">
        <v>22</v>
      </c>
      <c r="I1402" s="1" t="n">
        <v>20240430075414</v>
      </c>
      <c r="J1402" s="3" t="s">
        <v>5798</v>
      </c>
      <c r="K1402" s="3" t="s">
        <v>5799</v>
      </c>
      <c r="L1402" s="3" t="s">
        <v>5800</v>
      </c>
      <c r="M1402" s="3" t="n">
        <v>846141</v>
      </c>
      <c r="N1402" s="3" t="s">
        <v>1239</v>
      </c>
      <c r="O1402" s="1" t="n">
        <v>829755</v>
      </c>
      <c r="P1402" s="1" t="n">
        <v>98.06</v>
      </c>
      <c r="Q1402" s="1" t="s">
        <v>20</v>
      </c>
      <c r="R1402" s="1" t="s">
        <v>27</v>
      </c>
      <c r="S1402" s="1" t="s">
        <v>28</v>
      </c>
      <c r="T1402" s="1" t="s">
        <v>29</v>
      </c>
    </row>
    <row r="1403" customFormat="false" ht="18.7" hidden="false" customHeight="true" outlineLevel="0" collapsed="false">
      <c r="A1403" s="1" t="n">
        <v>1402</v>
      </c>
      <c r="B1403" s="6" t="str">
        <f aca="false">HYPERLINK("https://mncourtfraud.com/file/MCRO_27-CR-21-1230_Notice of Remote Hearing with Instructions_2023-09-19_20240430075411.pdf","MCRO_27-CR-21-1230_Notice of Remote Hearing with Instructions_2023-09-19_20240430075411.pdf")</f>
        <v>MCRO_27-CR-21-1230_Notice of Remote Hearing with Instructions_2023-09-19_20240430075411.pdf</v>
      </c>
      <c r="C1403" s="1" t="n">
        <v>5</v>
      </c>
      <c r="D1403" s="1" t="n">
        <v>1</v>
      </c>
      <c r="E1403" s="1" t="n">
        <v>1</v>
      </c>
      <c r="F1403" s="3" t="s">
        <v>20</v>
      </c>
      <c r="G1403" s="3" t="s">
        <v>5801</v>
      </c>
      <c r="H1403" s="1" t="s">
        <v>22</v>
      </c>
      <c r="I1403" s="1" t="n">
        <v>20240430075411</v>
      </c>
      <c r="J1403" s="3" t="s">
        <v>5802</v>
      </c>
      <c r="K1403" s="3" t="s">
        <v>5803</v>
      </c>
      <c r="L1403" s="3" t="s">
        <v>5804</v>
      </c>
      <c r="M1403" s="3" t="n">
        <v>859426</v>
      </c>
      <c r="N1403" s="3" t="s">
        <v>1009</v>
      </c>
      <c r="O1403" s="1" t="n">
        <v>843040</v>
      </c>
      <c r="P1403" s="1" t="n">
        <v>98.09</v>
      </c>
      <c r="Q1403" s="1" t="s">
        <v>20</v>
      </c>
      <c r="R1403" s="1" t="s">
        <v>27</v>
      </c>
      <c r="S1403" s="1" t="s">
        <v>28</v>
      </c>
      <c r="T1403" s="1" t="s">
        <v>29</v>
      </c>
    </row>
    <row r="1404" customFormat="false" ht="18.7" hidden="false" customHeight="true" outlineLevel="0" collapsed="false">
      <c r="A1404" s="1" t="n">
        <v>1403</v>
      </c>
      <c r="B1404" s="6" t="str">
        <f aca="false">HYPERLINK("https://mncourtfraud.com/file/MCRO_27-CR-21-1230_Notice of Remote Hearing with Instructions_2023-12-12_20240430075408.pdf","MCRO_27-CR-21-1230_Notice of Remote Hearing with Instructions_2023-12-12_20240430075408.pdf")</f>
        <v>MCRO_27-CR-21-1230_Notice of Remote Hearing with Instructions_2023-12-12_20240430075408.pdf</v>
      </c>
      <c r="C1404" s="1" t="n">
        <v>5</v>
      </c>
      <c r="D1404" s="1" t="n">
        <v>1</v>
      </c>
      <c r="E1404" s="1" t="n">
        <v>1</v>
      </c>
      <c r="F1404" s="3" t="s">
        <v>20</v>
      </c>
      <c r="G1404" s="3" t="s">
        <v>5805</v>
      </c>
      <c r="H1404" s="1" t="s">
        <v>22</v>
      </c>
      <c r="I1404" s="1" t="n">
        <v>20240430075408</v>
      </c>
      <c r="J1404" s="3" t="s">
        <v>5806</v>
      </c>
      <c r="K1404" s="3" t="s">
        <v>5807</v>
      </c>
      <c r="L1404" s="3" t="s">
        <v>1247</v>
      </c>
      <c r="M1404" s="3" t="n">
        <v>855823</v>
      </c>
      <c r="N1404" s="3" t="s">
        <v>1248</v>
      </c>
      <c r="O1404" s="1" t="n">
        <v>839437</v>
      </c>
      <c r="P1404" s="1" t="n">
        <v>98.09</v>
      </c>
      <c r="Q1404" s="1" t="s">
        <v>20</v>
      </c>
      <c r="R1404" s="1" t="s">
        <v>27</v>
      </c>
      <c r="S1404" s="1" t="s">
        <v>28</v>
      </c>
      <c r="T1404" s="1" t="s">
        <v>29</v>
      </c>
    </row>
    <row r="1405" customFormat="false" ht="18.7" hidden="false" customHeight="true" outlineLevel="0" collapsed="false">
      <c r="A1405" s="1" t="n">
        <v>1404</v>
      </c>
      <c r="B1405" s="6" t="str">
        <f aca="false">HYPERLINK("https://mncourtfraud.com/file/MCRO_27-CR-21-1230_Notice of Remote Hearing with Instructions_2024-04-09_20240430075401.pdf","MCRO_27-CR-21-1230_Notice of Remote Hearing with Instructions_2024-04-09_20240430075401.pdf")</f>
        <v>MCRO_27-CR-21-1230_Notice of Remote Hearing with Instructions_2024-04-09_20240430075401.pdf</v>
      </c>
      <c r="C1405" s="1" t="n">
        <v>4</v>
      </c>
      <c r="D1405" s="1" t="n">
        <v>1</v>
      </c>
      <c r="E1405" s="1" t="n">
        <v>1</v>
      </c>
      <c r="F1405" s="3" t="s">
        <v>20</v>
      </c>
      <c r="G1405" s="3" t="s">
        <v>5808</v>
      </c>
      <c r="H1405" s="1" t="s">
        <v>22</v>
      </c>
      <c r="I1405" s="1" t="n">
        <v>20240430075401</v>
      </c>
      <c r="J1405" s="3" t="s">
        <v>5809</v>
      </c>
      <c r="K1405" s="3" t="s">
        <v>5810</v>
      </c>
      <c r="L1405" s="3" t="s">
        <v>5811</v>
      </c>
      <c r="M1405" s="3" t="n">
        <v>255674</v>
      </c>
      <c r="N1405" s="3" t="s">
        <v>74</v>
      </c>
      <c r="O1405" s="1" t="n">
        <v>239288</v>
      </c>
      <c r="P1405" s="1" t="n">
        <v>93.59</v>
      </c>
      <c r="Q1405" s="1" t="s">
        <v>20</v>
      </c>
      <c r="R1405" s="1" t="s">
        <v>27</v>
      </c>
      <c r="S1405" s="1" t="s">
        <v>28</v>
      </c>
      <c r="T1405" s="1" t="s">
        <v>29</v>
      </c>
    </row>
    <row r="1406" customFormat="false" ht="18.7" hidden="false" customHeight="true" outlineLevel="0" collapsed="false">
      <c r="A1406" s="1" t="n">
        <v>1405</v>
      </c>
      <c r="B1406" s="6" t="str">
        <f aca="false">HYPERLINK("https://mncourtfraud.com/file/MCRO_27-CR-21-1230_Notice-Other_2023-03-31_20240430075426.pdf","MCRO_27-CR-21-1230_Notice-Other_2023-03-31_20240430075426.pdf")</f>
        <v>MCRO_27-CR-21-1230_Notice-Other_2023-03-31_20240430075426.pdf</v>
      </c>
      <c r="C1406" s="1" t="n">
        <v>5</v>
      </c>
      <c r="D1406" s="1" t="n">
        <v>1</v>
      </c>
      <c r="E1406" s="1" t="n">
        <v>1</v>
      </c>
      <c r="F1406" s="3" t="s">
        <v>20</v>
      </c>
      <c r="G1406" s="3" t="s">
        <v>5812</v>
      </c>
      <c r="H1406" s="1" t="s">
        <v>22</v>
      </c>
      <c r="I1406" s="1" t="n">
        <v>20240430075426</v>
      </c>
      <c r="J1406" s="3" t="s">
        <v>5813</v>
      </c>
      <c r="K1406" s="3" t="s">
        <v>5814</v>
      </c>
      <c r="L1406" s="3" t="s">
        <v>5815</v>
      </c>
      <c r="M1406" s="3" t="n">
        <v>711328</v>
      </c>
      <c r="N1406" s="3" t="s">
        <v>3364</v>
      </c>
      <c r="O1406" s="1" t="n">
        <v>694942</v>
      </c>
      <c r="P1406" s="1" t="n">
        <v>97.7</v>
      </c>
      <c r="Q1406" s="1" t="s">
        <v>20</v>
      </c>
      <c r="R1406" s="1" t="s">
        <v>27</v>
      </c>
      <c r="S1406" s="1" t="s">
        <v>28</v>
      </c>
      <c r="T1406" s="1" t="s">
        <v>29</v>
      </c>
    </row>
    <row r="1407" customFormat="false" ht="18.7" hidden="false" customHeight="true" outlineLevel="0" collapsed="false">
      <c r="A1407" s="1" t="n">
        <v>1406</v>
      </c>
      <c r="B1407" s="6" t="str">
        <f aca="false">HYPERLINK("https://mncourtfraud.com/file/MCRO_27-CR-21-1230_Order-Eval for Mental Illness or Cognitive Impairment 20.02_2023-05-15_20240430075419.pdf","MCRO_27-CR-21-1230_Order-Eval for Mental Illness or Cognitive Impairment 20.02_2023-05-15_20240430075419.pdf")</f>
        <v>MCRO_27-CR-21-1230_Order-Eval for Mental Illness or Cognitive Impairment 20.02_2023-05-15_20240430075419.pdf</v>
      </c>
      <c r="C1407" s="1" t="n">
        <v>4</v>
      </c>
      <c r="D1407" s="1" t="n">
        <v>1</v>
      </c>
      <c r="E1407" s="1" t="n">
        <v>1</v>
      </c>
      <c r="F1407" s="3" t="s">
        <v>20</v>
      </c>
      <c r="G1407" s="3" t="s">
        <v>5816</v>
      </c>
      <c r="H1407" s="1" t="s">
        <v>22</v>
      </c>
      <c r="I1407" s="1" t="n">
        <v>20240430075419</v>
      </c>
      <c r="J1407" s="3" t="s">
        <v>5817</v>
      </c>
      <c r="K1407" s="3" t="s">
        <v>5818</v>
      </c>
      <c r="L1407" s="3" t="s">
        <v>5819</v>
      </c>
      <c r="M1407" s="3" t="n">
        <v>802972</v>
      </c>
      <c r="N1407" s="3" t="s">
        <v>1176</v>
      </c>
      <c r="O1407" s="1" t="n">
        <v>786586</v>
      </c>
      <c r="P1407" s="1" t="n">
        <v>97.96</v>
      </c>
      <c r="Q1407" s="1" t="s">
        <v>20</v>
      </c>
      <c r="R1407" s="1" t="s">
        <v>27</v>
      </c>
      <c r="S1407" s="1" t="s">
        <v>28</v>
      </c>
      <c r="T1407" s="1" t="s">
        <v>29</v>
      </c>
    </row>
    <row r="1408" customFormat="false" ht="18.7" hidden="false" customHeight="true" outlineLevel="0" collapsed="false">
      <c r="A1408" s="1" t="n">
        <v>1407</v>
      </c>
      <c r="B1408" s="6" t="str">
        <f aca="false">HYPERLINK("https://mncourtfraud.com/file/MCRO_27-CR-21-1230_Order-Evaluation for Competency to Proceed (Rule 20.01)_2023-07-18_20240430075414.pdf","MCRO_27-CR-21-1230_Order-Evaluation for Competency to Proceed (Rule 20.01)_2023-07-18_20240430075414.pdf")</f>
        <v>MCRO_27-CR-21-1230_Order-Evaluation for Competency to Proceed (Rule 20.01)_2023-07-18_20240430075414.pdf</v>
      </c>
      <c r="C1408" s="1" t="n">
        <v>5</v>
      </c>
      <c r="D1408" s="1" t="n">
        <v>1</v>
      </c>
      <c r="E1408" s="1" t="n">
        <v>1</v>
      </c>
      <c r="F1408" s="3" t="s">
        <v>20</v>
      </c>
      <c r="G1408" s="3" t="s">
        <v>5820</v>
      </c>
      <c r="H1408" s="1" t="s">
        <v>22</v>
      </c>
      <c r="I1408" s="1" t="n">
        <v>20240430075414</v>
      </c>
      <c r="J1408" s="3" t="s">
        <v>5821</v>
      </c>
      <c r="K1408" s="3" t="s">
        <v>5822</v>
      </c>
      <c r="L1408" s="3" t="s">
        <v>1252</v>
      </c>
      <c r="M1408" s="3" t="n">
        <v>760685</v>
      </c>
      <c r="N1408" s="3" t="s">
        <v>1091</v>
      </c>
      <c r="O1408" s="1" t="n">
        <v>744299</v>
      </c>
      <c r="P1408" s="1" t="n">
        <v>97.85</v>
      </c>
      <c r="Q1408" s="1" t="s">
        <v>20</v>
      </c>
      <c r="R1408" s="1" t="s">
        <v>27</v>
      </c>
      <c r="S1408" s="1" t="s">
        <v>28</v>
      </c>
      <c r="T1408" s="1" t="s">
        <v>29</v>
      </c>
    </row>
    <row r="1409" customFormat="false" ht="18.7" hidden="false" customHeight="true" outlineLevel="0" collapsed="false">
      <c r="A1409" s="1" t="n">
        <v>1408</v>
      </c>
      <c r="B1409" s="6" t="str">
        <f aca="false">HYPERLINK("https://mncourtfraud.com/file/MCRO_27-CR-21-1230_Order-Evaluation for Competency to Proceed (Rule 20.01)_2023-10-10_20240430075409.pdf","MCRO_27-CR-21-1230_Order-Evaluation for Competency to Proceed (Rule 20.01)_2023-10-10_20240430075409.pdf")</f>
        <v>MCRO_27-CR-21-1230_Order-Evaluation for Competency to Proceed (Rule 20.01)_2023-10-10_20240430075409.pdf</v>
      </c>
      <c r="C1409" s="1" t="n">
        <v>5</v>
      </c>
      <c r="D1409" s="1" t="n">
        <v>1</v>
      </c>
      <c r="E1409" s="1" t="n">
        <v>1</v>
      </c>
      <c r="F1409" s="3" t="s">
        <v>20</v>
      </c>
      <c r="G1409" s="3" t="s">
        <v>5823</v>
      </c>
      <c r="H1409" s="1" t="s">
        <v>22</v>
      </c>
      <c r="I1409" s="1" t="n">
        <v>20240430075409</v>
      </c>
      <c r="J1409" s="3" t="s">
        <v>5824</v>
      </c>
      <c r="K1409" s="3" t="s">
        <v>5825</v>
      </c>
      <c r="L1409" s="3" t="s">
        <v>1416</v>
      </c>
      <c r="M1409" s="3" t="n">
        <v>763576</v>
      </c>
      <c r="N1409" s="3" t="s">
        <v>1257</v>
      </c>
      <c r="O1409" s="1" t="n">
        <v>747190</v>
      </c>
      <c r="P1409" s="1" t="n">
        <v>97.85</v>
      </c>
      <c r="Q1409" s="1" t="s">
        <v>20</v>
      </c>
      <c r="R1409" s="1" t="s">
        <v>27</v>
      </c>
      <c r="S1409" s="1" t="s">
        <v>28</v>
      </c>
      <c r="T1409" s="1" t="s">
        <v>29</v>
      </c>
    </row>
    <row r="1410" customFormat="false" ht="18.7" hidden="false" customHeight="true" outlineLevel="0" collapsed="false">
      <c r="A1410" s="1" t="n">
        <v>1409</v>
      </c>
      <c r="B1410" s="6" t="str">
        <f aca="false">HYPERLINK("https://mncourtfraud.com/file/MCRO_27-CR-21-1230_Order-Evaluation for Competency to Proceed (Rule 20.01)_2024-02-12_20240430075405.pdf","MCRO_27-CR-21-1230_Order-Evaluation for Competency to Proceed (Rule 20.01)_2024-02-12_20240430075405.pdf")</f>
        <v>MCRO_27-CR-21-1230_Order-Evaluation for Competency to Proceed (Rule 20.01)_2024-02-12_20240430075405.pdf</v>
      </c>
      <c r="C1410" s="1" t="n">
        <v>4</v>
      </c>
      <c r="D1410" s="1" t="n">
        <v>1</v>
      </c>
      <c r="E1410" s="1" t="n">
        <v>1</v>
      </c>
      <c r="F1410" s="3" t="s">
        <v>20</v>
      </c>
      <c r="G1410" s="3" t="s">
        <v>5826</v>
      </c>
      <c r="H1410" s="1" t="s">
        <v>22</v>
      </c>
      <c r="I1410" s="1" t="n">
        <v>20240430075405</v>
      </c>
      <c r="J1410" s="3" t="s">
        <v>5827</v>
      </c>
      <c r="K1410" s="3" t="s">
        <v>5828</v>
      </c>
      <c r="L1410" s="3" t="s">
        <v>5829</v>
      </c>
      <c r="M1410" s="3" t="n">
        <v>1117423</v>
      </c>
      <c r="N1410" s="3" t="s">
        <v>1128</v>
      </c>
      <c r="O1410" s="1" t="n">
        <v>1101037</v>
      </c>
      <c r="P1410" s="1" t="n">
        <v>98.53</v>
      </c>
      <c r="Q1410" s="1" t="s">
        <v>20</v>
      </c>
      <c r="R1410" s="1" t="s">
        <v>27</v>
      </c>
      <c r="S1410" s="1" t="s">
        <v>28</v>
      </c>
      <c r="T1410" s="1" t="s">
        <v>29</v>
      </c>
    </row>
    <row r="1411" customFormat="false" ht="18.7" hidden="false" customHeight="true" outlineLevel="0" collapsed="false">
      <c r="A1411" s="1" t="n">
        <v>1410</v>
      </c>
      <c r="B1411" s="6" t="str">
        <f aca="false">HYPERLINK("https://mncourtfraud.com/file/MCRO_27-CR-21-1230_Order for Conditional Release_2021-01-21_20240430075457.pdf","MCRO_27-CR-21-1230_Order for Conditional Release_2021-01-21_20240430075457.pdf")</f>
        <v>MCRO_27-CR-21-1230_Order for Conditional Release_2021-01-21_20240430075457.pdf</v>
      </c>
      <c r="C1411" s="1" t="n">
        <v>4</v>
      </c>
      <c r="D1411" s="1" t="n">
        <v>1</v>
      </c>
      <c r="E1411" s="1" t="n">
        <v>1</v>
      </c>
      <c r="F1411" s="3" t="s">
        <v>20</v>
      </c>
      <c r="G1411" s="3" t="s">
        <v>5830</v>
      </c>
      <c r="H1411" s="1" t="s">
        <v>22</v>
      </c>
      <c r="I1411" s="1" t="n">
        <v>20240430075457</v>
      </c>
      <c r="J1411" s="3" t="s">
        <v>5831</v>
      </c>
      <c r="K1411" s="3" t="s">
        <v>5832</v>
      </c>
      <c r="L1411" s="3" t="s">
        <v>5833</v>
      </c>
      <c r="M1411" s="3" t="n">
        <v>858487</v>
      </c>
      <c r="N1411" s="3" t="s">
        <v>456</v>
      </c>
      <c r="O1411" s="1" t="n">
        <v>842101</v>
      </c>
      <c r="P1411" s="1" t="n">
        <v>98.09</v>
      </c>
      <c r="Q1411" s="1" t="s">
        <v>20</v>
      </c>
      <c r="R1411" s="1" t="s">
        <v>27</v>
      </c>
      <c r="S1411" s="1" t="s">
        <v>28</v>
      </c>
      <c r="T1411" s="1" t="s">
        <v>29</v>
      </c>
    </row>
    <row r="1412" customFormat="false" ht="18.7" hidden="false" customHeight="true" outlineLevel="0" collapsed="false">
      <c r="A1412" s="1" t="n">
        <v>1411</v>
      </c>
      <c r="B1412" s="6" t="str">
        <f aca="false">HYPERLINK("https://mncourtfraud.com/file/MCRO_27-CR-21-1230_Order for Conditional Release_2021-03-08_20240430075453.pdf","MCRO_27-CR-21-1230_Order for Conditional Release_2021-03-08_20240430075453.pdf")</f>
        <v>MCRO_27-CR-21-1230_Order for Conditional Release_2021-03-08_20240430075453.pdf</v>
      </c>
      <c r="C1412" s="1" t="n">
        <v>4</v>
      </c>
      <c r="D1412" s="1" t="n">
        <v>1</v>
      </c>
      <c r="E1412" s="1" t="n">
        <v>1</v>
      </c>
      <c r="F1412" s="3" t="s">
        <v>20</v>
      </c>
      <c r="G1412" s="3" t="s">
        <v>5834</v>
      </c>
      <c r="H1412" s="1" t="s">
        <v>22</v>
      </c>
      <c r="I1412" s="1" t="n">
        <v>20240430075453</v>
      </c>
      <c r="J1412" s="3" t="s">
        <v>5835</v>
      </c>
      <c r="K1412" s="3" t="s">
        <v>5836</v>
      </c>
      <c r="L1412" s="3" t="s">
        <v>5837</v>
      </c>
      <c r="M1412" s="3" t="n">
        <v>3147735</v>
      </c>
      <c r="N1412" s="3" t="s">
        <v>456</v>
      </c>
      <c r="O1412" s="1" t="n">
        <v>3131349</v>
      </c>
      <c r="P1412" s="1" t="n">
        <v>99.48</v>
      </c>
      <c r="Q1412" s="1" t="s">
        <v>20</v>
      </c>
      <c r="R1412" s="1" t="s">
        <v>27</v>
      </c>
      <c r="S1412" s="1" t="s">
        <v>28</v>
      </c>
      <c r="T1412" s="1" t="s">
        <v>29</v>
      </c>
    </row>
    <row r="1413" customFormat="false" ht="18.7" hidden="false" customHeight="true" outlineLevel="0" collapsed="false">
      <c r="A1413" s="1" t="n">
        <v>1412</v>
      </c>
      <c r="B1413" s="6" t="str">
        <f aca="false">HYPERLINK("https://mncourtfraud.com/file/MCRO_27-CR-21-1230_Order for Conditional Release_2021-04-20_20240430075450.pdf","MCRO_27-CR-21-1230_Order for Conditional Release_2021-04-20_20240430075450.pdf")</f>
        <v>MCRO_27-CR-21-1230_Order for Conditional Release_2021-04-20_20240430075450.pdf</v>
      </c>
      <c r="C1413" s="1" t="n">
        <v>4</v>
      </c>
      <c r="D1413" s="1" t="n">
        <v>54</v>
      </c>
      <c r="E1413" s="1" t="n">
        <v>2</v>
      </c>
      <c r="F1413" s="3" t="s">
        <v>20</v>
      </c>
      <c r="G1413" s="3" t="s">
        <v>5838</v>
      </c>
      <c r="H1413" s="1" t="s">
        <v>22</v>
      </c>
      <c r="I1413" s="1" t="n">
        <v>20240430075450</v>
      </c>
      <c r="J1413" s="3" t="s">
        <v>5839</v>
      </c>
      <c r="K1413" s="3" t="s">
        <v>5840</v>
      </c>
      <c r="L1413" s="3" t="s">
        <v>5841</v>
      </c>
      <c r="M1413" s="3" t="n">
        <v>313290</v>
      </c>
      <c r="N1413" s="3" t="s">
        <v>5842</v>
      </c>
      <c r="O1413" s="1" t="n">
        <v>296904</v>
      </c>
      <c r="P1413" s="1" t="n">
        <v>94.77</v>
      </c>
      <c r="Q1413" s="1" t="s">
        <v>20</v>
      </c>
      <c r="R1413" s="1" t="s">
        <v>27</v>
      </c>
      <c r="S1413" s="1" t="s">
        <v>28</v>
      </c>
      <c r="T1413" s="1" t="s">
        <v>29</v>
      </c>
    </row>
    <row r="1414" customFormat="false" ht="18.7" hidden="false" customHeight="true" outlineLevel="0" collapsed="false">
      <c r="A1414" s="1" t="n">
        <v>1413</v>
      </c>
      <c r="B1414" s="6" t="str">
        <f aca="false">HYPERLINK("https://mncourtfraud.com/file/MCRO_27-CR-21-1230_Order Forfeiting Cash Bond or Surety Bond_2023-01-12_20240430075436.pdf","MCRO_27-CR-21-1230_Order Forfeiting Cash Bond or Surety Bond_2023-01-12_20240430075436.pdf")</f>
        <v>MCRO_27-CR-21-1230_Order Forfeiting Cash Bond or Surety Bond_2023-01-12_20240430075436.pdf</v>
      </c>
      <c r="C1414" s="1" t="n">
        <v>5</v>
      </c>
      <c r="D1414" s="1" t="n">
        <v>1</v>
      </c>
      <c r="E1414" s="1" t="n">
        <v>1</v>
      </c>
      <c r="F1414" s="3" t="s">
        <v>20</v>
      </c>
      <c r="G1414" s="3" t="s">
        <v>5843</v>
      </c>
      <c r="H1414" s="1" t="s">
        <v>22</v>
      </c>
      <c r="I1414" s="1" t="n">
        <v>20240430075436</v>
      </c>
      <c r="J1414" s="3" t="s">
        <v>5844</v>
      </c>
      <c r="K1414" s="3" t="s">
        <v>5845</v>
      </c>
      <c r="L1414" s="3" t="s">
        <v>5846</v>
      </c>
      <c r="M1414" s="3" t="n">
        <v>226600</v>
      </c>
      <c r="N1414" s="3" t="s">
        <v>5847</v>
      </c>
      <c r="O1414" s="1" t="n">
        <v>210214</v>
      </c>
      <c r="P1414" s="1" t="n">
        <v>92.77</v>
      </c>
      <c r="Q1414" s="1" t="s">
        <v>20</v>
      </c>
      <c r="R1414" s="1" t="s">
        <v>27</v>
      </c>
      <c r="S1414" s="1" t="s">
        <v>28</v>
      </c>
      <c r="T1414" s="1" t="s">
        <v>29</v>
      </c>
    </row>
    <row r="1415" customFormat="false" ht="18.7" hidden="false" customHeight="true" outlineLevel="0" collapsed="false">
      <c r="A1415" s="1" t="n">
        <v>1414</v>
      </c>
      <c r="B1415" s="6" t="str">
        <f aca="false">HYPERLINK("https://mncourtfraud.com/file/MCRO_27-CR-21-1230_Order Reinstating Forfeited Cash or Surety Bond_2023-04-17_20240430075424.pdf","MCRO_27-CR-21-1230_Order Reinstating Forfeited Cash or Surety Bond_2023-04-17_20240430075424.pdf")</f>
        <v>MCRO_27-CR-21-1230_Order Reinstating Forfeited Cash or Surety Bond_2023-04-17_20240430075424.pdf</v>
      </c>
      <c r="C1415" s="1" t="n">
        <v>4</v>
      </c>
      <c r="D1415" s="1" t="n">
        <v>1</v>
      </c>
      <c r="E1415" s="1" t="n">
        <v>1</v>
      </c>
      <c r="F1415" s="3" t="s">
        <v>20</v>
      </c>
      <c r="G1415" s="3" t="s">
        <v>5848</v>
      </c>
      <c r="H1415" s="1" t="s">
        <v>22</v>
      </c>
      <c r="I1415" s="1" t="n">
        <v>20240430075424</v>
      </c>
      <c r="J1415" s="3" t="s">
        <v>5849</v>
      </c>
      <c r="K1415" s="3" t="s">
        <v>5850</v>
      </c>
      <c r="L1415" s="3" t="s">
        <v>5851</v>
      </c>
      <c r="M1415" s="3" t="n">
        <v>169968</v>
      </c>
      <c r="N1415" s="3" t="s">
        <v>104</v>
      </c>
      <c r="O1415" s="1" t="n">
        <v>153582</v>
      </c>
      <c r="P1415" s="1" t="n">
        <v>90.36</v>
      </c>
      <c r="Q1415" s="1" t="s">
        <v>20</v>
      </c>
      <c r="R1415" s="1" t="s">
        <v>27</v>
      </c>
      <c r="S1415" s="1" t="s">
        <v>28</v>
      </c>
      <c r="T1415" s="1" t="s">
        <v>29</v>
      </c>
    </row>
    <row r="1416" customFormat="false" ht="18.7" hidden="false" customHeight="true" outlineLevel="0" collapsed="false">
      <c r="A1416" s="1" t="n">
        <v>1415</v>
      </c>
      <c r="B1416" s="6" t="str">
        <f aca="false">HYPERLINK("https://mncourtfraud.com/file/MCRO_27-CR-21-1230_Order Revoking Interim Conditions of Release_2022-06-23_20240430075440.pdf","MCRO_27-CR-21-1230_Order Revoking Interim Conditions of Release_2022-06-23_20240430075440.pdf")</f>
        <v>MCRO_27-CR-21-1230_Order Revoking Interim Conditions of Release_2022-06-23_20240430075440.pdf</v>
      </c>
      <c r="C1416" s="1" t="n">
        <v>5</v>
      </c>
      <c r="D1416" s="1" t="n">
        <v>3</v>
      </c>
      <c r="E1416" s="1" t="n">
        <v>3</v>
      </c>
      <c r="F1416" s="3" t="s">
        <v>20</v>
      </c>
      <c r="G1416" s="3" t="s">
        <v>5852</v>
      </c>
      <c r="H1416" s="1" t="s">
        <v>22</v>
      </c>
      <c r="I1416" s="1" t="n">
        <v>20240430075440</v>
      </c>
      <c r="J1416" s="3" t="s">
        <v>5853</v>
      </c>
      <c r="K1416" s="3" t="s">
        <v>5854</v>
      </c>
      <c r="L1416" s="3" t="s">
        <v>5855</v>
      </c>
      <c r="M1416" s="3" t="n">
        <v>422301</v>
      </c>
      <c r="N1416" s="3" t="s">
        <v>5856</v>
      </c>
      <c r="O1416" s="1" t="n">
        <v>405915</v>
      </c>
      <c r="P1416" s="1" t="n">
        <v>96.12</v>
      </c>
      <c r="Q1416" s="1" t="s">
        <v>20</v>
      </c>
      <c r="R1416" s="1" t="s">
        <v>27</v>
      </c>
      <c r="S1416" s="1" t="s">
        <v>28</v>
      </c>
      <c r="T1416" s="1" t="s">
        <v>29</v>
      </c>
    </row>
    <row r="1417" customFormat="false" ht="18.7" hidden="false" customHeight="true" outlineLevel="0" collapsed="false">
      <c r="A1417" s="1" t="n">
        <v>1416</v>
      </c>
      <c r="B1417" s="6" t="str">
        <f aca="false">HYPERLINK("https://mncourtfraud.com/file/MCRO_27-CR-21-1230_Order Revoking Interim Conditions of Release_2024-04-05_20240430075402.pdf","MCRO_27-CR-21-1230_Order Revoking Interim Conditions of Release_2024-04-05_20240430075402.pdf")</f>
        <v>MCRO_27-CR-21-1230_Order Revoking Interim Conditions of Release_2024-04-05_20240430075402.pdf</v>
      </c>
      <c r="C1417" s="1" t="n">
        <v>5</v>
      </c>
      <c r="D1417" s="1" t="n">
        <v>3</v>
      </c>
      <c r="E1417" s="1" t="n">
        <v>3</v>
      </c>
      <c r="F1417" s="3" t="s">
        <v>20</v>
      </c>
      <c r="G1417" s="3" t="s">
        <v>5857</v>
      </c>
      <c r="H1417" s="1" t="s">
        <v>22</v>
      </c>
      <c r="I1417" s="1" t="n">
        <v>20240430075402</v>
      </c>
      <c r="J1417" s="3" t="s">
        <v>5858</v>
      </c>
      <c r="K1417" s="3" t="s">
        <v>5859</v>
      </c>
      <c r="L1417" s="3" t="s">
        <v>5860</v>
      </c>
      <c r="M1417" s="3" t="n">
        <v>324029</v>
      </c>
      <c r="N1417" s="3" t="s">
        <v>3404</v>
      </c>
      <c r="O1417" s="1" t="n">
        <v>307643</v>
      </c>
      <c r="P1417" s="1" t="n">
        <v>94.94</v>
      </c>
      <c r="Q1417" s="1" t="s">
        <v>20</v>
      </c>
      <c r="R1417" s="1" t="s">
        <v>27</v>
      </c>
      <c r="S1417" s="1" t="s">
        <v>28</v>
      </c>
      <c r="T1417" s="1" t="s">
        <v>29</v>
      </c>
    </row>
    <row r="1418" customFormat="false" ht="18.7" hidden="false" customHeight="true" outlineLevel="0" collapsed="false">
      <c r="A1418" s="1" t="n">
        <v>1417</v>
      </c>
      <c r="B1418" s="6" t="str">
        <f aca="false">HYPERLINK("https://mncourtfraud.com/file/MCRO_27-CR-21-1230_Petition to Reinstate and Discharge Bond_2023-03-30_20240430075430.pdf","MCRO_27-CR-21-1230_Petition to Reinstate and Discharge Bond_2023-03-30_20240430075430.pdf")</f>
        <v>MCRO_27-CR-21-1230_Petition to Reinstate and Discharge Bond_2023-03-30_20240430075430.pdf</v>
      </c>
      <c r="C1418" s="1" t="n">
        <v>3</v>
      </c>
      <c r="D1418" s="1" t="n">
        <v>1</v>
      </c>
      <c r="E1418" s="1" t="n">
        <v>1</v>
      </c>
      <c r="F1418" s="3" t="s">
        <v>20</v>
      </c>
      <c r="G1418" s="3" t="s">
        <v>5861</v>
      </c>
      <c r="H1418" s="1" t="s">
        <v>22</v>
      </c>
      <c r="I1418" s="1" t="n">
        <v>20240430075430</v>
      </c>
      <c r="J1418" s="3" t="s">
        <v>5862</v>
      </c>
      <c r="K1418" s="3" t="s">
        <v>5863</v>
      </c>
      <c r="L1418" s="3" t="s">
        <v>5864</v>
      </c>
      <c r="M1418" s="3" t="n">
        <v>66285</v>
      </c>
      <c r="N1418" s="3" t="s">
        <v>1489</v>
      </c>
      <c r="O1418" s="1" t="n">
        <v>49899</v>
      </c>
      <c r="P1418" s="1" t="n">
        <v>75.28</v>
      </c>
      <c r="Q1418" s="1" t="s">
        <v>20</v>
      </c>
      <c r="R1418" s="1" t="s">
        <v>27</v>
      </c>
      <c r="S1418" s="1" t="s">
        <v>28</v>
      </c>
      <c r="T1418" s="1" t="s">
        <v>29</v>
      </c>
    </row>
    <row r="1419" customFormat="false" ht="18.7" hidden="false" customHeight="true" outlineLevel="0" collapsed="false">
      <c r="A1419" s="1" t="n">
        <v>1418</v>
      </c>
      <c r="B1419" s="6" t="str">
        <f aca="false">HYPERLINK("https://mncourtfraud.com/file/MCRO_27-CR-21-1230_Proposed Order or Document_2022-06-23_20240430075441.pdf","MCRO_27-CR-21-1230_Proposed Order or Document_2022-06-23_20240430075441.pdf")</f>
        <v>MCRO_27-CR-21-1230_Proposed Order or Document_2022-06-23_20240430075441.pdf</v>
      </c>
      <c r="C1419" s="1" t="n">
        <v>3</v>
      </c>
      <c r="D1419" s="1" t="n">
        <v>1</v>
      </c>
      <c r="E1419" s="1" t="n">
        <v>1</v>
      </c>
      <c r="F1419" s="3" t="s">
        <v>20</v>
      </c>
      <c r="G1419" s="3" t="s">
        <v>5865</v>
      </c>
      <c r="H1419" s="1" t="s">
        <v>22</v>
      </c>
      <c r="I1419" s="1" t="n">
        <v>20240430075441</v>
      </c>
      <c r="J1419" s="3" t="s">
        <v>5866</v>
      </c>
      <c r="K1419" s="3" t="s">
        <v>5867</v>
      </c>
      <c r="L1419" s="3" t="s">
        <v>5868</v>
      </c>
      <c r="M1419" s="3" t="n">
        <v>348681</v>
      </c>
      <c r="N1419" s="3" t="s">
        <v>3085</v>
      </c>
      <c r="O1419" s="1" t="n">
        <v>332295</v>
      </c>
      <c r="P1419" s="1" t="n">
        <v>95.3</v>
      </c>
      <c r="Q1419" s="1" t="s">
        <v>20</v>
      </c>
      <c r="R1419" s="1" t="s">
        <v>27</v>
      </c>
      <c r="S1419" s="1" t="s">
        <v>28</v>
      </c>
      <c r="T1419" s="1" t="s">
        <v>29</v>
      </c>
    </row>
    <row r="1420" customFormat="false" ht="18.7" hidden="false" customHeight="true" outlineLevel="0" collapsed="false">
      <c r="A1420" s="1" t="n">
        <v>1419</v>
      </c>
      <c r="B1420" s="6" t="str">
        <f aca="false">HYPERLINK("https://mncourtfraud.com/file/MCRO_27-CR-21-1230_Proposed Order or Document_2023-03-30_20240430075428.pdf","MCRO_27-CR-21-1230_Proposed Order or Document_2023-03-30_20240430075428.pdf")</f>
        <v>MCRO_27-CR-21-1230_Proposed Order or Document_2023-03-30_20240430075428.pdf</v>
      </c>
      <c r="C1420" s="1" t="n">
        <v>3</v>
      </c>
      <c r="D1420" s="1" t="n">
        <v>1</v>
      </c>
      <c r="E1420" s="1" t="n">
        <v>1</v>
      </c>
      <c r="F1420" s="3" t="s">
        <v>20</v>
      </c>
      <c r="G1420" s="3" t="s">
        <v>5869</v>
      </c>
      <c r="H1420" s="1" t="s">
        <v>22</v>
      </c>
      <c r="I1420" s="1" t="n">
        <v>20240430075428</v>
      </c>
      <c r="J1420" s="3" t="s">
        <v>5870</v>
      </c>
      <c r="K1420" s="3" t="s">
        <v>5871</v>
      </c>
      <c r="L1420" s="3" t="s">
        <v>5872</v>
      </c>
      <c r="M1420" s="3" t="n">
        <v>137706</v>
      </c>
      <c r="N1420" s="3" t="s">
        <v>5873</v>
      </c>
      <c r="O1420" s="1" t="n">
        <v>121320</v>
      </c>
      <c r="P1420" s="1" t="n">
        <v>88.1</v>
      </c>
      <c r="Q1420" s="1" t="s">
        <v>20</v>
      </c>
      <c r="R1420" s="1" t="s">
        <v>27</v>
      </c>
      <c r="S1420" s="1" t="s">
        <v>28</v>
      </c>
      <c r="T1420" s="1" t="s">
        <v>29</v>
      </c>
    </row>
    <row r="1421" customFormat="false" ht="18.7" hidden="false" customHeight="true" outlineLevel="0" collapsed="false">
      <c r="A1421" s="1" t="n">
        <v>1420</v>
      </c>
      <c r="B1421" s="6" t="str">
        <f aca="false">HYPERLINK("https://mncourtfraud.com/file/MCRO_27-CR-21-1230_Proposed Order or Document_2024-04-05_20240430075403.pdf","MCRO_27-CR-21-1230_Proposed Order or Document_2024-04-05_20240430075403.pdf")</f>
        <v>MCRO_27-CR-21-1230_Proposed Order or Document_2024-04-05_20240430075403.pdf</v>
      </c>
      <c r="C1421" s="1" t="n">
        <v>3</v>
      </c>
      <c r="D1421" s="1" t="n">
        <v>1</v>
      </c>
      <c r="E1421" s="1" t="n">
        <v>1</v>
      </c>
      <c r="F1421" s="3" t="s">
        <v>20</v>
      </c>
      <c r="G1421" s="3" t="s">
        <v>5874</v>
      </c>
      <c r="H1421" s="1" t="s">
        <v>22</v>
      </c>
      <c r="I1421" s="1" t="n">
        <v>20240430075403</v>
      </c>
      <c r="J1421" s="3" t="s">
        <v>5875</v>
      </c>
      <c r="K1421" s="3" t="s">
        <v>5876</v>
      </c>
      <c r="L1421" s="3" t="s">
        <v>5877</v>
      </c>
      <c r="M1421" s="3" t="n">
        <v>172754</v>
      </c>
      <c r="N1421" s="3" t="s">
        <v>1316</v>
      </c>
      <c r="O1421" s="1" t="n">
        <v>156368</v>
      </c>
      <c r="P1421" s="1" t="n">
        <v>90.51</v>
      </c>
      <c r="Q1421" s="1" t="s">
        <v>20</v>
      </c>
      <c r="R1421" s="1" t="s">
        <v>27</v>
      </c>
      <c r="S1421" s="1" t="s">
        <v>28</v>
      </c>
      <c r="T1421" s="1" t="s">
        <v>29</v>
      </c>
    </row>
    <row r="1422" customFormat="false" ht="18.7" hidden="false" customHeight="true" outlineLevel="0" collapsed="false">
      <c r="A1422" s="1" t="n">
        <v>1421</v>
      </c>
      <c r="B1422" s="6" t="str">
        <f aca="false">HYPERLINK("https://mncourtfraud.com/file/MCRO_27-CR-21-1230_Returned Mail_2021-02-24_20240430075453.pdf","MCRO_27-CR-21-1230_Returned Mail_2021-02-24_20240430075453.pdf")</f>
        <v>MCRO_27-CR-21-1230_Returned Mail_2021-02-24_20240430075453.pdf</v>
      </c>
      <c r="C1422" s="1" t="n">
        <v>4</v>
      </c>
      <c r="D1422" s="1" t="n">
        <v>1</v>
      </c>
      <c r="E1422" s="1" t="n">
        <v>1</v>
      </c>
      <c r="F1422" s="3" t="s">
        <v>20</v>
      </c>
      <c r="G1422" s="3" t="s">
        <v>5878</v>
      </c>
      <c r="H1422" s="1" t="s">
        <v>22</v>
      </c>
      <c r="I1422" s="1" t="n">
        <v>20240430075453</v>
      </c>
      <c r="J1422" s="3" t="s">
        <v>5879</v>
      </c>
      <c r="K1422" s="3" t="s">
        <v>5880</v>
      </c>
      <c r="L1422" s="3" t="s">
        <v>5881</v>
      </c>
      <c r="M1422" s="3" t="n">
        <v>286895</v>
      </c>
      <c r="N1422" s="3" t="s">
        <v>456</v>
      </c>
      <c r="O1422" s="1" t="n">
        <v>270509</v>
      </c>
      <c r="P1422" s="1" t="n">
        <v>94.29</v>
      </c>
      <c r="Q1422" s="1" t="s">
        <v>20</v>
      </c>
      <c r="R1422" s="1" t="s">
        <v>27</v>
      </c>
      <c r="S1422" s="1" t="s">
        <v>28</v>
      </c>
      <c r="T1422" s="1" t="s">
        <v>29</v>
      </c>
    </row>
    <row r="1423" customFormat="false" ht="18.7" hidden="false" customHeight="true" outlineLevel="0" collapsed="false">
      <c r="A1423" s="1" t="n">
        <v>1422</v>
      </c>
      <c r="B1423" s="6" t="str">
        <f aca="false">HYPERLINK("https://mncourtfraud.com/file/MCRO_27-CR-21-1230_Returned Mail_2021-07-22_20240430075445.pdf","MCRO_27-CR-21-1230_Returned Mail_2021-07-22_20240430075445.pdf")</f>
        <v>MCRO_27-CR-21-1230_Returned Mail_2021-07-22_20240430075445.pdf</v>
      </c>
      <c r="C1423" s="1" t="n">
        <v>4</v>
      </c>
      <c r="D1423" s="1" t="n">
        <v>1</v>
      </c>
      <c r="E1423" s="1" t="n">
        <v>1</v>
      </c>
      <c r="F1423" s="3" t="s">
        <v>20</v>
      </c>
      <c r="G1423" s="3" t="s">
        <v>5882</v>
      </c>
      <c r="H1423" s="1" t="s">
        <v>22</v>
      </c>
      <c r="I1423" s="1" t="n">
        <v>20240430075445</v>
      </c>
      <c r="J1423" s="3" t="s">
        <v>5883</v>
      </c>
      <c r="K1423" s="3" t="s">
        <v>5884</v>
      </c>
      <c r="L1423" s="3" t="s">
        <v>5885</v>
      </c>
      <c r="M1423" s="3" t="n">
        <v>146662</v>
      </c>
      <c r="N1423" s="3" t="s">
        <v>456</v>
      </c>
      <c r="O1423" s="1" t="n">
        <v>130276</v>
      </c>
      <c r="P1423" s="1" t="n">
        <v>88.83</v>
      </c>
      <c r="Q1423" s="1" t="s">
        <v>20</v>
      </c>
      <c r="R1423" s="1" t="s">
        <v>27</v>
      </c>
      <c r="S1423" s="1" t="s">
        <v>28</v>
      </c>
      <c r="T1423" s="1" t="s">
        <v>29</v>
      </c>
    </row>
    <row r="1424" customFormat="false" ht="18.7" hidden="false" customHeight="true" outlineLevel="0" collapsed="false">
      <c r="A1424" s="1" t="n">
        <v>1423</v>
      </c>
      <c r="B1424" s="6" t="str">
        <f aca="false">HYPERLINK("https://mncourtfraud.com/file/MCRO_27-CR-21-1230_Returned Mail_2023-04-17_20240430075422.pdf","MCRO_27-CR-21-1230_Returned Mail_2023-04-17_20240430075422.pdf")</f>
        <v>MCRO_27-CR-21-1230_Returned Mail_2023-04-17_20240430075422.pdf</v>
      </c>
      <c r="C1424" s="1" t="n">
        <v>4</v>
      </c>
      <c r="D1424" s="1" t="n">
        <v>1</v>
      </c>
      <c r="E1424" s="1" t="n">
        <v>1</v>
      </c>
      <c r="F1424" s="3" t="s">
        <v>20</v>
      </c>
      <c r="G1424" s="3" t="s">
        <v>5886</v>
      </c>
      <c r="H1424" s="1" t="s">
        <v>22</v>
      </c>
      <c r="I1424" s="1" t="n">
        <v>20240430075422</v>
      </c>
      <c r="J1424" s="3" t="s">
        <v>5887</v>
      </c>
      <c r="K1424" s="3" t="s">
        <v>5888</v>
      </c>
      <c r="L1424" s="3" t="s">
        <v>1457</v>
      </c>
      <c r="M1424" s="3" t="n">
        <v>235084</v>
      </c>
      <c r="N1424" s="3" t="s">
        <v>119</v>
      </c>
      <c r="O1424" s="1" t="n">
        <v>218698</v>
      </c>
      <c r="P1424" s="1" t="n">
        <v>93.03</v>
      </c>
      <c r="Q1424" s="1" t="s">
        <v>20</v>
      </c>
      <c r="R1424" s="1" t="s">
        <v>27</v>
      </c>
      <c r="S1424" s="1" t="s">
        <v>28</v>
      </c>
      <c r="T1424" s="1" t="s">
        <v>29</v>
      </c>
    </row>
    <row r="1425" customFormat="false" ht="18.7" hidden="false" customHeight="true" outlineLevel="0" collapsed="false">
      <c r="A1425" s="1" t="n">
        <v>1424</v>
      </c>
      <c r="B1425" s="6" t="str">
        <f aca="false">HYPERLINK("https://mncourtfraud.com/file/MCRO_27-CR-21-1230_Returned Mail_2024-04-16_20240430075359.pdf","MCRO_27-CR-21-1230_Returned Mail_2024-04-16_20240430075359.pdf")</f>
        <v>MCRO_27-CR-21-1230_Returned Mail_2024-04-16_20240430075359.pdf</v>
      </c>
      <c r="C1425" s="1" t="n">
        <v>4</v>
      </c>
      <c r="D1425" s="1" t="n">
        <v>1</v>
      </c>
      <c r="E1425" s="1" t="n">
        <v>1</v>
      </c>
      <c r="F1425" s="3" t="s">
        <v>20</v>
      </c>
      <c r="G1425" s="3" t="s">
        <v>5889</v>
      </c>
      <c r="H1425" s="1" t="s">
        <v>22</v>
      </c>
      <c r="I1425" s="1" t="n">
        <v>20240430075359</v>
      </c>
      <c r="J1425" s="3" t="s">
        <v>5890</v>
      </c>
      <c r="K1425" s="3" t="s">
        <v>5891</v>
      </c>
      <c r="L1425" s="3" t="s">
        <v>5892</v>
      </c>
      <c r="M1425" s="3" t="n">
        <v>110387</v>
      </c>
      <c r="N1425" s="3" t="s">
        <v>1159</v>
      </c>
      <c r="O1425" s="1" t="n">
        <v>94001</v>
      </c>
      <c r="P1425" s="1" t="n">
        <v>85.16</v>
      </c>
      <c r="Q1425" s="1" t="s">
        <v>20</v>
      </c>
      <c r="R1425" s="1" t="s">
        <v>27</v>
      </c>
      <c r="S1425" s="1" t="s">
        <v>28</v>
      </c>
      <c r="T1425" s="1" t="s">
        <v>29</v>
      </c>
    </row>
    <row r="1426" customFormat="false" ht="18.7" hidden="false" customHeight="true" outlineLevel="0" collapsed="false">
      <c r="A1426" s="1" t="n">
        <v>1425</v>
      </c>
      <c r="B1426" s="6" t="str">
        <f aca="false">HYPERLINK("https://mncourtfraud.com/file/MCRO_27-CR-21-1230_Witness List_2022-10-14_20240430075439.pdf","MCRO_27-CR-21-1230_Witness List_2022-10-14_20240430075439.pdf")</f>
        <v>MCRO_27-CR-21-1230_Witness List_2022-10-14_20240430075439.pdf</v>
      </c>
      <c r="C1426" s="1" t="n">
        <v>3</v>
      </c>
      <c r="D1426" s="1" t="n">
        <v>1</v>
      </c>
      <c r="E1426" s="1" t="n">
        <v>1</v>
      </c>
      <c r="F1426" s="3" t="s">
        <v>20</v>
      </c>
      <c r="G1426" s="3" t="s">
        <v>5893</v>
      </c>
      <c r="H1426" s="1" t="s">
        <v>22</v>
      </c>
      <c r="I1426" s="1" t="n">
        <v>20240430075439</v>
      </c>
      <c r="J1426" s="3" t="s">
        <v>5894</v>
      </c>
      <c r="K1426" s="3" t="s">
        <v>5895</v>
      </c>
      <c r="L1426" s="3" t="s">
        <v>5896</v>
      </c>
      <c r="M1426" s="3" t="n">
        <v>97721</v>
      </c>
      <c r="N1426" s="3" t="s">
        <v>5024</v>
      </c>
      <c r="O1426" s="1" t="n">
        <v>81335</v>
      </c>
      <c r="P1426" s="1" t="n">
        <v>83.23</v>
      </c>
      <c r="Q1426" s="1" t="s">
        <v>20</v>
      </c>
      <c r="R1426" s="1" t="s">
        <v>27</v>
      </c>
      <c r="S1426" s="1" t="s">
        <v>28</v>
      </c>
      <c r="T1426" s="1" t="s">
        <v>29</v>
      </c>
    </row>
    <row r="1427" customFormat="false" ht="18.7" hidden="false" customHeight="true" outlineLevel="0" collapsed="false">
      <c r="A1427" s="1" t="n">
        <v>1426</v>
      </c>
      <c r="B1427" s="6" t="str">
        <f aca="false">HYPERLINK("https://mncourtfraud.com/file/MCRO_27-CR-21-13752_Affidavit in Support of Petition_2023-03-21_20240430082341.pdf","MCRO_27-CR-21-13752_Affidavit in Support of Petition_2023-03-21_20240430082341.pdf")</f>
        <v>MCRO_27-CR-21-13752_Affidavit in Support of Petition_2023-03-21_20240430082341.pdf</v>
      </c>
      <c r="C1427" s="1" t="n">
        <v>3</v>
      </c>
      <c r="D1427" s="1" t="n">
        <v>1</v>
      </c>
      <c r="E1427" s="1" t="n">
        <v>1</v>
      </c>
      <c r="F1427" s="3" t="s">
        <v>20</v>
      </c>
      <c r="G1427" s="3" t="s">
        <v>5897</v>
      </c>
      <c r="H1427" s="1" t="s">
        <v>22</v>
      </c>
      <c r="I1427" s="1" t="n">
        <v>20240430082341</v>
      </c>
      <c r="J1427" s="3" t="s">
        <v>5898</v>
      </c>
      <c r="K1427" s="3" t="s">
        <v>5899</v>
      </c>
      <c r="L1427" s="3" t="s">
        <v>5900</v>
      </c>
      <c r="M1427" s="3" t="n">
        <v>186880</v>
      </c>
      <c r="N1427" s="3" t="s">
        <v>1673</v>
      </c>
      <c r="O1427" s="1" t="n">
        <v>170494</v>
      </c>
      <c r="P1427" s="1" t="n">
        <v>91.23</v>
      </c>
      <c r="Q1427" s="1" t="s">
        <v>20</v>
      </c>
      <c r="R1427" s="1" t="s">
        <v>27</v>
      </c>
      <c r="S1427" s="1" t="s">
        <v>28</v>
      </c>
      <c r="T1427" s="1" t="s">
        <v>29</v>
      </c>
    </row>
    <row r="1428" customFormat="false" ht="18.7" hidden="false" customHeight="true" outlineLevel="0" collapsed="false">
      <c r="A1428" s="1" t="n">
        <v>1427</v>
      </c>
      <c r="B1428" s="6" t="str">
        <f aca="false">HYPERLINK("https://mncourtfraud.com/file/MCRO_27-CR-21-13752_Affidavit of Mailing_2023-03-21_20240430082338.pdf","MCRO_27-CR-21-13752_Affidavit of Mailing_2023-03-21_20240430082338.pdf")</f>
        <v>MCRO_27-CR-21-13752_Affidavit of Mailing_2023-03-21_20240430082338.pdf</v>
      </c>
      <c r="C1428" s="1" t="n">
        <v>3</v>
      </c>
      <c r="D1428" s="1" t="n">
        <v>1</v>
      </c>
      <c r="E1428" s="1" t="n">
        <v>1</v>
      </c>
      <c r="F1428" s="3" t="s">
        <v>20</v>
      </c>
      <c r="G1428" s="3" t="s">
        <v>5901</v>
      </c>
      <c r="H1428" s="1" t="s">
        <v>22</v>
      </c>
      <c r="I1428" s="1" t="n">
        <v>20240430082338</v>
      </c>
      <c r="J1428" s="3" t="s">
        <v>5902</v>
      </c>
      <c r="K1428" s="3" t="s">
        <v>5903</v>
      </c>
      <c r="L1428" s="3" t="s">
        <v>5904</v>
      </c>
      <c r="M1428" s="3" t="n">
        <v>65289</v>
      </c>
      <c r="N1428" s="3" t="s">
        <v>4614</v>
      </c>
      <c r="O1428" s="1" t="n">
        <v>48903</v>
      </c>
      <c r="P1428" s="1" t="n">
        <v>74.9</v>
      </c>
      <c r="Q1428" s="1" t="s">
        <v>20</v>
      </c>
      <c r="R1428" s="1" t="s">
        <v>27</v>
      </c>
      <c r="S1428" s="1" t="s">
        <v>28</v>
      </c>
      <c r="T1428" s="1" t="s">
        <v>29</v>
      </c>
    </row>
    <row r="1429" customFormat="false" ht="18.7" hidden="false" customHeight="true" outlineLevel="0" collapsed="false">
      <c r="A1429" s="1" t="n">
        <v>1428</v>
      </c>
      <c r="B1429" s="6" t="str">
        <f aca="false">HYPERLINK("https://mncourtfraud.com/file/MCRO_27-CR-21-13752_Certificate of Representation_2023-03-21_20240430082343.pdf","MCRO_27-CR-21-13752_Certificate of Representation_2023-03-21_20240430082343.pdf")</f>
        <v>MCRO_27-CR-21-13752_Certificate of Representation_2023-03-21_20240430082343.pdf</v>
      </c>
      <c r="C1429" s="1" t="n">
        <v>3</v>
      </c>
      <c r="D1429" s="1" t="n">
        <v>1</v>
      </c>
      <c r="E1429" s="1" t="n">
        <v>1</v>
      </c>
      <c r="F1429" s="3" t="s">
        <v>20</v>
      </c>
      <c r="G1429" s="3" t="s">
        <v>5905</v>
      </c>
      <c r="H1429" s="1" t="s">
        <v>22</v>
      </c>
      <c r="I1429" s="1" t="n">
        <v>20240430082343</v>
      </c>
      <c r="J1429" s="3" t="s">
        <v>5906</v>
      </c>
      <c r="K1429" s="3" t="s">
        <v>5907</v>
      </c>
      <c r="L1429" s="3" t="s">
        <v>5908</v>
      </c>
      <c r="M1429" s="3" t="n">
        <v>85136</v>
      </c>
      <c r="N1429" s="3" t="s">
        <v>481</v>
      </c>
      <c r="O1429" s="1" t="n">
        <v>68750</v>
      </c>
      <c r="P1429" s="1" t="n">
        <v>80.75</v>
      </c>
      <c r="Q1429" s="1" t="s">
        <v>20</v>
      </c>
      <c r="R1429" s="1" t="s">
        <v>27</v>
      </c>
      <c r="S1429" s="1" t="s">
        <v>28</v>
      </c>
      <c r="T1429" s="1" t="s">
        <v>29</v>
      </c>
    </row>
    <row r="1430" customFormat="false" ht="18.7" hidden="false" customHeight="true" outlineLevel="0" collapsed="false">
      <c r="A1430" s="1" t="n">
        <v>1429</v>
      </c>
      <c r="B1430" s="6" t="str">
        <f aca="false">HYPERLINK("https://mncourtfraud.com/file/MCRO_27-CR-21-13752_Correspondence_2023-03-21_20240430082344.pdf","MCRO_27-CR-21-13752_Correspondence_2023-03-21_20240430082344.pdf")</f>
        <v>MCRO_27-CR-21-13752_Correspondence_2023-03-21_20240430082344.pdf</v>
      </c>
      <c r="C1430" s="1" t="n">
        <v>3</v>
      </c>
      <c r="D1430" s="1" t="n">
        <v>1</v>
      </c>
      <c r="E1430" s="1" t="n">
        <v>1</v>
      </c>
      <c r="F1430" s="3" t="s">
        <v>20</v>
      </c>
      <c r="G1430" s="3" t="s">
        <v>5909</v>
      </c>
      <c r="H1430" s="1" t="s">
        <v>22</v>
      </c>
      <c r="I1430" s="1" t="n">
        <v>20240430082344</v>
      </c>
      <c r="J1430" s="3" t="s">
        <v>5910</v>
      </c>
      <c r="K1430" s="3" t="s">
        <v>5911</v>
      </c>
      <c r="L1430" s="3" t="s">
        <v>5912</v>
      </c>
      <c r="M1430" s="3" t="n">
        <v>141384</v>
      </c>
      <c r="N1430" s="3" t="s">
        <v>3668</v>
      </c>
      <c r="O1430" s="1" t="n">
        <v>124998</v>
      </c>
      <c r="P1430" s="1" t="n">
        <v>88.41</v>
      </c>
      <c r="Q1430" s="1" t="s">
        <v>20</v>
      </c>
      <c r="R1430" s="1" t="s">
        <v>27</v>
      </c>
      <c r="S1430" s="1" t="s">
        <v>28</v>
      </c>
      <c r="T1430" s="1" t="s">
        <v>29</v>
      </c>
    </row>
    <row r="1431" customFormat="false" ht="18.7" hidden="false" customHeight="true" outlineLevel="0" collapsed="false">
      <c r="A1431" s="1" t="n">
        <v>1430</v>
      </c>
      <c r="B1431" s="6" t="str">
        <f aca="false">HYPERLINK("https://mncourtfraud.com/file/MCRO_27-CR-21-13752_Demand or Request for Discovery_2021-08-02_20240430082359.pdf","MCRO_27-CR-21-13752_Demand or Request for Discovery_2021-08-02_20240430082359.pdf")</f>
        <v>MCRO_27-CR-21-13752_Demand or Request for Discovery_2021-08-02_20240430082359.pdf</v>
      </c>
      <c r="C1431" s="1" t="n">
        <v>3</v>
      </c>
      <c r="D1431" s="1" t="n">
        <v>1</v>
      </c>
      <c r="E1431" s="1" t="n">
        <v>1</v>
      </c>
      <c r="F1431" s="3" t="s">
        <v>20</v>
      </c>
      <c r="G1431" s="3" t="s">
        <v>5913</v>
      </c>
      <c r="H1431" s="1" t="s">
        <v>22</v>
      </c>
      <c r="I1431" s="1" t="n">
        <v>20240430082359</v>
      </c>
      <c r="J1431" s="3" t="s">
        <v>5914</v>
      </c>
      <c r="K1431" s="3" t="s">
        <v>5915</v>
      </c>
      <c r="L1431" s="3" t="s">
        <v>5916</v>
      </c>
      <c r="M1431" s="3" t="n">
        <v>303575</v>
      </c>
      <c r="N1431" s="3" t="s">
        <v>5917</v>
      </c>
      <c r="O1431" s="1" t="n">
        <v>287189</v>
      </c>
      <c r="P1431" s="1" t="n">
        <v>94.6</v>
      </c>
      <c r="Q1431" s="1" t="s">
        <v>20</v>
      </c>
      <c r="R1431" s="1" t="s">
        <v>27</v>
      </c>
      <c r="S1431" s="1" t="s">
        <v>28</v>
      </c>
      <c r="T1431" s="1" t="s">
        <v>29</v>
      </c>
    </row>
    <row r="1432" customFormat="false" ht="18.7" hidden="false" customHeight="true" outlineLevel="0" collapsed="false">
      <c r="A1432" s="1" t="n">
        <v>1431</v>
      </c>
      <c r="B1432" s="6" t="str">
        <f aca="false">HYPERLINK("https://mncourtfraud.com/file/MCRO_27-CR-21-13752_E-filed Comp-Order for Detention_2021-07-23_20240430082403.pdf","MCRO_27-CR-21-13752_E-filed Comp-Order for Detention_2021-07-23_20240430082403.pdf")</f>
        <v>MCRO_27-CR-21-13752_E-filed Comp-Order for Detention_2021-07-23_20240430082403.pdf</v>
      </c>
      <c r="C1432" s="1" t="n">
        <v>4</v>
      </c>
      <c r="D1432" s="1" t="n">
        <v>2</v>
      </c>
      <c r="E1432" s="1" t="n">
        <v>2</v>
      </c>
      <c r="F1432" s="3" t="s">
        <v>20</v>
      </c>
      <c r="G1432" s="3" t="s">
        <v>5918</v>
      </c>
      <c r="H1432" s="1" t="s">
        <v>22</v>
      </c>
      <c r="I1432" s="1" t="n">
        <v>20240430082403</v>
      </c>
      <c r="J1432" s="3" t="s">
        <v>5919</v>
      </c>
      <c r="K1432" s="3" t="s">
        <v>5920</v>
      </c>
      <c r="L1432" s="3" t="s">
        <v>5921</v>
      </c>
      <c r="M1432" s="3" t="n">
        <v>504645</v>
      </c>
      <c r="N1432" s="3" t="s">
        <v>3480</v>
      </c>
      <c r="O1432" s="1" t="n">
        <v>488259</v>
      </c>
      <c r="P1432" s="1" t="n">
        <v>96.75</v>
      </c>
      <c r="Q1432" s="1" t="s">
        <v>20</v>
      </c>
      <c r="R1432" s="1" t="s">
        <v>27</v>
      </c>
      <c r="S1432" s="1" t="s">
        <v>28</v>
      </c>
      <c r="T1432" s="1" t="s">
        <v>29</v>
      </c>
    </row>
    <row r="1433" customFormat="false" ht="18.7" hidden="false" customHeight="true" outlineLevel="0" collapsed="false">
      <c r="A1433" s="1" t="n">
        <v>1432</v>
      </c>
      <c r="B1433" s="6" t="str">
        <f aca="false">HYPERLINK("https://mncourtfraud.com/file/MCRO_27-CR-21-13752_Law Enforcement Bail Bond Receipt_2024-04-03_20240430082316.pdf","MCRO_27-CR-21-13752_Law Enforcement Bail Bond Receipt_2024-04-03_20240430082316.pdf")</f>
        <v>MCRO_27-CR-21-13752_Law Enforcement Bail Bond Receipt_2024-04-03_20240430082316.pdf</v>
      </c>
      <c r="C1433" s="1" t="n">
        <v>4</v>
      </c>
      <c r="D1433" s="1" t="n">
        <v>1</v>
      </c>
      <c r="E1433" s="1" t="n">
        <v>1</v>
      </c>
      <c r="F1433" s="3" t="s">
        <v>20</v>
      </c>
      <c r="G1433" s="3" t="s">
        <v>5922</v>
      </c>
      <c r="H1433" s="1" t="s">
        <v>22</v>
      </c>
      <c r="I1433" s="1" t="n">
        <v>20240430082316</v>
      </c>
      <c r="J1433" s="3" t="s">
        <v>5923</v>
      </c>
      <c r="K1433" s="3" t="s">
        <v>5924</v>
      </c>
      <c r="L1433" s="3" t="s">
        <v>5925</v>
      </c>
      <c r="M1433" s="3" t="n">
        <v>233338</v>
      </c>
      <c r="N1433" s="3" t="s">
        <v>1159</v>
      </c>
      <c r="O1433" s="1" t="n">
        <v>216952</v>
      </c>
      <c r="P1433" s="1" t="n">
        <v>92.98</v>
      </c>
      <c r="Q1433" s="1" t="s">
        <v>20</v>
      </c>
      <c r="R1433" s="1" t="s">
        <v>27</v>
      </c>
      <c r="S1433" s="1" t="s">
        <v>28</v>
      </c>
      <c r="T1433" s="1" t="s">
        <v>29</v>
      </c>
    </row>
    <row r="1434" customFormat="false" ht="18.7" hidden="false" customHeight="true" outlineLevel="0" collapsed="false">
      <c r="A1434" s="1" t="n">
        <v>1433</v>
      </c>
      <c r="B1434" s="6" t="str">
        <f aca="false">HYPERLINK("https://mncourtfraud.com/file/MCRO_27-CR-21-13752_Non-Cash Bond Posted_2021-10-14_20240430082353.pdf","MCRO_27-CR-21-13752_Non-Cash Bond Posted_2021-10-14_20240430082353.pdf")</f>
        <v>MCRO_27-CR-21-13752_Non-Cash Bond Posted_2021-10-14_20240430082353.pdf</v>
      </c>
      <c r="C1434" s="1" t="n">
        <v>4</v>
      </c>
      <c r="D1434" s="1" t="n">
        <v>1</v>
      </c>
      <c r="E1434" s="1" t="n">
        <v>1</v>
      </c>
      <c r="F1434" s="3" t="s">
        <v>20</v>
      </c>
      <c r="G1434" s="3" t="s">
        <v>5926</v>
      </c>
      <c r="H1434" s="1" t="s">
        <v>22</v>
      </c>
      <c r="I1434" s="1" t="n">
        <v>20240430082353</v>
      </c>
      <c r="J1434" s="3" t="s">
        <v>5927</v>
      </c>
      <c r="K1434" s="3" t="s">
        <v>5928</v>
      </c>
      <c r="L1434" s="3" t="s">
        <v>5929</v>
      </c>
      <c r="M1434" s="3" t="n">
        <v>241500</v>
      </c>
      <c r="N1434" s="3" t="s">
        <v>1065</v>
      </c>
      <c r="O1434" s="1" t="n">
        <v>225114</v>
      </c>
      <c r="P1434" s="1" t="n">
        <v>93.21</v>
      </c>
      <c r="Q1434" s="1" t="s">
        <v>20</v>
      </c>
      <c r="R1434" s="1" t="s">
        <v>27</v>
      </c>
      <c r="S1434" s="1" t="s">
        <v>28</v>
      </c>
      <c r="T1434" s="1" t="s">
        <v>29</v>
      </c>
    </row>
    <row r="1435" customFormat="false" ht="18.7" hidden="false" customHeight="true" outlineLevel="0" collapsed="false">
      <c r="A1435" s="1" t="n">
        <v>1434</v>
      </c>
      <c r="B1435" s="6" t="str">
        <f aca="false">HYPERLINK("https://mncourtfraud.com/file/MCRO_27-CR-21-13752_Notice of Bond Forfeiture_2023-01-13_20240430082346.pdf","MCRO_27-CR-21-13752_Notice of Bond Forfeiture_2023-01-13_20240430082346.pdf")</f>
        <v>MCRO_27-CR-21-13752_Notice of Bond Forfeiture_2023-01-13_20240430082346.pdf</v>
      </c>
      <c r="C1435" s="1" t="n">
        <v>5</v>
      </c>
      <c r="D1435" s="1" t="n">
        <v>1</v>
      </c>
      <c r="E1435" s="1" t="n">
        <v>1</v>
      </c>
      <c r="F1435" s="3" t="s">
        <v>20</v>
      </c>
      <c r="G1435" s="3" t="s">
        <v>5930</v>
      </c>
      <c r="H1435" s="1" t="s">
        <v>22</v>
      </c>
      <c r="I1435" s="1" t="n">
        <v>20240430082346</v>
      </c>
      <c r="J1435" s="3" t="s">
        <v>5931</v>
      </c>
      <c r="K1435" s="3" t="s">
        <v>5932</v>
      </c>
      <c r="L1435" s="3" t="s">
        <v>5933</v>
      </c>
      <c r="M1435" s="3" t="n">
        <v>764725</v>
      </c>
      <c r="N1435" s="3" t="s">
        <v>3917</v>
      </c>
      <c r="O1435" s="1" t="n">
        <v>748339</v>
      </c>
      <c r="P1435" s="1" t="n">
        <v>97.86</v>
      </c>
      <c r="Q1435" s="1" t="s">
        <v>20</v>
      </c>
      <c r="R1435" s="1" t="s">
        <v>27</v>
      </c>
      <c r="S1435" s="1" t="s">
        <v>28</v>
      </c>
      <c r="T1435" s="1" t="s">
        <v>29</v>
      </c>
    </row>
    <row r="1436" customFormat="false" ht="18.7" hidden="false" customHeight="true" outlineLevel="0" collapsed="false">
      <c r="A1436" s="1" t="n">
        <v>1435</v>
      </c>
      <c r="B1436" s="6" t="str">
        <f aca="false">HYPERLINK("https://mncourtfraud.com/file/MCRO_27-CR-21-13752_Notice of Case Reassignment_2021-08-25_20240430082358.pdf","MCRO_27-CR-21-13752_Notice of Case Reassignment_2021-08-25_20240430082358.pdf")</f>
        <v>MCRO_27-CR-21-13752_Notice of Case Reassignment_2021-08-25_20240430082358.pdf</v>
      </c>
      <c r="C1436" s="1" t="n">
        <v>4</v>
      </c>
      <c r="D1436" s="1" t="n">
        <v>1</v>
      </c>
      <c r="E1436" s="1" t="n">
        <v>1</v>
      </c>
      <c r="F1436" s="3" t="s">
        <v>20</v>
      </c>
      <c r="G1436" s="3" t="s">
        <v>5934</v>
      </c>
      <c r="H1436" s="1" t="s">
        <v>22</v>
      </c>
      <c r="I1436" s="1" t="n">
        <v>20240430082358</v>
      </c>
      <c r="J1436" s="3" t="s">
        <v>5935</v>
      </c>
      <c r="K1436" s="3" t="s">
        <v>5936</v>
      </c>
      <c r="L1436" s="3" t="s">
        <v>5937</v>
      </c>
      <c r="M1436" s="3" t="n">
        <v>337095</v>
      </c>
      <c r="N1436" s="3" t="s">
        <v>456</v>
      </c>
      <c r="O1436" s="1" t="n">
        <v>320709</v>
      </c>
      <c r="P1436" s="1" t="n">
        <v>95.14</v>
      </c>
      <c r="Q1436" s="1" t="s">
        <v>20</v>
      </c>
      <c r="R1436" s="1" t="s">
        <v>27</v>
      </c>
      <c r="S1436" s="1" t="s">
        <v>28</v>
      </c>
      <c r="T1436" s="1" t="s">
        <v>29</v>
      </c>
    </row>
    <row r="1437" customFormat="false" ht="18.7" hidden="false" customHeight="true" outlineLevel="0" collapsed="false">
      <c r="A1437" s="1" t="n">
        <v>1436</v>
      </c>
      <c r="B1437" s="6" t="str">
        <f aca="false">HYPERLINK("https://mncourtfraud.com/file/MCRO_27-CR-21-13752_Notice of Case Reassignment_2022-04-29_20240430082352.pdf","MCRO_27-CR-21-13752_Notice of Case Reassignment_2022-04-29_20240430082352.pdf")</f>
        <v>MCRO_27-CR-21-13752_Notice of Case Reassignment_2022-04-29_20240430082352.pdf</v>
      </c>
      <c r="C1437" s="1" t="n">
        <v>4</v>
      </c>
      <c r="D1437" s="1" t="n">
        <v>1</v>
      </c>
      <c r="E1437" s="1" t="n">
        <v>1</v>
      </c>
      <c r="F1437" s="3" t="s">
        <v>20</v>
      </c>
      <c r="G1437" s="3" t="s">
        <v>5938</v>
      </c>
      <c r="H1437" s="1" t="s">
        <v>22</v>
      </c>
      <c r="I1437" s="1" t="n">
        <v>20240430082352</v>
      </c>
      <c r="J1437" s="3" t="s">
        <v>5939</v>
      </c>
      <c r="K1437" s="3" t="s">
        <v>5940</v>
      </c>
      <c r="L1437" s="3" t="s">
        <v>5941</v>
      </c>
      <c r="M1437" s="3" t="n">
        <v>92596</v>
      </c>
      <c r="N1437" s="3" t="s">
        <v>456</v>
      </c>
      <c r="O1437" s="1" t="n">
        <v>76210</v>
      </c>
      <c r="P1437" s="1" t="n">
        <v>82.3</v>
      </c>
      <c r="Q1437" s="1" t="s">
        <v>20</v>
      </c>
      <c r="R1437" s="1" t="s">
        <v>27</v>
      </c>
      <c r="S1437" s="1" t="s">
        <v>28</v>
      </c>
      <c r="T1437" s="1" t="s">
        <v>29</v>
      </c>
    </row>
    <row r="1438" customFormat="false" ht="18.7" hidden="false" customHeight="true" outlineLevel="0" collapsed="false">
      <c r="A1438" s="1" t="n">
        <v>1437</v>
      </c>
      <c r="B1438" s="6" t="str">
        <f aca="false">HYPERLINK("https://mncourtfraud.com/file/MCRO_27-CR-21-13752_Notice of Case Reassignment_2022-12-16_20240430082348.pdf","MCRO_27-CR-21-13752_Notice of Case Reassignment_2022-12-16_20240430082348.pdf")</f>
        <v>MCRO_27-CR-21-13752_Notice of Case Reassignment_2022-12-16_20240430082348.pdf</v>
      </c>
      <c r="C1438" s="1" t="n">
        <v>4</v>
      </c>
      <c r="D1438" s="1" t="n">
        <v>1</v>
      </c>
      <c r="E1438" s="1" t="n">
        <v>1</v>
      </c>
      <c r="F1438" s="3" t="s">
        <v>20</v>
      </c>
      <c r="G1438" s="3" t="s">
        <v>5942</v>
      </c>
      <c r="H1438" s="1" t="s">
        <v>22</v>
      </c>
      <c r="I1438" s="1" t="n">
        <v>20240430082348</v>
      </c>
      <c r="J1438" s="3" t="s">
        <v>5943</v>
      </c>
      <c r="K1438" s="3" t="s">
        <v>5944</v>
      </c>
      <c r="L1438" s="3" t="s">
        <v>5945</v>
      </c>
      <c r="M1438" s="3" t="n">
        <v>290403</v>
      </c>
      <c r="N1438" s="3" t="s">
        <v>158</v>
      </c>
      <c r="O1438" s="1" t="n">
        <v>274017</v>
      </c>
      <c r="P1438" s="1" t="n">
        <v>94.36</v>
      </c>
      <c r="Q1438" s="1" t="s">
        <v>20</v>
      </c>
      <c r="R1438" s="1" t="s">
        <v>27</v>
      </c>
      <c r="S1438" s="1" t="s">
        <v>28</v>
      </c>
      <c r="T1438" s="1" t="s">
        <v>29</v>
      </c>
    </row>
    <row r="1439" customFormat="false" ht="18.7" hidden="false" customHeight="true" outlineLevel="0" collapsed="false">
      <c r="A1439" s="1" t="n">
        <v>1438</v>
      </c>
      <c r="B1439" s="6" t="str">
        <f aca="false">HYPERLINK("https://mncourtfraud.com/file/MCRO_27-CR-21-13752_Notice of Case Reassignment_2023-12-27_20240430082318.pdf","MCRO_27-CR-21-13752_Notice of Case Reassignment_2023-12-27_20240430082318.pdf")</f>
        <v>MCRO_27-CR-21-13752_Notice of Case Reassignment_2023-12-27_20240430082318.pdf</v>
      </c>
      <c r="C1439" s="1" t="n">
        <v>3</v>
      </c>
      <c r="D1439" s="1" t="n">
        <v>1</v>
      </c>
      <c r="E1439" s="1" t="n">
        <v>1</v>
      </c>
      <c r="F1439" s="3" t="s">
        <v>20</v>
      </c>
      <c r="G1439" s="3" t="s">
        <v>5946</v>
      </c>
      <c r="H1439" s="1" t="s">
        <v>22</v>
      </c>
      <c r="I1439" s="1" t="n">
        <v>20240430082318</v>
      </c>
      <c r="J1439" s="3" t="s">
        <v>5947</v>
      </c>
      <c r="K1439" s="3" t="s">
        <v>5948</v>
      </c>
      <c r="L1439" s="3" t="s">
        <v>5949</v>
      </c>
      <c r="M1439" s="3" t="n">
        <v>173174</v>
      </c>
      <c r="N1439" s="3" t="s">
        <v>1176</v>
      </c>
      <c r="O1439" s="1" t="n">
        <v>156788</v>
      </c>
      <c r="P1439" s="1" t="n">
        <v>90.54</v>
      </c>
      <c r="Q1439" s="1" t="s">
        <v>20</v>
      </c>
      <c r="R1439" s="1" t="s">
        <v>27</v>
      </c>
      <c r="S1439" s="1" t="s">
        <v>28</v>
      </c>
      <c r="T1439" s="1" t="s">
        <v>29</v>
      </c>
    </row>
    <row r="1440" customFormat="false" ht="18.7" hidden="false" customHeight="true" outlineLevel="0" collapsed="false">
      <c r="A1440" s="1" t="n">
        <v>1439</v>
      </c>
      <c r="B1440" s="6" t="str">
        <f aca="false">HYPERLINK("https://mncourtfraud.com/file/MCRO_27-CR-21-13752_Notice of Filing of Order_2023-04-12_20240430082335.pdf","MCRO_27-CR-21-13752_Notice of Filing of Order_2023-04-12_20240430082335.pdf")</f>
        <v>MCRO_27-CR-21-13752_Notice of Filing of Order_2023-04-12_20240430082335.pdf</v>
      </c>
      <c r="C1440" s="1" t="n">
        <v>3</v>
      </c>
      <c r="D1440" s="1" t="n">
        <v>1</v>
      </c>
      <c r="E1440" s="1" t="n">
        <v>1</v>
      </c>
      <c r="F1440" s="3" t="s">
        <v>20</v>
      </c>
      <c r="G1440" s="3" t="s">
        <v>5950</v>
      </c>
      <c r="H1440" s="1" t="s">
        <v>22</v>
      </c>
      <c r="I1440" s="1" t="n">
        <v>20240430082335</v>
      </c>
      <c r="J1440" s="3" t="s">
        <v>5951</v>
      </c>
      <c r="K1440" s="3" t="s">
        <v>5952</v>
      </c>
      <c r="L1440" s="3" t="s">
        <v>5953</v>
      </c>
      <c r="M1440" s="3" t="n">
        <v>78601</v>
      </c>
      <c r="N1440" s="3" t="s">
        <v>892</v>
      </c>
      <c r="O1440" s="1" t="n">
        <v>62215</v>
      </c>
      <c r="P1440" s="1" t="n">
        <v>79.15</v>
      </c>
      <c r="Q1440" s="1" t="s">
        <v>20</v>
      </c>
      <c r="R1440" s="1" t="s">
        <v>27</v>
      </c>
      <c r="S1440" s="1" t="s">
        <v>28</v>
      </c>
      <c r="T1440" s="1" t="s">
        <v>29</v>
      </c>
    </row>
    <row r="1441" customFormat="false" ht="18.7" hidden="false" customHeight="true" outlineLevel="0" collapsed="false">
      <c r="A1441" s="1" t="n">
        <v>1440</v>
      </c>
      <c r="B1441" s="6" t="str">
        <f aca="false">HYPERLINK("https://mncourtfraud.com/file/MCRO_27-CR-21-13752_Notice of Hearing_2022-10-28_20240430082349.pdf","MCRO_27-CR-21-13752_Notice of Hearing_2022-10-28_20240430082349.pdf")</f>
        <v>MCRO_27-CR-21-13752_Notice of Hearing_2022-10-28_20240430082349.pdf</v>
      </c>
      <c r="C1441" s="1" t="n">
        <v>4</v>
      </c>
      <c r="D1441" s="1" t="n">
        <v>1</v>
      </c>
      <c r="E1441" s="1" t="n">
        <v>1</v>
      </c>
      <c r="F1441" s="3" t="s">
        <v>20</v>
      </c>
      <c r="G1441" s="3" t="s">
        <v>5954</v>
      </c>
      <c r="H1441" s="1" t="s">
        <v>22</v>
      </c>
      <c r="I1441" s="1" t="n">
        <v>20240430082349</v>
      </c>
      <c r="J1441" s="3" t="s">
        <v>5955</v>
      </c>
      <c r="K1441" s="3" t="s">
        <v>5956</v>
      </c>
      <c r="L1441" s="3" t="s">
        <v>5957</v>
      </c>
      <c r="M1441" s="3" t="n">
        <v>349140</v>
      </c>
      <c r="N1441" s="3" t="s">
        <v>158</v>
      </c>
      <c r="O1441" s="1" t="n">
        <v>332754</v>
      </c>
      <c r="P1441" s="1" t="n">
        <v>95.31</v>
      </c>
      <c r="Q1441" s="1" t="s">
        <v>20</v>
      </c>
      <c r="R1441" s="1" t="s">
        <v>27</v>
      </c>
      <c r="S1441" s="1" t="s">
        <v>28</v>
      </c>
      <c r="T1441" s="1" t="s">
        <v>29</v>
      </c>
    </row>
    <row r="1442" customFormat="false" ht="18.7" hidden="false" customHeight="true" outlineLevel="0" collapsed="false">
      <c r="A1442" s="1" t="n">
        <v>1441</v>
      </c>
      <c r="B1442" s="6" t="str">
        <f aca="false">HYPERLINK("https://mncourtfraud.com/file/MCRO_27-CR-21-13752_Notice of Hearing_2023-04-06_20240430082337.pdf","MCRO_27-CR-21-13752_Notice of Hearing_2023-04-06_20240430082337.pdf")</f>
        <v>MCRO_27-CR-21-13752_Notice of Hearing_2023-04-06_20240430082337.pdf</v>
      </c>
      <c r="C1442" s="1" t="n">
        <v>4</v>
      </c>
      <c r="D1442" s="1" t="n">
        <v>1</v>
      </c>
      <c r="E1442" s="1" t="n">
        <v>1</v>
      </c>
      <c r="F1442" s="3" t="s">
        <v>20</v>
      </c>
      <c r="G1442" s="3" t="s">
        <v>5958</v>
      </c>
      <c r="H1442" s="1" t="s">
        <v>22</v>
      </c>
      <c r="I1442" s="1" t="n">
        <v>20240430082337</v>
      </c>
      <c r="J1442" s="3" t="s">
        <v>5959</v>
      </c>
      <c r="K1442" s="3" t="s">
        <v>5960</v>
      </c>
      <c r="L1442" s="3" t="s">
        <v>5961</v>
      </c>
      <c r="M1442" s="3" t="n">
        <v>563506</v>
      </c>
      <c r="N1442" s="3" t="s">
        <v>1128</v>
      </c>
      <c r="O1442" s="1" t="n">
        <v>547120</v>
      </c>
      <c r="P1442" s="1" t="n">
        <v>97.09</v>
      </c>
      <c r="Q1442" s="1" t="s">
        <v>20</v>
      </c>
      <c r="R1442" s="1" t="s">
        <v>27</v>
      </c>
      <c r="S1442" s="1" t="s">
        <v>28</v>
      </c>
      <c r="T1442" s="1" t="s">
        <v>29</v>
      </c>
    </row>
    <row r="1443" customFormat="false" ht="18.7" hidden="false" customHeight="true" outlineLevel="0" collapsed="false">
      <c r="A1443" s="1" t="n">
        <v>1442</v>
      </c>
      <c r="B1443" s="6" t="str">
        <f aca="false">HYPERLINK("https://mncourtfraud.com/file/MCRO_27-CR-21-13752_Notice of Hearing_2023-04-20_20240430082333.pdf","MCRO_27-CR-21-13752_Notice of Hearing_2023-04-20_20240430082333.pdf")</f>
        <v>MCRO_27-CR-21-13752_Notice of Hearing_2023-04-20_20240430082333.pdf</v>
      </c>
      <c r="C1443" s="1" t="n">
        <v>4</v>
      </c>
      <c r="D1443" s="1" t="n">
        <v>1</v>
      </c>
      <c r="E1443" s="1" t="n">
        <v>1</v>
      </c>
      <c r="F1443" s="3" t="s">
        <v>20</v>
      </c>
      <c r="G1443" s="3" t="s">
        <v>5962</v>
      </c>
      <c r="H1443" s="1" t="s">
        <v>22</v>
      </c>
      <c r="I1443" s="1" t="n">
        <v>20240430082333</v>
      </c>
      <c r="J1443" s="3" t="s">
        <v>5963</v>
      </c>
      <c r="K1443" s="3" t="s">
        <v>5964</v>
      </c>
      <c r="L1443" s="3" t="s">
        <v>5965</v>
      </c>
      <c r="M1443" s="3" t="n">
        <v>600068</v>
      </c>
      <c r="N1443" s="3" t="s">
        <v>1128</v>
      </c>
      <c r="O1443" s="1" t="n">
        <v>583682</v>
      </c>
      <c r="P1443" s="1" t="n">
        <v>97.27</v>
      </c>
      <c r="Q1443" s="1" t="s">
        <v>20</v>
      </c>
      <c r="R1443" s="1" t="s">
        <v>27</v>
      </c>
      <c r="S1443" s="1" t="s">
        <v>28</v>
      </c>
      <c r="T1443" s="1" t="s">
        <v>29</v>
      </c>
    </row>
    <row r="1444" customFormat="false" ht="18.7" hidden="false" customHeight="true" outlineLevel="0" collapsed="false">
      <c r="A1444" s="1" t="n">
        <v>1443</v>
      </c>
      <c r="B1444" s="6" t="str">
        <f aca="false">HYPERLINK("https://mncourtfraud.com/file/MCRO_27-CR-21-13752_Notice of Hearing_2023-05-15_20240430082331.pdf","MCRO_27-CR-21-13752_Notice of Hearing_2023-05-15_20240430082331.pdf")</f>
        <v>MCRO_27-CR-21-13752_Notice of Hearing_2023-05-15_20240430082331.pdf</v>
      </c>
      <c r="C1444" s="1" t="n">
        <v>4</v>
      </c>
      <c r="D1444" s="1" t="n">
        <v>1</v>
      </c>
      <c r="E1444" s="1" t="n">
        <v>1</v>
      </c>
      <c r="F1444" s="3" t="s">
        <v>20</v>
      </c>
      <c r="G1444" s="3" t="s">
        <v>5966</v>
      </c>
      <c r="H1444" s="1" t="s">
        <v>22</v>
      </c>
      <c r="I1444" s="1" t="n">
        <v>20240430082331</v>
      </c>
      <c r="J1444" s="3" t="s">
        <v>5967</v>
      </c>
      <c r="K1444" s="3" t="s">
        <v>5968</v>
      </c>
      <c r="L1444" s="3" t="s">
        <v>5969</v>
      </c>
      <c r="M1444" s="3" t="n">
        <v>688610</v>
      </c>
      <c r="N1444" s="3" t="s">
        <v>1065</v>
      </c>
      <c r="O1444" s="1" t="n">
        <v>672224</v>
      </c>
      <c r="P1444" s="1" t="n">
        <v>97.62</v>
      </c>
      <c r="Q1444" s="1" t="s">
        <v>20</v>
      </c>
      <c r="R1444" s="1" t="s">
        <v>27</v>
      </c>
      <c r="S1444" s="1" t="s">
        <v>28</v>
      </c>
      <c r="T1444" s="1" t="s">
        <v>29</v>
      </c>
    </row>
    <row r="1445" customFormat="false" ht="18.7" hidden="false" customHeight="true" outlineLevel="0" collapsed="false">
      <c r="A1445" s="1" t="n">
        <v>1444</v>
      </c>
      <c r="B1445" s="6" t="str">
        <f aca="false">HYPERLINK("https://mncourtfraud.com/file/MCRO_27-CR-21-13752_Notice of Hearing_2023-06-13_20240430082329.pdf","MCRO_27-CR-21-13752_Notice of Hearing_2023-06-13_20240430082329.pdf")</f>
        <v>MCRO_27-CR-21-13752_Notice of Hearing_2023-06-13_20240430082329.pdf</v>
      </c>
      <c r="C1445" s="1" t="n">
        <v>4</v>
      </c>
      <c r="D1445" s="1" t="n">
        <v>1</v>
      </c>
      <c r="E1445" s="1" t="n">
        <v>1</v>
      </c>
      <c r="F1445" s="3" t="s">
        <v>20</v>
      </c>
      <c r="G1445" s="3" t="s">
        <v>5970</v>
      </c>
      <c r="H1445" s="1" t="s">
        <v>22</v>
      </c>
      <c r="I1445" s="1" t="n">
        <v>20240430082329</v>
      </c>
      <c r="J1445" s="3" t="s">
        <v>5971</v>
      </c>
      <c r="K1445" s="3" t="s">
        <v>5972</v>
      </c>
      <c r="L1445" s="3" t="s">
        <v>5758</v>
      </c>
      <c r="M1445" s="3" t="n">
        <v>755010</v>
      </c>
      <c r="N1445" s="3" t="s">
        <v>1205</v>
      </c>
      <c r="O1445" s="1" t="n">
        <v>738624</v>
      </c>
      <c r="P1445" s="1" t="n">
        <v>97.83</v>
      </c>
      <c r="Q1445" s="1" t="s">
        <v>20</v>
      </c>
      <c r="R1445" s="1" t="s">
        <v>27</v>
      </c>
      <c r="S1445" s="1" t="s">
        <v>28</v>
      </c>
      <c r="T1445" s="1" t="s">
        <v>29</v>
      </c>
    </row>
    <row r="1446" customFormat="false" ht="18.7" hidden="false" customHeight="true" outlineLevel="0" collapsed="false">
      <c r="A1446" s="1" t="n">
        <v>1445</v>
      </c>
      <c r="B1446" s="6" t="str">
        <f aca="false">HYPERLINK("https://mncourtfraud.com/file/MCRO_27-CR-21-13752_Notice of Hearing_2023-08-01_20240430082325.pdf","MCRO_27-CR-21-13752_Notice of Hearing_2023-08-01_20240430082325.pdf")</f>
        <v>MCRO_27-CR-21-13752_Notice of Hearing_2023-08-01_20240430082325.pdf</v>
      </c>
      <c r="C1446" s="1" t="n">
        <v>4</v>
      </c>
      <c r="D1446" s="1" t="n">
        <v>1</v>
      </c>
      <c r="E1446" s="1" t="n">
        <v>1</v>
      </c>
      <c r="F1446" s="3" t="s">
        <v>20</v>
      </c>
      <c r="G1446" s="3" t="s">
        <v>5973</v>
      </c>
      <c r="H1446" s="1" t="s">
        <v>22</v>
      </c>
      <c r="I1446" s="1" t="n">
        <v>20240430082325</v>
      </c>
      <c r="J1446" s="3" t="s">
        <v>5974</v>
      </c>
      <c r="K1446" s="3" t="s">
        <v>5975</v>
      </c>
      <c r="L1446" s="3" t="s">
        <v>5976</v>
      </c>
      <c r="M1446" s="3" t="n">
        <v>715090</v>
      </c>
      <c r="N1446" s="3" t="s">
        <v>500</v>
      </c>
      <c r="O1446" s="1" t="n">
        <v>698704</v>
      </c>
      <c r="P1446" s="1" t="n">
        <v>97.71</v>
      </c>
      <c r="Q1446" s="1" t="s">
        <v>20</v>
      </c>
      <c r="R1446" s="1" t="s">
        <v>27</v>
      </c>
      <c r="S1446" s="1" t="s">
        <v>28</v>
      </c>
      <c r="T1446" s="1" t="s">
        <v>29</v>
      </c>
    </row>
    <row r="1447" customFormat="false" ht="18.7" hidden="false" customHeight="true" outlineLevel="0" collapsed="false">
      <c r="A1447" s="1" t="n">
        <v>1446</v>
      </c>
      <c r="B1447" s="6" t="str">
        <f aca="false">HYPERLINK("https://mncourtfraud.com/file/MCRO_27-CR-21-13752_Notice of Hearing_2023-09-22_20240430082322.pdf","MCRO_27-CR-21-13752_Notice of Hearing_2023-09-22_20240430082322.pdf")</f>
        <v>MCRO_27-CR-21-13752_Notice of Hearing_2023-09-22_20240430082322.pdf</v>
      </c>
      <c r="C1447" s="1" t="n">
        <v>4</v>
      </c>
      <c r="D1447" s="1" t="n">
        <v>1</v>
      </c>
      <c r="E1447" s="1" t="n">
        <v>1</v>
      </c>
      <c r="F1447" s="3" t="s">
        <v>20</v>
      </c>
      <c r="G1447" s="3" t="s">
        <v>5977</v>
      </c>
      <c r="H1447" s="1" t="s">
        <v>22</v>
      </c>
      <c r="I1447" s="1" t="n">
        <v>20240430082322</v>
      </c>
      <c r="J1447" s="3" t="s">
        <v>5978</v>
      </c>
      <c r="K1447" s="3" t="s">
        <v>5979</v>
      </c>
      <c r="L1447" s="3" t="s">
        <v>5980</v>
      </c>
      <c r="M1447" s="3" t="n">
        <v>715091</v>
      </c>
      <c r="N1447" s="3" t="s">
        <v>500</v>
      </c>
      <c r="O1447" s="1" t="n">
        <v>698705</v>
      </c>
      <c r="P1447" s="1" t="n">
        <v>97.71</v>
      </c>
      <c r="Q1447" s="1" t="s">
        <v>20</v>
      </c>
      <c r="R1447" s="1" t="s">
        <v>27</v>
      </c>
      <c r="S1447" s="1" t="s">
        <v>28</v>
      </c>
      <c r="T1447" s="1" t="s">
        <v>29</v>
      </c>
    </row>
    <row r="1448" customFormat="false" ht="18.7" hidden="false" customHeight="true" outlineLevel="0" collapsed="false">
      <c r="A1448" s="1" t="n">
        <v>1447</v>
      </c>
      <c r="B1448" s="6" t="str">
        <f aca="false">HYPERLINK("https://mncourtfraud.com/file/MCRO_27-CR-21-13752_Notice of Hearing_2023-12-14_20240430082319.pdf","MCRO_27-CR-21-13752_Notice of Hearing_2023-12-14_20240430082319.pdf")</f>
        <v>MCRO_27-CR-21-13752_Notice of Hearing_2023-12-14_20240430082319.pdf</v>
      </c>
      <c r="C1448" s="1" t="n">
        <v>4</v>
      </c>
      <c r="D1448" s="1" t="n">
        <v>1</v>
      </c>
      <c r="E1448" s="1" t="n">
        <v>1</v>
      </c>
      <c r="F1448" s="3" t="s">
        <v>20</v>
      </c>
      <c r="G1448" s="3" t="s">
        <v>5981</v>
      </c>
      <c r="H1448" s="1" t="s">
        <v>22</v>
      </c>
      <c r="I1448" s="1" t="n">
        <v>20240430082319</v>
      </c>
      <c r="J1448" s="3" t="s">
        <v>5982</v>
      </c>
      <c r="K1448" s="3" t="s">
        <v>5983</v>
      </c>
      <c r="L1448" s="3" t="s">
        <v>5984</v>
      </c>
      <c r="M1448" s="3" t="n">
        <v>715178</v>
      </c>
      <c r="N1448" s="3" t="s">
        <v>500</v>
      </c>
      <c r="O1448" s="1" t="n">
        <v>698792</v>
      </c>
      <c r="P1448" s="1" t="n">
        <v>97.71</v>
      </c>
      <c r="Q1448" s="1" t="s">
        <v>20</v>
      </c>
      <c r="R1448" s="1" t="s">
        <v>27</v>
      </c>
      <c r="S1448" s="1" t="s">
        <v>28</v>
      </c>
      <c r="T1448" s="1" t="s">
        <v>29</v>
      </c>
    </row>
    <row r="1449" customFormat="false" ht="18.7" hidden="false" customHeight="true" outlineLevel="0" collapsed="false">
      <c r="A1449" s="1" t="n">
        <v>1448</v>
      </c>
      <c r="B1449" s="6" t="str">
        <f aca="false">HYPERLINK("https://mncourtfraud.com/file/MCRO_27-CR-21-13752_Notice of Remote Hearing with Instructions_2021-07-23_20240430082402.pdf","MCRO_27-CR-21-13752_Notice of Remote Hearing with Instructions_2021-07-23_20240430082402.pdf")</f>
        <v>MCRO_27-CR-21-13752_Notice of Remote Hearing with Instructions_2021-07-23_20240430082402.pdf</v>
      </c>
      <c r="C1449" s="1" t="n">
        <v>4</v>
      </c>
      <c r="D1449" s="1" t="n">
        <v>1</v>
      </c>
      <c r="E1449" s="1" t="n">
        <v>1</v>
      </c>
      <c r="F1449" s="3" t="s">
        <v>20</v>
      </c>
      <c r="G1449" s="3" t="s">
        <v>5985</v>
      </c>
      <c r="H1449" s="1" t="s">
        <v>22</v>
      </c>
      <c r="I1449" s="1" t="n">
        <v>20240430082402</v>
      </c>
      <c r="J1449" s="3" t="s">
        <v>5986</v>
      </c>
      <c r="K1449" s="3" t="s">
        <v>5987</v>
      </c>
      <c r="L1449" s="3" t="s">
        <v>5988</v>
      </c>
      <c r="M1449" s="3" t="n">
        <v>156297</v>
      </c>
      <c r="N1449" s="3" t="s">
        <v>1065</v>
      </c>
      <c r="O1449" s="1" t="n">
        <v>139911</v>
      </c>
      <c r="P1449" s="1" t="n">
        <v>89.52</v>
      </c>
      <c r="Q1449" s="1" t="s">
        <v>20</v>
      </c>
      <c r="R1449" s="1" t="s">
        <v>27</v>
      </c>
      <c r="S1449" s="1" t="s">
        <v>28</v>
      </c>
      <c r="T1449" s="1" t="s">
        <v>29</v>
      </c>
    </row>
    <row r="1450" customFormat="false" ht="18.7" hidden="false" customHeight="true" outlineLevel="0" collapsed="false">
      <c r="A1450" s="1" t="n">
        <v>1449</v>
      </c>
      <c r="B1450" s="6" t="str">
        <f aca="false">HYPERLINK("https://mncourtfraud.com/file/MCRO_27-CR-21-13752_Notice of Remote Hearing with Instructions_2021-10-11_20240430082355.pdf","MCRO_27-CR-21-13752_Notice of Remote Hearing with Instructions_2021-10-11_20240430082355.pdf")</f>
        <v>MCRO_27-CR-21-13752_Notice of Remote Hearing with Instructions_2021-10-11_20240430082355.pdf</v>
      </c>
      <c r="C1450" s="1" t="n">
        <v>4</v>
      </c>
      <c r="D1450" s="1" t="n">
        <v>1</v>
      </c>
      <c r="E1450" s="1" t="n">
        <v>1</v>
      </c>
      <c r="F1450" s="3" t="s">
        <v>20</v>
      </c>
      <c r="G1450" s="3" t="s">
        <v>5989</v>
      </c>
      <c r="H1450" s="1" t="s">
        <v>22</v>
      </c>
      <c r="I1450" s="1" t="n">
        <v>20240430082355</v>
      </c>
      <c r="J1450" s="3" t="s">
        <v>5990</v>
      </c>
      <c r="K1450" s="3" t="s">
        <v>5991</v>
      </c>
      <c r="L1450" s="3" t="s">
        <v>5992</v>
      </c>
      <c r="M1450" s="3" t="n">
        <v>161035</v>
      </c>
      <c r="N1450" s="3" t="s">
        <v>1065</v>
      </c>
      <c r="O1450" s="1" t="n">
        <v>144649</v>
      </c>
      <c r="P1450" s="1" t="n">
        <v>89.82</v>
      </c>
      <c r="Q1450" s="1" t="s">
        <v>20</v>
      </c>
      <c r="R1450" s="1" t="s">
        <v>27</v>
      </c>
      <c r="S1450" s="1" t="s">
        <v>28</v>
      </c>
      <c r="T1450" s="1" t="s">
        <v>29</v>
      </c>
    </row>
    <row r="1451" customFormat="false" ht="18.7" hidden="false" customHeight="true" outlineLevel="0" collapsed="false">
      <c r="A1451" s="1" t="n">
        <v>1450</v>
      </c>
      <c r="B1451" s="6" t="str">
        <f aca="false">HYPERLINK("https://mncourtfraud.com/file/MCRO_27-CR-21-13752_Notice of Remote Hearing with Instructions_2023-05-15_20240430082332.pdf","MCRO_27-CR-21-13752_Notice of Remote Hearing with Instructions_2023-05-15_20240430082332.pdf")</f>
        <v>MCRO_27-CR-21-13752_Notice of Remote Hearing with Instructions_2023-05-15_20240430082332.pdf</v>
      </c>
      <c r="C1451" s="1" t="n">
        <v>4</v>
      </c>
      <c r="D1451" s="1" t="n">
        <v>1</v>
      </c>
      <c r="E1451" s="1" t="n">
        <v>1</v>
      </c>
      <c r="F1451" s="3" t="s">
        <v>20</v>
      </c>
      <c r="G1451" s="3" t="s">
        <v>5993</v>
      </c>
      <c r="H1451" s="1" t="s">
        <v>22</v>
      </c>
      <c r="I1451" s="1" t="n">
        <v>20240430082332</v>
      </c>
      <c r="J1451" s="3" t="s">
        <v>5994</v>
      </c>
      <c r="K1451" s="3" t="s">
        <v>5995</v>
      </c>
      <c r="L1451" s="3" t="s">
        <v>5996</v>
      </c>
      <c r="M1451" s="3" t="n">
        <v>240896</v>
      </c>
      <c r="N1451" s="3" t="s">
        <v>1659</v>
      </c>
      <c r="O1451" s="1" t="n">
        <v>224510</v>
      </c>
      <c r="P1451" s="1" t="n">
        <v>93.2</v>
      </c>
      <c r="Q1451" s="1" t="s">
        <v>20</v>
      </c>
      <c r="R1451" s="1" t="s">
        <v>27</v>
      </c>
      <c r="S1451" s="1" t="s">
        <v>28</v>
      </c>
      <c r="T1451" s="1" t="s">
        <v>29</v>
      </c>
    </row>
    <row r="1452" customFormat="false" ht="18.7" hidden="false" customHeight="true" outlineLevel="0" collapsed="false">
      <c r="A1452" s="1" t="n">
        <v>1451</v>
      </c>
      <c r="B1452" s="6" t="str">
        <f aca="false">HYPERLINK("https://mncourtfraud.com/file/MCRO_27-CR-21-13752_Notice of Remote Hearing with Instructions_2023-06-13_20240430082328.pdf","MCRO_27-CR-21-13752_Notice of Remote Hearing with Instructions_2023-06-13_20240430082328.pdf")</f>
        <v>MCRO_27-CR-21-13752_Notice of Remote Hearing with Instructions_2023-06-13_20240430082328.pdf</v>
      </c>
      <c r="C1452" s="1" t="n">
        <v>4</v>
      </c>
      <c r="D1452" s="1" t="n">
        <v>1</v>
      </c>
      <c r="E1452" s="1" t="n">
        <v>1</v>
      </c>
      <c r="F1452" s="3" t="s">
        <v>20</v>
      </c>
      <c r="G1452" s="3" t="s">
        <v>5997</v>
      </c>
      <c r="H1452" s="1" t="s">
        <v>22</v>
      </c>
      <c r="I1452" s="1" t="n">
        <v>20240430082328</v>
      </c>
      <c r="J1452" s="3" t="s">
        <v>5998</v>
      </c>
      <c r="K1452" s="3" t="s">
        <v>5999</v>
      </c>
      <c r="L1452" s="3" t="s">
        <v>6000</v>
      </c>
      <c r="M1452" s="3" t="n">
        <v>256080</v>
      </c>
      <c r="N1452" s="3" t="s">
        <v>74</v>
      </c>
      <c r="O1452" s="1" t="n">
        <v>239694</v>
      </c>
      <c r="P1452" s="1" t="n">
        <v>93.6</v>
      </c>
      <c r="Q1452" s="1" t="s">
        <v>20</v>
      </c>
      <c r="R1452" s="1" t="s">
        <v>27</v>
      </c>
      <c r="S1452" s="1" t="s">
        <v>28</v>
      </c>
      <c r="T1452" s="1" t="s">
        <v>29</v>
      </c>
    </row>
    <row r="1453" customFormat="false" ht="18.7" hidden="false" customHeight="true" outlineLevel="0" collapsed="false">
      <c r="A1453" s="1" t="n">
        <v>1452</v>
      </c>
      <c r="B1453" s="6" t="str">
        <f aca="false">HYPERLINK("https://mncourtfraud.com/file/MCRO_27-CR-21-13752_Notice of Remote Hearing with Instructions_2023-07-19_20240430082326.pdf","MCRO_27-CR-21-13752_Notice of Remote Hearing with Instructions_2023-07-19_20240430082326.pdf")</f>
        <v>MCRO_27-CR-21-13752_Notice of Remote Hearing with Instructions_2023-07-19_20240430082326.pdf</v>
      </c>
      <c r="C1453" s="1" t="n">
        <v>5</v>
      </c>
      <c r="D1453" s="1" t="n">
        <v>1</v>
      </c>
      <c r="E1453" s="1" t="n">
        <v>1</v>
      </c>
      <c r="F1453" s="3" t="s">
        <v>20</v>
      </c>
      <c r="G1453" s="3" t="s">
        <v>6001</v>
      </c>
      <c r="H1453" s="1" t="s">
        <v>22</v>
      </c>
      <c r="I1453" s="1" t="n">
        <v>20240430082326</v>
      </c>
      <c r="J1453" s="3" t="s">
        <v>6002</v>
      </c>
      <c r="K1453" s="3" t="s">
        <v>6003</v>
      </c>
      <c r="L1453" s="3" t="s">
        <v>6004</v>
      </c>
      <c r="M1453" s="3" t="n">
        <v>846139</v>
      </c>
      <c r="N1453" s="3" t="s">
        <v>1239</v>
      </c>
      <c r="O1453" s="1" t="n">
        <v>829753</v>
      </c>
      <c r="P1453" s="1" t="n">
        <v>98.06</v>
      </c>
      <c r="Q1453" s="1" t="s">
        <v>20</v>
      </c>
      <c r="R1453" s="1" t="s">
        <v>27</v>
      </c>
      <c r="S1453" s="1" t="s">
        <v>28</v>
      </c>
      <c r="T1453" s="1" t="s">
        <v>29</v>
      </c>
    </row>
    <row r="1454" customFormat="false" ht="18.7" hidden="false" customHeight="true" outlineLevel="0" collapsed="false">
      <c r="A1454" s="1" t="n">
        <v>1453</v>
      </c>
      <c r="B1454" s="6" t="str">
        <f aca="false">HYPERLINK("https://mncourtfraud.com/file/MCRO_27-CR-21-13752_Notice of Remote Hearing with Instructions_2023-09-19_20240430082324.pdf","MCRO_27-CR-21-13752_Notice of Remote Hearing with Instructions_2023-09-19_20240430082324.pdf")</f>
        <v>MCRO_27-CR-21-13752_Notice of Remote Hearing with Instructions_2023-09-19_20240430082324.pdf</v>
      </c>
      <c r="C1454" s="1" t="n">
        <v>5</v>
      </c>
      <c r="D1454" s="1" t="n">
        <v>1</v>
      </c>
      <c r="E1454" s="1" t="n">
        <v>1</v>
      </c>
      <c r="F1454" s="3" t="s">
        <v>20</v>
      </c>
      <c r="G1454" s="3" t="s">
        <v>6005</v>
      </c>
      <c r="H1454" s="1" t="s">
        <v>22</v>
      </c>
      <c r="I1454" s="1" t="n">
        <v>20240430082324</v>
      </c>
      <c r="J1454" s="3" t="s">
        <v>6006</v>
      </c>
      <c r="K1454" s="3" t="s">
        <v>6007</v>
      </c>
      <c r="L1454" s="3" t="s">
        <v>5804</v>
      </c>
      <c r="M1454" s="3" t="n">
        <v>859426</v>
      </c>
      <c r="N1454" s="3" t="s">
        <v>1009</v>
      </c>
      <c r="O1454" s="1" t="n">
        <v>843040</v>
      </c>
      <c r="P1454" s="1" t="n">
        <v>98.09</v>
      </c>
      <c r="Q1454" s="1" t="s">
        <v>20</v>
      </c>
      <c r="R1454" s="1" t="s">
        <v>27</v>
      </c>
      <c r="S1454" s="1" t="s">
        <v>28</v>
      </c>
      <c r="T1454" s="1" t="s">
        <v>29</v>
      </c>
    </row>
    <row r="1455" customFormat="false" ht="18.7" hidden="false" customHeight="true" outlineLevel="0" collapsed="false">
      <c r="A1455" s="1" t="n">
        <v>1454</v>
      </c>
      <c r="B1455" s="6" t="str">
        <f aca="false">HYPERLINK("https://mncourtfraud.com/file/MCRO_27-CR-21-13752_Notice of Remote Hearing with Instructions_2023-12-12_20240430082320.pdf","MCRO_27-CR-21-13752_Notice of Remote Hearing with Instructions_2023-12-12_20240430082320.pdf")</f>
        <v>MCRO_27-CR-21-13752_Notice of Remote Hearing with Instructions_2023-12-12_20240430082320.pdf</v>
      </c>
      <c r="C1455" s="1" t="n">
        <v>5</v>
      </c>
      <c r="D1455" s="1" t="n">
        <v>1</v>
      </c>
      <c r="E1455" s="1" t="n">
        <v>1</v>
      </c>
      <c r="F1455" s="3" t="s">
        <v>20</v>
      </c>
      <c r="G1455" s="3" t="s">
        <v>6008</v>
      </c>
      <c r="H1455" s="1" t="s">
        <v>22</v>
      </c>
      <c r="I1455" s="1" t="n">
        <v>20240430082320</v>
      </c>
      <c r="J1455" s="3" t="s">
        <v>6009</v>
      </c>
      <c r="K1455" s="3" t="s">
        <v>6010</v>
      </c>
      <c r="L1455" s="3" t="s">
        <v>6011</v>
      </c>
      <c r="M1455" s="3" t="n">
        <v>855822</v>
      </c>
      <c r="N1455" s="3" t="s">
        <v>1248</v>
      </c>
      <c r="O1455" s="1" t="n">
        <v>839436</v>
      </c>
      <c r="P1455" s="1" t="n">
        <v>98.09</v>
      </c>
      <c r="Q1455" s="1" t="s">
        <v>20</v>
      </c>
      <c r="R1455" s="1" t="s">
        <v>27</v>
      </c>
      <c r="S1455" s="1" t="s">
        <v>28</v>
      </c>
      <c r="T1455" s="1" t="s">
        <v>29</v>
      </c>
    </row>
    <row r="1456" customFormat="false" ht="18.7" hidden="false" customHeight="true" outlineLevel="0" collapsed="false">
      <c r="A1456" s="1" t="n">
        <v>1455</v>
      </c>
      <c r="B1456" s="6" t="str">
        <f aca="false">HYPERLINK("https://mncourtfraud.com/file/MCRO_27-CR-21-13752_Notice of Remote Hearing with Instructions_2024-04-09_20240430082313.pdf","MCRO_27-CR-21-13752_Notice of Remote Hearing with Instructions_2024-04-09_20240430082313.pdf")</f>
        <v>MCRO_27-CR-21-13752_Notice of Remote Hearing with Instructions_2024-04-09_20240430082313.pdf</v>
      </c>
      <c r="C1456" s="1" t="n">
        <v>4</v>
      </c>
      <c r="D1456" s="1" t="n">
        <v>1</v>
      </c>
      <c r="E1456" s="1" t="n">
        <v>1</v>
      </c>
      <c r="F1456" s="3" t="s">
        <v>20</v>
      </c>
      <c r="G1456" s="3" t="s">
        <v>6012</v>
      </c>
      <c r="H1456" s="1" t="s">
        <v>22</v>
      </c>
      <c r="I1456" s="1" t="n">
        <v>20240430082313</v>
      </c>
      <c r="J1456" s="3" t="s">
        <v>6013</v>
      </c>
      <c r="K1456" s="3" t="s">
        <v>6014</v>
      </c>
      <c r="L1456" s="3" t="s">
        <v>6015</v>
      </c>
      <c r="M1456" s="3" t="n">
        <v>255671</v>
      </c>
      <c r="N1456" s="3" t="s">
        <v>74</v>
      </c>
      <c r="O1456" s="1" t="n">
        <v>239285</v>
      </c>
      <c r="P1456" s="1" t="n">
        <v>93.59</v>
      </c>
      <c r="Q1456" s="1" t="s">
        <v>20</v>
      </c>
      <c r="R1456" s="1" t="s">
        <v>27</v>
      </c>
      <c r="S1456" s="1" t="s">
        <v>28</v>
      </c>
      <c r="T1456" s="1" t="s">
        <v>29</v>
      </c>
    </row>
    <row r="1457" customFormat="false" ht="18.7" hidden="false" customHeight="true" outlineLevel="0" collapsed="false">
      <c r="A1457" s="1" t="n">
        <v>1456</v>
      </c>
      <c r="B1457" s="6" t="str">
        <f aca="false">HYPERLINK("https://mncourtfraud.com/file/MCRO_27-CR-21-13752_Notice-Other_2023-03-21_20240430082345.pdf","MCRO_27-CR-21-13752_Notice-Other_2023-03-21_20240430082345.pdf")</f>
        <v>MCRO_27-CR-21-13752_Notice-Other_2023-03-21_20240430082345.pdf</v>
      </c>
      <c r="C1457" s="1" t="n">
        <v>5</v>
      </c>
      <c r="D1457" s="1" t="n">
        <v>1</v>
      </c>
      <c r="E1457" s="1" t="n">
        <v>1</v>
      </c>
      <c r="F1457" s="3" t="s">
        <v>20</v>
      </c>
      <c r="G1457" s="3" t="s">
        <v>6016</v>
      </c>
      <c r="H1457" s="1" t="s">
        <v>22</v>
      </c>
      <c r="I1457" s="1" t="n">
        <v>20240430082345</v>
      </c>
      <c r="J1457" s="3" t="s">
        <v>6017</v>
      </c>
      <c r="K1457" s="3" t="s">
        <v>6018</v>
      </c>
      <c r="L1457" s="3" t="s">
        <v>6019</v>
      </c>
      <c r="M1457" s="3" t="n">
        <v>711323</v>
      </c>
      <c r="N1457" s="3" t="s">
        <v>3364</v>
      </c>
      <c r="O1457" s="1" t="n">
        <v>694937</v>
      </c>
      <c r="P1457" s="1" t="n">
        <v>97.7</v>
      </c>
      <c r="Q1457" s="1" t="s">
        <v>20</v>
      </c>
      <c r="R1457" s="1" t="s">
        <v>27</v>
      </c>
      <c r="S1457" s="1" t="s">
        <v>28</v>
      </c>
      <c r="T1457" s="1" t="s">
        <v>29</v>
      </c>
    </row>
    <row r="1458" customFormat="false" ht="18.7" hidden="false" customHeight="true" outlineLevel="0" collapsed="false">
      <c r="A1458" s="1" t="n">
        <v>1457</v>
      </c>
      <c r="B1458" s="6" t="str">
        <f aca="false">HYPERLINK("https://mncourtfraud.com/file/MCRO_27-CR-21-13752_Order-Evaluation for Competency to Proceed (Rule 20.01)_2023-05-15_20240430082330.pdf","MCRO_27-CR-21-13752_Order-Evaluation for Competency to Proceed (Rule 20.01)_2023-05-15_20240430082330.pdf")</f>
        <v>MCRO_27-CR-21-13752_Order-Evaluation for Competency to Proceed (Rule 20.01)_2023-05-15_20240430082330.pdf</v>
      </c>
      <c r="C1458" s="1" t="n">
        <v>4</v>
      </c>
      <c r="D1458" s="1" t="n">
        <v>1</v>
      </c>
      <c r="E1458" s="1" t="n">
        <v>1</v>
      </c>
      <c r="F1458" s="3" t="s">
        <v>20</v>
      </c>
      <c r="G1458" s="3" t="s">
        <v>6020</v>
      </c>
      <c r="H1458" s="1" t="s">
        <v>22</v>
      </c>
      <c r="I1458" s="1" t="n">
        <v>20240430082330</v>
      </c>
      <c r="J1458" s="3" t="s">
        <v>6021</v>
      </c>
      <c r="K1458" s="3" t="s">
        <v>6022</v>
      </c>
      <c r="L1458" s="3" t="s">
        <v>6023</v>
      </c>
      <c r="M1458" s="3" t="n">
        <v>802971</v>
      </c>
      <c r="N1458" s="3" t="s">
        <v>1176</v>
      </c>
      <c r="O1458" s="1" t="n">
        <v>786585</v>
      </c>
      <c r="P1458" s="1" t="n">
        <v>97.96</v>
      </c>
      <c r="Q1458" s="1" t="s">
        <v>20</v>
      </c>
      <c r="R1458" s="1" t="s">
        <v>27</v>
      </c>
      <c r="S1458" s="1" t="s">
        <v>28</v>
      </c>
      <c r="T1458" s="1" t="s">
        <v>29</v>
      </c>
    </row>
    <row r="1459" customFormat="false" ht="18.7" hidden="false" customHeight="true" outlineLevel="0" collapsed="false">
      <c r="A1459" s="1" t="n">
        <v>1458</v>
      </c>
      <c r="B1459" s="6" t="str">
        <f aca="false">HYPERLINK("https://mncourtfraud.com/file/MCRO_27-CR-21-13752_Order-Evaluation for Competency to Proceed (Rule 20.01)_2023-07-18_20240430082327.pdf","MCRO_27-CR-21-13752_Order-Evaluation for Competency to Proceed (Rule 20.01)_2023-07-18_20240430082327.pdf")</f>
        <v>MCRO_27-CR-21-13752_Order-Evaluation for Competency to Proceed (Rule 20.01)_2023-07-18_20240430082327.pdf</v>
      </c>
      <c r="C1459" s="1" t="n">
        <v>5</v>
      </c>
      <c r="D1459" s="1" t="n">
        <v>1</v>
      </c>
      <c r="E1459" s="1" t="n">
        <v>1</v>
      </c>
      <c r="F1459" s="3" t="s">
        <v>20</v>
      </c>
      <c r="G1459" s="3" t="s">
        <v>6024</v>
      </c>
      <c r="H1459" s="1" t="s">
        <v>22</v>
      </c>
      <c r="I1459" s="1" t="n">
        <v>20240430082327</v>
      </c>
      <c r="J1459" s="3" t="s">
        <v>6025</v>
      </c>
      <c r="K1459" s="3" t="s">
        <v>6026</v>
      </c>
      <c r="L1459" s="3" t="s">
        <v>4047</v>
      </c>
      <c r="M1459" s="3" t="n">
        <v>760684</v>
      </c>
      <c r="N1459" s="3" t="s">
        <v>1091</v>
      </c>
      <c r="O1459" s="1" t="n">
        <v>744298</v>
      </c>
      <c r="P1459" s="1" t="n">
        <v>97.85</v>
      </c>
      <c r="Q1459" s="1" t="s">
        <v>20</v>
      </c>
      <c r="R1459" s="1" t="s">
        <v>27</v>
      </c>
      <c r="S1459" s="1" t="s">
        <v>28</v>
      </c>
      <c r="T1459" s="1" t="s">
        <v>29</v>
      </c>
    </row>
    <row r="1460" customFormat="false" ht="18.7" hidden="false" customHeight="true" outlineLevel="0" collapsed="false">
      <c r="A1460" s="1" t="n">
        <v>1459</v>
      </c>
      <c r="B1460" s="6" t="str">
        <f aca="false">HYPERLINK("https://mncourtfraud.com/file/MCRO_27-CR-21-13752_Order-Evaluation for Competency to Proceed (Rule 20.01)_2023-10-10_20240430082321.pdf","MCRO_27-CR-21-13752_Order-Evaluation for Competency to Proceed (Rule 20.01)_2023-10-10_20240430082321.pdf")</f>
        <v>MCRO_27-CR-21-13752_Order-Evaluation for Competency to Proceed (Rule 20.01)_2023-10-10_20240430082321.pdf</v>
      </c>
      <c r="C1460" s="1" t="n">
        <v>5</v>
      </c>
      <c r="D1460" s="1" t="n">
        <v>1</v>
      </c>
      <c r="E1460" s="1" t="n">
        <v>1</v>
      </c>
      <c r="F1460" s="3" t="s">
        <v>20</v>
      </c>
      <c r="G1460" s="3" t="s">
        <v>6027</v>
      </c>
      <c r="H1460" s="1" t="s">
        <v>22</v>
      </c>
      <c r="I1460" s="1" t="n">
        <v>20240430082321</v>
      </c>
      <c r="J1460" s="3" t="s">
        <v>6028</v>
      </c>
      <c r="K1460" s="3" t="s">
        <v>6029</v>
      </c>
      <c r="L1460" s="3" t="s">
        <v>6030</v>
      </c>
      <c r="M1460" s="3" t="n">
        <v>763574</v>
      </c>
      <c r="N1460" s="3" t="s">
        <v>1257</v>
      </c>
      <c r="O1460" s="1" t="n">
        <v>747188</v>
      </c>
      <c r="P1460" s="1" t="n">
        <v>97.85</v>
      </c>
      <c r="Q1460" s="1" t="s">
        <v>20</v>
      </c>
      <c r="R1460" s="1" t="s">
        <v>27</v>
      </c>
      <c r="S1460" s="1" t="s">
        <v>28</v>
      </c>
      <c r="T1460" s="1" t="s">
        <v>29</v>
      </c>
    </row>
    <row r="1461" customFormat="false" ht="18.7" hidden="false" customHeight="true" outlineLevel="0" collapsed="false">
      <c r="A1461" s="1" t="n">
        <v>1460</v>
      </c>
      <c r="B1461" s="6" t="str">
        <f aca="false">HYPERLINK("https://mncourtfraud.com/file/MCRO_27-CR-21-13752_Order for Conditional Release_2021-07-23_20240430082401.pdf","MCRO_27-CR-21-13752_Order for Conditional Release_2021-07-23_20240430082401.pdf")</f>
        <v>MCRO_27-CR-21-13752_Order for Conditional Release_2021-07-23_20240430082401.pdf</v>
      </c>
      <c r="C1461" s="1" t="n">
        <v>4</v>
      </c>
      <c r="D1461" s="1" t="n">
        <v>1</v>
      </c>
      <c r="E1461" s="1" t="n">
        <v>1</v>
      </c>
      <c r="F1461" s="3" t="s">
        <v>20</v>
      </c>
      <c r="G1461" s="3" t="s">
        <v>6031</v>
      </c>
      <c r="H1461" s="1" t="s">
        <v>22</v>
      </c>
      <c r="I1461" s="1" t="n">
        <v>20240430082401</v>
      </c>
      <c r="J1461" s="3" t="s">
        <v>6032</v>
      </c>
      <c r="K1461" s="3" t="s">
        <v>6033</v>
      </c>
      <c r="L1461" s="3" t="s">
        <v>6034</v>
      </c>
      <c r="M1461" s="3" t="n">
        <v>135721</v>
      </c>
      <c r="N1461" s="3" t="s">
        <v>456</v>
      </c>
      <c r="O1461" s="1" t="n">
        <v>119335</v>
      </c>
      <c r="P1461" s="1" t="n">
        <v>87.93</v>
      </c>
      <c r="Q1461" s="1" t="s">
        <v>20</v>
      </c>
      <c r="R1461" s="1" t="s">
        <v>27</v>
      </c>
      <c r="S1461" s="1" t="s">
        <v>28</v>
      </c>
      <c r="T1461" s="1" t="s">
        <v>29</v>
      </c>
    </row>
    <row r="1462" customFormat="false" ht="18.7" hidden="false" customHeight="true" outlineLevel="0" collapsed="false">
      <c r="A1462" s="1" t="n">
        <v>1461</v>
      </c>
      <c r="B1462" s="6" t="str">
        <f aca="false">HYPERLINK("https://mncourtfraud.com/file/MCRO_27-CR-21-13752_Order for Conditional Release_2021-10-11_20240430082354.pdf","MCRO_27-CR-21-13752_Order for Conditional Release_2021-10-11_20240430082354.pdf")</f>
        <v>MCRO_27-CR-21-13752_Order for Conditional Release_2021-10-11_20240430082354.pdf</v>
      </c>
      <c r="C1462" s="1" t="n">
        <v>4</v>
      </c>
      <c r="D1462" s="1" t="n">
        <v>1</v>
      </c>
      <c r="E1462" s="1" t="n">
        <v>1</v>
      </c>
      <c r="F1462" s="3" t="s">
        <v>20</v>
      </c>
      <c r="G1462" s="3" t="s">
        <v>6035</v>
      </c>
      <c r="H1462" s="1" t="s">
        <v>22</v>
      </c>
      <c r="I1462" s="1" t="n">
        <v>20240430082354</v>
      </c>
      <c r="J1462" s="3" t="s">
        <v>6036</v>
      </c>
      <c r="K1462" s="3" t="s">
        <v>6037</v>
      </c>
      <c r="L1462" s="3" t="s">
        <v>6038</v>
      </c>
      <c r="M1462" s="3" t="n">
        <v>131806</v>
      </c>
      <c r="N1462" s="3" t="s">
        <v>456</v>
      </c>
      <c r="O1462" s="1" t="n">
        <v>115420</v>
      </c>
      <c r="P1462" s="1" t="n">
        <v>87.57</v>
      </c>
      <c r="Q1462" s="1" t="s">
        <v>20</v>
      </c>
      <c r="R1462" s="1" t="s">
        <v>27</v>
      </c>
      <c r="S1462" s="1" t="s">
        <v>28</v>
      </c>
      <c r="T1462" s="1" t="s">
        <v>29</v>
      </c>
    </row>
    <row r="1463" customFormat="false" ht="18.7" hidden="false" customHeight="true" outlineLevel="0" collapsed="false">
      <c r="A1463" s="1" t="n">
        <v>1462</v>
      </c>
      <c r="B1463" s="6" t="str">
        <f aca="false">HYPERLINK("https://mncourtfraud.com/file/MCRO_27-CR-21-13752_Order for Conditional Release_2024-02-12_20240430082317.pdf","MCRO_27-CR-21-13752_Order for Conditional Release_2024-02-12_20240430082317.pdf")</f>
        <v>MCRO_27-CR-21-13752_Order for Conditional Release_2024-02-12_20240430082317.pdf</v>
      </c>
      <c r="C1463" s="1" t="n">
        <v>4</v>
      </c>
      <c r="D1463" s="1" t="n">
        <v>1</v>
      </c>
      <c r="E1463" s="1" t="n">
        <v>1</v>
      </c>
      <c r="F1463" s="3" t="s">
        <v>20</v>
      </c>
      <c r="G1463" s="3" t="s">
        <v>6039</v>
      </c>
      <c r="H1463" s="1" t="s">
        <v>22</v>
      </c>
      <c r="I1463" s="1" t="n">
        <v>20240430082317</v>
      </c>
      <c r="J1463" s="3" t="s">
        <v>6040</v>
      </c>
      <c r="K1463" s="3" t="s">
        <v>6041</v>
      </c>
      <c r="L1463" s="3" t="s">
        <v>6042</v>
      </c>
      <c r="M1463" s="3" t="n">
        <v>599230</v>
      </c>
      <c r="N1463" s="3" t="s">
        <v>119</v>
      </c>
      <c r="O1463" s="1" t="n">
        <v>582844</v>
      </c>
      <c r="P1463" s="1" t="n">
        <v>97.27</v>
      </c>
      <c r="Q1463" s="1" t="s">
        <v>20</v>
      </c>
      <c r="R1463" s="1" t="s">
        <v>27</v>
      </c>
      <c r="S1463" s="1" t="s">
        <v>28</v>
      </c>
      <c r="T1463" s="1" t="s">
        <v>29</v>
      </c>
    </row>
    <row r="1464" customFormat="false" ht="18.7" hidden="false" customHeight="true" outlineLevel="0" collapsed="false">
      <c r="A1464" s="1" t="n">
        <v>1463</v>
      </c>
      <c r="B1464" s="6" t="str">
        <f aca="false">HYPERLINK("https://mncourtfraud.com/file/MCRO_27-CR-21-13752_Order Forfeiting Cash Bond or Surety Bond_2023-01-12_20240430082347.pdf","MCRO_27-CR-21-13752_Order Forfeiting Cash Bond or Surety Bond_2023-01-12_20240430082347.pdf")</f>
        <v>MCRO_27-CR-21-13752_Order Forfeiting Cash Bond or Surety Bond_2023-01-12_20240430082347.pdf</v>
      </c>
      <c r="C1464" s="1" t="n">
        <v>5</v>
      </c>
      <c r="D1464" s="1" t="n">
        <v>1</v>
      </c>
      <c r="E1464" s="1" t="n">
        <v>1</v>
      </c>
      <c r="F1464" s="3" t="s">
        <v>20</v>
      </c>
      <c r="G1464" s="3" t="s">
        <v>6043</v>
      </c>
      <c r="H1464" s="1" t="s">
        <v>22</v>
      </c>
      <c r="I1464" s="1" t="n">
        <v>20240430082347</v>
      </c>
      <c r="J1464" s="3" t="s">
        <v>6044</v>
      </c>
      <c r="K1464" s="3" t="s">
        <v>6045</v>
      </c>
      <c r="L1464" s="3" t="s">
        <v>6046</v>
      </c>
      <c r="M1464" s="3" t="n">
        <v>226596</v>
      </c>
      <c r="N1464" s="3" t="s">
        <v>5847</v>
      </c>
      <c r="O1464" s="1" t="n">
        <v>210210</v>
      </c>
      <c r="P1464" s="1" t="n">
        <v>92.77</v>
      </c>
      <c r="Q1464" s="1" t="s">
        <v>20</v>
      </c>
      <c r="R1464" s="1" t="s">
        <v>27</v>
      </c>
      <c r="S1464" s="1" t="s">
        <v>28</v>
      </c>
      <c r="T1464" s="1" t="s">
        <v>29</v>
      </c>
    </row>
    <row r="1465" customFormat="false" ht="18.7" hidden="false" customHeight="true" outlineLevel="0" collapsed="false">
      <c r="A1465" s="1" t="n">
        <v>1464</v>
      </c>
      <c r="B1465" s="6" t="str">
        <f aca="false">HYPERLINK("https://mncourtfraud.com/file/MCRO_27-CR-21-13752_Order Reinstating Forfeited Cash or Surety Bond_2023-04-12_20240430082336.pdf","MCRO_27-CR-21-13752_Order Reinstating Forfeited Cash or Surety Bond_2023-04-12_20240430082336.pdf")</f>
        <v>MCRO_27-CR-21-13752_Order Reinstating Forfeited Cash or Surety Bond_2023-04-12_20240430082336.pdf</v>
      </c>
      <c r="C1465" s="1" t="n">
        <v>4</v>
      </c>
      <c r="D1465" s="1" t="n">
        <v>1</v>
      </c>
      <c r="E1465" s="1" t="n">
        <v>1</v>
      </c>
      <c r="F1465" s="3" t="s">
        <v>20</v>
      </c>
      <c r="G1465" s="3" t="s">
        <v>6047</v>
      </c>
      <c r="H1465" s="1" t="s">
        <v>22</v>
      </c>
      <c r="I1465" s="1" t="n">
        <v>20240430082336</v>
      </c>
      <c r="J1465" s="3" t="s">
        <v>6048</v>
      </c>
      <c r="K1465" s="3" t="s">
        <v>6049</v>
      </c>
      <c r="L1465" s="3" t="s">
        <v>6050</v>
      </c>
      <c r="M1465" s="3" t="n">
        <v>166984</v>
      </c>
      <c r="N1465" s="3" t="s">
        <v>104</v>
      </c>
      <c r="O1465" s="1" t="n">
        <v>150598</v>
      </c>
      <c r="P1465" s="1" t="n">
        <v>90.19</v>
      </c>
      <c r="Q1465" s="1" t="s">
        <v>20</v>
      </c>
      <c r="R1465" s="1" t="s">
        <v>27</v>
      </c>
      <c r="S1465" s="1" t="s">
        <v>28</v>
      </c>
      <c r="T1465" s="1" t="s">
        <v>29</v>
      </c>
    </row>
    <row r="1466" customFormat="false" ht="18.7" hidden="false" customHeight="true" outlineLevel="0" collapsed="false">
      <c r="A1466" s="1" t="n">
        <v>1465</v>
      </c>
      <c r="B1466" s="6" t="str">
        <f aca="false">HYPERLINK("https://mncourtfraud.com/file/MCRO_27-CR-21-13752_Order Revoking Interim Conditions of Release_2022-06-23_20240430082350.pdf","MCRO_27-CR-21-13752_Order Revoking Interim Conditions of Release_2022-06-23_20240430082350.pdf")</f>
        <v>MCRO_27-CR-21-13752_Order Revoking Interim Conditions of Release_2022-06-23_20240430082350.pdf</v>
      </c>
      <c r="C1466" s="1" t="n">
        <v>5</v>
      </c>
      <c r="D1466" s="1" t="n">
        <v>3</v>
      </c>
      <c r="E1466" s="1" t="n">
        <v>3</v>
      </c>
      <c r="F1466" s="3" t="s">
        <v>20</v>
      </c>
      <c r="G1466" s="3" t="s">
        <v>6051</v>
      </c>
      <c r="H1466" s="1" t="s">
        <v>22</v>
      </c>
      <c r="I1466" s="1" t="n">
        <v>20240430082350</v>
      </c>
      <c r="J1466" s="3" t="s">
        <v>6052</v>
      </c>
      <c r="K1466" s="3" t="s">
        <v>6053</v>
      </c>
      <c r="L1466" s="3" t="s">
        <v>6054</v>
      </c>
      <c r="M1466" s="3" t="n">
        <v>426570</v>
      </c>
      <c r="N1466" s="3" t="s">
        <v>6055</v>
      </c>
      <c r="O1466" s="1" t="n">
        <v>410184</v>
      </c>
      <c r="P1466" s="1" t="n">
        <v>96.16</v>
      </c>
      <c r="Q1466" s="1" t="s">
        <v>20</v>
      </c>
      <c r="R1466" s="1" t="s">
        <v>27</v>
      </c>
      <c r="S1466" s="1" t="s">
        <v>28</v>
      </c>
      <c r="T1466" s="1" t="s">
        <v>29</v>
      </c>
    </row>
    <row r="1467" customFormat="false" ht="18.7" hidden="false" customHeight="true" outlineLevel="0" collapsed="false">
      <c r="A1467" s="1" t="n">
        <v>1466</v>
      </c>
      <c r="B1467" s="6" t="str">
        <f aca="false">HYPERLINK("https://mncourtfraud.com/file/MCRO_27-CR-21-13752_Order Revoking Interim Conditions of Release_2024-04-05_20240430082314.pdf","MCRO_27-CR-21-13752_Order Revoking Interim Conditions of Release_2024-04-05_20240430082314.pdf")</f>
        <v>MCRO_27-CR-21-13752_Order Revoking Interim Conditions of Release_2024-04-05_20240430082314.pdf</v>
      </c>
      <c r="C1467" s="1" t="n">
        <v>5</v>
      </c>
      <c r="D1467" s="1" t="n">
        <v>3</v>
      </c>
      <c r="E1467" s="1" t="n">
        <v>3</v>
      </c>
      <c r="F1467" s="3" t="s">
        <v>20</v>
      </c>
      <c r="G1467" s="3" t="s">
        <v>6056</v>
      </c>
      <c r="H1467" s="1" t="s">
        <v>22</v>
      </c>
      <c r="I1467" s="1" t="n">
        <v>20240430082314</v>
      </c>
      <c r="J1467" s="3" t="s">
        <v>6057</v>
      </c>
      <c r="K1467" s="3" t="s">
        <v>6058</v>
      </c>
      <c r="L1467" s="3" t="s">
        <v>6059</v>
      </c>
      <c r="M1467" s="3" t="n">
        <v>324054</v>
      </c>
      <c r="N1467" s="3" t="s">
        <v>3404</v>
      </c>
      <c r="O1467" s="1" t="n">
        <v>307668</v>
      </c>
      <c r="P1467" s="1" t="n">
        <v>94.94</v>
      </c>
      <c r="Q1467" s="1" t="s">
        <v>20</v>
      </c>
      <c r="R1467" s="1" t="s">
        <v>27</v>
      </c>
      <c r="S1467" s="1" t="s">
        <v>28</v>
      </c>
      <c r="T1467" s="1" t="s">
        <v>29</v>
      </c>
    </row>
    <row r="1468" customFormat="false" ht="18.7" hidden="false" customHeight="true" outlineLevel="0" collapsed="false">
      <c r="A1468" s="1" t="n">
        <v>1467</v>
      </c>
      <c r="B1468" s="6" t="str">
        <f aca="false">HYPERLINK("https://mncourtfraud.com/file/MCRO_27-CR-21-13752_Other Document_2021-07-23_20240430082400.pdf","MCRO_27-CR-21-13752_Other Document_2021-07-23_20240430082400.pdf")</f>
        <v>MCRO_27-CR-21-13752_Other Document_2021-07-23_20240430082400.pdf</v>
      </c>
      <c r="C1468" s="1" t="n">
        <v>4</v>
      </c>
      <c r="D1468" s="1" t="n">
        <v>1</v>
      </c>
      <c r="E1468" s="1" t="n">
        <v>1</v>
      </c>
      <c r="F1468" s="3" t="s">
        <v>20</v>
      </c>
      <c r="G1468" s="3" t="s">
        <v>6060</v>
      </c>
      <c r="H1468" s="1" t="s">
        <v>22</v>
      </c>
      <c r="I1468" s="1" t="n">
        <v>20240430082400</v>
      </c>
      <c r="J1468" s="3" t="s">
        <v>6061</v>
      </c>
      <c r="K1468" s="3" t="s">
        <v>6062</v>
      </c>
      <c r="L1468" s="3" t="s">
        <v>6063</v>
      </c>
      <c r="M1468" s="3" t="n">
        <v>106664</v>
      </c>
      <c r="N1468" s="3" t="s">
        <v>456</v>
      </c>
      <c r="O1468" s="1" t="n">
        <v>90278</v>
      </c>
      <c r="P1468" s="1" t="n">
        <v>84.64</v>
      </c>
      <c r="Q1468" s="1" t="s">
        <v>20</v>
      </c>
      <c r="R1468" s="1" t="s">
        <v>27</v>
      </c>
      <c r="S1468" s="1" t="s">
        <v>28</v>
      </c>
      <c r="T1468" s="1" t="s">
        <v>29</v>
      </c>
    </row>
    <row r="1469" customFormat="false" ht="18.7" hidden="false" customHeight="true" outlineLevel="0" collapsed="false">
      <c r="A1469" s="1" t="n">
        <v>1468</v>
      </c>
      <c r="B1469" s="6" t="str">
        <f aca="false">HYPERLINK("https://mncourtfraud.com/file/MCRO_27-CR-21-13752_Petition to Reinstate and Discharge Bond_2023-03-21_20240430082342.pdf","MCRO_27-CR-21-13752_Petition to Reinstate and Discharge Bond_2023-03-21_20240430082342.pdf")</f>
        <v>MCRO_27-CR-21-13752_Petition to Reinstate and Discharge Bond_2023-03-21_20240430082342.pdf</v>
      </c>
      <c r="C1469" s="1" t="n">
        <v>3</v>
      </c>
      <c r="D1469" s="1" t="n">
        <v>1</v>
      </c>
      <c r="E1469" s="1" t="n">
        <v>1</v>
      </c>
      <c r="F1469" s="3" t="s">
        <v>20</v>
      </c>
      <c r="G1469" s="3" t="s">
        <v>6064</v>
      </c>
      <c r="H1469" s="1" t="s">
        <v>22</v>
      </c>
      <c r="I1469" s="1" t="n">
        <v>20240430082342</v>
      </c>
      <c r="J1469" s="3" t="s">
        <v>6065</v>
      </c>
      <c r="K1469" s="3" t="s">
        <v>6066</v>
      </c>
      <c r="L1469" s="3" t="s">
        <v>6067</v>
      </c>
      <c r="M1469" s="3" t="n">
        <v>66371</v>
      </c>
      <c r="N1469" s="3" t="s">
        <v>1489</v>
      </c>
      <c r="O1469" s="1" t="n">
        <v>49985</v>
      </c>
      <c r="P1469" s="1" t="n">
        <v>75.31</v>
      </c>
      <c r="Q1469" s="1" t="s">
        <v>20</v>
      </c>
      <c r="R1469" s="1" t="s">
        <v>27</v>
      </c>
      <c r="S1469" s="1" t="s">
        <v>28</v>
      </c>
      <c r="T1469" s="1" t="s">
        <v>29</v>
      </c>
    </row>
    <row r="1470" customFormat="false" ht="18.7" hidden="false" customHeight="true" outlineLevel="0" collapsed="false">
      <c r="A1470" s="1" t="n">
        <v>1469</v>
      </c>
      <c r="B1470" s="6" t="str">
        <f aca="false">HYPERLINK("https://mncourtfraud.com/file/MCRO_27-CR-21-13752_Proposed Order or Document_2022-06-23_20240430082351.pdf","MCRO_27-CR-21-13752_Proposed Order or Document_2022-06-23_20240430082351.pdf")</f>
        <v>MCRO_27-CR-21-13752_Proposed Order or Document_2022-06-23_20240430082351.pdf</v>
      </c>
      <c r="C1470" s="1" t="n">
        <v>3</v>
      </c>
      <c r="D1470" s="1" t="n">
        <v>1</v>
      </c>
      <c r="E1470" s="1" t="n">
        <v>1</v>
      </c>
      <c r="F1470" s="3" t="s">
        <v>20</v>
      </c>
      <c r="G1470" s="3" t="s">
        <v>6068</v>
      </c>
      <c r="H1470" s="1" t="s">
        <v>22</v>
      </c>
      <c r="I1470" s="1" t="n">
        <v>20240430082351</v>
      </c>
      <c r="J1470" s="3" t="s">
        <v>6069</v>
      </c>
      <c r="K1470" s="3" t="s">
        <v>6070</v>
      </c>
      <c r="L1470" s="3" t="s">
        <v>6071</v>
      </c>
      <c r="M1470" s="3" t="n">
        <v>349621</v>
      </c>
      <c r="N1470" s="3" t="s">
        <v>3085</v>
      </c>
      <c r="O1470" s="1" t="n">
        <v>333235</v>
      </c>
      <c r="P1470" s="1" t="n">
        <v>95.31</v>
      </c>
      <c r="Q1470" s="1" t="s">
        <v>20</v>
      </c>
      <c r="R1470" s="1" t="s">
        <v>27</v>
      </c>
      <c r="S1470" s="1" t="s">
        <v>28</v>
      </c>
      <c r="T1470" s="1" t="s">
        <v>29</v>
      </c>
    </row>
    <row r="1471" customFormat="false" ht="18.7" hidden="false" customHeight="true" outlineLevel="0" collapsed="false">
      <c r="A1471" s="1" t="n">
        <v>1470</v>
      </c>
      <c r="B1471" s="6" t="str">
        <f aca="false">HYPERLINK("https://mncourtfraud.com/file/MCRO_27-CR-21-13752_Proposed Order or Document_2023-03-21_20240430082339.pdf","MCRO_27-CR-21-13752_Proposed Order or Document_2023-03-21_20240430082339.pdf")</f>
        <v>MCRO_27-CR-21-13752_Proposed Order or Document_2023-03-21_20240430082339.pdf</v>
      </c>
      <c r="C1471" s="1" t="n">
        <v>3</v>
      </c>
      <c r="D1471" s="1" t="n">
        <v>1</v>
      </c>
      <c r="E1471" s="1" t="n">
        <v>1</v>
      </c>
      <c r="F1471" s="3" t="s">
        <v>20</v>
      </c>
      <c r="G1471" s="3" t="s">
        <v>6072</v>
      </c>
      <c r="H1471" s="1" t="s">
        <v>22</v>
      </c>
      <c r="I1471" s="1" t="n">
        <v>20240430082339</v>
      </c>
      <c r="J1471" s="3" t="s">
        <v>6073</v>
      </c>
      <c r="K1471" s="3" t="s">
        <v>6074</v>
      </c>
      <c r="L1471" s="3" t="s">
        <v>6075</v>
      </c>
      <c r="M1471" s="3" t="n">
        <v>137496</v>
      </c>
      <c r="N1471" s="3" t="s">
        <v>5873</v>
      </c>
      <c r="O1471" s="1" t="n">
        <v>121110</v>
      </c>
      <c r="P1471" s="1" t="n">
        <v>88.08</v>
      </c>
      <c r="Q1471" s="1" t="s">
        <v>20</v>
      </c>
      <c r="R1471" s="1" t="s">
        <v>27</v>
      </c>
      <c r="S1471" s="1" t="s">
        <v>28</v>
      </c>
      <c r="T1471" s="1" t="s">
        <v>29</v>
      </c>
    </row>
    <row r="1472" customFormat="false" ht="18.7" hidden="false" customHeight="true" outlineLevel="0" collapsed="false">
      <c r="A1472" s="1" t="n">
        <v>1471</v>
      </c>
      <c r="B1472" s="6" t="str">
        <f aca="false">HYPERLINK("https://mncourtfraud.com/file/MCRO_27-CR-21-13752_Proposed Order or Document_2024-04-05_20240430082315.pdf","MCRO_27-CR-21-13752_Proposed Order or Document_2024-04-05_20240430082315.pdf")</f>
        <v>MCRO_27-CR-21-13752_Proposed Order or Document_2024-04-05_20240430082315.pdf</v>
      </c>
      <c r="C1472" s="1" t="n">
        <v>3</v>
      </c>
      <c r="D1472" s="1" t="n">
        <v>1</v>
      </c>
      <c r="E1472" s="1" t="n">
        <v>1</v>
      </c>
      <c r="F1472" s="3" t="s">
        <v>20</v>
      </c>
      <c r="G1472" s="3" t="s">
        <v>6076</v>
      </c>
      <c r="H1472" s="1" t="s">
        <v>22</v>
      </c>
      <c r="I1472" s="1" t="n">
        <v>20240430082315</v>
      </c>
      <c r="J1472" s="3" t="s">
        <v>6077</v>
      </c>
      <c r="K1472" s="3" t="s">
        <v>6078</v>
      </c>
      <c r="L1472" s="3" t="s">
        <v>6079</v>
      </c>
      <c r="M1472" s="3" t="n">
        <v>172809</v>
      </c>
      <c r="N1472" s="3" t="s">
        <v>1316</v>
      </c>
      <c r="O1472" s="1" t="n">
        <v>156423</v>
      </c>
      <c r="P1472" s="1" t="n">
        <v>90.52</v>
      </c>
      <c r="Q1472" s="1" t="s">
        <v>20</v>
      </c>
      <c r="R1472" s="1" t="s">
        <v>27</v>
      </c>
      <c r="S1472" s="1" t="s">
        <v>28</v>
      </c>
      <c r="T1472" s="1" t="s">
        <v>29</v>
      </c>
    </row>
    <row r="1473" customFormat="false" ht="18.7" hidden="false" customHeight="true" outlineLevel="0" collapsed="false">
      <c r="A1473" s="1" t="n">
        <v>1472</v>
      </c>
      <c r="B1473" s="6" t="str">
        <f aca="false">HYPERLINK("https://mncourtfraud.com/file/MCRO_27-CR-21-13752_Returned Mail_2021-09-08_20240430082356.pdf","MCRO_27-CR-21-13752_Returned Mail_2021-09-08_20240430082356.pdf")</f>
        <v>MCRO_27-CR-21-13752_Returned Mail_2021-09-08_20240430082356.pdf</v>
      </c>
      <c r="C1473" s="1" t="n">
        <v>4</v>
      </c>
      <c r="D1473" s="1" t="n">
        <v>1</v>
      </c>
      <c r="E1473" s="1" t="n">
        <v>1</v>
      </c>
      <c r="F1473" s="3" t="s">
        <v>20</v>
      </c>
      <c r="G1473" s="3" t="s">
        <v>6080</v>
      </c>
      <c r="H1473" s="1" t="s">
        <v>22</v>
      </c>
      <c r="I1473" s="1" t="n">
        <v>20240430082356</v>
      </c>
      <c r="J1473" s="3" t="s">
        <v>6081</v>
      </c>
      <c r="K1473" s="3" t="s">
        <v>6082</v>
      </c>
      <c r="L1473" s="3" t="s">
        <v>6083</v>
      </c>
      <c r="M1473" s="3" t="n">
        <v>208113</v>
      </c>
      <c r="N1473" s="3" t="s">
        <v>1307</v>
      </c>
      <c r="O1473" s="1" t="n">
        <v>191727</v>
      </c>
      <c r="P1473" s="1" t="n">
        <v>92.13</v>
      </c>
      <c r="Q1473" s="1" t="s">
        <v>20</v>
      </c>
      <c r="R1473" s="1" t="s">
        <v>27</v>
      </c>
      <c r="S1473" s="1" t="s">
        <v>28</v>
      </c>
      <c r="T1473" s="1" t="s">
        <v>29</v>
      </c>
    </row>
    <row r="1474" customFormat="false" ht="18.7" hidden="false" customHeight="true" outlineLevel="0" collapsed="false">
      <c r="A1474" s="1" t="n">
        <v>1473</v>
      </c>
      <c r="B1474" s="6" t="str">
        <f aca="false">HYPERLINK("https://mncourtfraud.com/file/MCRO_27-CR-21-13752_Returned Mail_2023-04-17_20240430082334.pdf","MCRO_27-CR-21-13752_Returned Mail_2023-04-17_20240430082334.pdf")</f>
        <v>MCRO_27-CR-21-13752_Returned Mail_2023-04-17_20240430082334.pdf</v>
      </c>
      <c r="C1474" s="1" t="n">
        <v>4</v>
      </c>
      <c r="D1474" s="1" t="n">
        <v>1</v>
      </c>
      <c r="E1474" s="1" t="n">
        <v>1</v>
      </c>
      <c r="F1474" s="3" t="s">
        <v>20</v>
      </c>
      <c r="G1474" s="3" t="s">
        <v>6084</v>
      </c>
      <c r="H1474" s="1" t="s">
        <v>22</v>
      </c>
      <c r="I1474" s="1" t="n">
        <v>20240430082334</v>
      </c>
      <c r="J1474" s="3" t="s">
        <v>6085</v>
      </c>
      <c r="K1474" s="3" t="s">
        <v>6086</v>
      </c>
      <c r="L1474" s="3" t="s">
        <v>1457</v>
      </c>
      <c r="M1474" s="3" t="n">
        <v>235084</v>
      </c>
      <c r="N1474" s="3" t="s">
        <v>119</v>
      </c>
      <c r="O1474" s="1" t="n">
        <v>218698</v>
      </c>
      <c r="P1474" s="1" t="n">
        <v>93.03</v>
      </c>
      <c r="Q1474" s="1" t="s">
        <v>20</v>
      </c>
      <c r="R1474" s="1" t="s">
        <v>27</v>
      </c>
      <c r="S1474" s="1" t="s">
        <v>28</v>
      </c>
      <c r="T1474" s="1" t="s">
        <v>29</v>
      </c>
    </row>
    <row r="1475" customFormat="false" ht="18.7" hidden="false" customHeight="true" outlineLevel="0" collapsed="false">
      <c r="A1475" s="1" t="n">
        <v>1474</v>
      </c>
      <c r="B1475" s="6" t="str">
        <f aca="false">HYPERLINK("https://mncourtfraud.com/file/MCRO_27-CR-21-13752_Returned Mail_2024-04-16_20240430082312.pdf","MCRO_27-CR-21-13752_Returned Mail_2024-04-16_20240430082312.pdf")</f>
        <v>MCRO_27-CR-21-13752_Returned Mail_2024-04-16_20240430082312.pdf</v>
      </c>
      <c r="C1475" s="1" t="n">
        <v>4</v>
      </c>
      <c r="D1475" s="1" t="n">
        <v>1</v>
      </c>
      <c r="E1475" s="1" t="n">
        <v>1</v>
      </c>
      <c r="F1475" s="3" t="s">
        <v>20</v>
      </c>
      <c r="G1475" s="3" t="s">
        <v>6087</v>
      </c>
      <c r="H1475" s="1" t="s">
        <v>22</v>
      </c>
      <c r="I1475" s="1" t="n">
        <v>20240430082312</v>
      </c>
      <c r="J1475" s="3" t="s">
        <v>6088</v>
      </c>
      <c r="K1475" s="3" t="s">
        <v>6089</v>
      </c>
      <c r="L1475" s="3" t="s">
        <v>6090</v>
      </c>
      <c r="M1475" s="3" t="n">
        <v>86155</v>
      </c>
      <c r="N1475" s="3" t="s">
        <v>435</v>
      </c>
      <c r="O1475" s="1" t="n">
        <v>69769</v>
      </c>
      <c r="P1475" s="1" t="n">
        <v>80.98</v>
      </c>
      <c r="Q1475" s="1" t="s">
        <v>20</v>
      </c>
      <c r="R1475" s="1" t="s">
        <v>27</v>
      </c>
      <c r="S1475" s="1" t="s">
        <v>28</v>
      </c>
      <c r="T1475" s="1" t="s">
        <v>29</v>
      </c>
    </row>
    <row r="1476" customFormat="false" ht="18.7" hidden="false" customHeight="true" outlineLevel="0" collapsed="false">
      <c r="A1476" s="1" t="n">
        <v>1475</v>
      </c>
      <c r="B1476" s="6" t="str">
        <f aca="false">HYPERLINK("https://mncourtfraud.com/file/MCRO_27-CR-21-13795_Correspondence for Judicial Approval_2022-09-14_20240430082434.pdf","MCRO_27-CR-21-13795_Correspondence for Judicial Approval_2022-09-14_20240430082434.pdf")</f>
        <v>MCRO_27-CR-21-13795_Correspondence for Judicial Approval_2022-09-14_20240430082434.pdf</v>
      </c>
      <c r="C1476" s="1" t="n">
        <v>3</v>
      </c>
      <c r="D1476" s="1" t="n">
        <v>1</v>
      </c>
      <c r="E1476" s="1" t="n">
        <v>1</v>
      </c>
      <c r="F1476" s="3" t="s">
        <v>20</v>
      </c>
      <c r="G1476" s="3" t="s">
        <v>6091</v>
      </c>
      <c r="H1476" s="1" t="s">
        <v>22</v>
      </c>
      <c r="I1476" s="1" t="n">
        <v>20240430082434</v>
      </c>
      <c r="J1476" s="3" t="s">
        <v>6092</v>
      </c>
      <c r="K1476" s="3" t="s">
        <v>6093</v>
      </c>
      <c r="L1476" s="3" t="s">
        <v>6094</v>
      </c>
      <c r="M1476" s="3" t="n">
        <v>242914</v>
      </c>
      <c r="N1476" s="3" t="s">
        <v>1673</v>
      </c>
      <c r="O1476" s="1" t="n">
        <v>226528</v>
      </c>
      <c r="P1476" s="1" t="n">
        <v>93.25</v>
      </c>
      <c r="Q1476" s="1" t="s">
        <v>20</v>
      </c>
      <c r="R1476" s="1" t="s">
        <v>27</v>
      </c>
      <c r="S1476" s="1" t="s">
        <v>28</v>
      </c>
      <c r="T1476" s="1" t="s">
        <v>29</v>
      </c>
    </row>
    <row r="1477" customFormat="false" ht="18.7" hidden="false" customHeight="true" outlineLevel="0" collapsed="false">
      <c r="A1477" s="1" t="n">
        <v>1476</v>
      </c>
      <c r="B1477" s="6" t="str">
        <f aca="false">HYPERLINK("https://mncourtfraud.com/file/MCRO_27-CR-21-13795_Demand or Request for Discovery_2021-07-29_20240430082445.pdf","MCRO_27-CR-21-13795_Demand or Request for Discovery_2021-07-29_20240430082445.pdf")</f>
        <v>MCRO_27-CR-21-13795_Demand or Request for Discovery_2021-07-29_20240430082445.pdf</v>
      </c>
      <c r="C1477" s="1" t="n">
        <v>3</v>
      </c>
      <c r="D1477" s="1" t="n">
        <v>1</v>
      </c>
      <c r="E1477" s="1" t="n">
        <v>1</v>
      </c>
      <c r="F1477" s="3" t="s">
        <v>20</v>
      </c>
      <c r="G1477" s="3" t="s">
        <v>6095</v>
      </c>
      <c r="H1477" s="1" t="s">
        <v>22</v>
      </c>
      <c r="I1477" s="1" t="n">
        <v>20240430082445</v>
      </c>
      <c r="J1477" s="3" t="s">
        <v>6096</v>
      </c>
      <c r="K1477" s="3" t="s">
        <v>6097</v>
      </c>
      <c r="L1477" s="3" t="s">
        <v>6098</v>
      </c>
      <c r="M1477" s="3" t="n">
        <v>469450</v>
      </c>
      <c r="N1477" s="3" t="s">
        <v>6099</v>
      </c>
      <c r="O1477" s="1" t="n">
        <v>453064</v>
      </c>
      <c r="P1477" s="1" t="n">
        <v>96.51</v>
      </c>
      <c r="Q1477" s="1" t="s">
        <v>20</v>
      </c>
      <c r="R1477" s="1" t="s">
        <v>27</v>
      </c>
      <c r="S1477" s="1" t="s">
        <v>28</v>
      </c>
      <c r="T1477" s="1" t="s">
        <v>29</v>
      </c>
    </row>
    <row r="1478" customFormat="false" ht="18.7" hidden="false" customHeight="true" outlineLevel="0" collapsed="false">
      <c r="A1478" s="1" t="n">
        <v>1477</v>
      </c>
      <c r="B1478" s="6" t="str">
        <f aca="false">HYPERLINK("https://mncourtfraud.com/file/MCRO_27-CR-21-13795_Dismissal by Prosecuting Attorney_2023-02-22_20240430082431.pdf","MCRO_27-CR-21-13795_Dismissal by Prosecuting Attorney_2023-02-22_20240430082431.pdf")</f>
        <v>MCRO_27-CR-21-13795_Dismissal by Prosecuting Attorney_2023-02-22_20240430082431.pdf</v>
      </c>
      <c r="C1478" s="1" t="n">
        <v>3</v>
      </c>
      <c r="D1478" s="1" t="n">
        <v>1</v>
      </c>
      <c r="E1478" s="1" t="n">
        <v>1</v>
      </c>
      <c r="F1478" s="3" t="s">
        <v>20</v>
      </c>
      <c r="G1478" s="3" t="s">
        <v>6100</v>
      </c>
      <c r="H1478" s="1" t="s">
        <v>22</v>
      </c>
      <c r="I1478" s="1" t="n">
        <v>20240430082431</v>
      </c>
      <c r="J1478" s="3" t="s">
        <v>6101</v>
      </c>
      <c r="K1478" s="3" t="s">
        <v>6102</v>
      </c>
      <c r="L1478" s="3" t="s">
        <v>6103</v>
      </c>
      <c r="M1478" s="3" t="n">
        <v>139739</v>
      </c>
      <c r="N1478" s="3" t="s">
        <v>6104</v>
      </c>
      <c r="O1478" s="1" t="n">
        <v>123353</v>
      </c>
      <c r="P1478" s="1" t="n">
        <v>88.27</v>
      </c>
      <c r="Q1478" s="1" t="s">
        <v>20</v>
      </c>
      <c r="R1478" s="1" t="s">
        <v>27</v>
      </c>
      <c r="S1478" s="1" t="s">
        <v>28</v>
      </c>
      <c r="T1478" s="1" t="s">
        <v>29</v>
      </c>
    </row>
    <row r="1479" customFormat="false" ht="18.7" hidden="false" customHeight="true" outlineLevel="0" collapsed="false">
      <c r="A1479" s="1" t="n">
        <v>1478</v>
      </c>
      <c r="B1479" s="6" t="str">
        <f aca="false">HYPERLINK("https://mncourtfraud.com/file/MCRO_27-CR-21-13795_E-filed Comp-Order for Detention_2021-07-23_20240430082448.pdf","MCRO_27-CR-21-13795_E-filed Comp-Order for Detention_2021-07-23_20240430082448.pdf")</f>
        <v>MCRO_27-CR-21-13795_E-filed Comp-Order for Detention_2021-07-23_20240430082448.pdf</v>
      </c>
      <c r="C1479" s="1" t="n">
        <v>4</v>
      </c>
      <c r="D1479" s="1" t="n">
        <v>2</v>
      </c>
      <c r="E1479" s="1" t="n">
        <v>2</v>
      </c>
      <c r="F1479" s="3" t="s">
        <v>20</v>
      </c>
      <c r="G1479" s="3" t="s">
        <v>6105</v>
      </c>
      <c r="H1479" s="1" t="s">
        <v>22</v>
      </c>
      <c r="I1479" s="1" t="n">
        <v>20240430082448</v>
      </c>
      <c r="J1479" s="3" t="s">
        <v>6106</v>
      </c>
      <c r="K1479" s="3" t="s">
        <v>6107</v>
      </c>
      <c r="L1479" s="3" t="s">
        <v>6108</v>
      </c>
      <c r="M1479" s="3" t="n">
        <v>509665</v>
      </c>
      <c r="N1479" s="3" t="s">
        <v>1619</v>
      </c>
      <c r="O1479" s="1" t="n">
        <v>493279</v>
      </c>
      <c r="P1479" s="1" t="n">
        <v>96.78</v>
      </c>
      <c r="Q1479" s="1" t="s">
        <v>20</v>
      </c>
      <c r="R1479" s="1" t="s">
        <v>27</v>
      </c>
      <c r="S1479" s="1" t="s">
        <v>28</v>
      </c>
      <c r="T1479" s="1" t="s">
        <v>29</v>
      </c>
    </row>
    <row r="1480" customFormat="false" ht="18.7" hidden="false" customHeight="true" outlineLevel="0" collapsed="false">
      <c r="A1480" s="1" t="n">
        <v>1479</v>
      </c>
      <c r="B1480" s="6" t="str">
        <f aca="false">HYPERLINK("https://mncourtfraud.com/file/MCRO_27-CR-21-13795_Findings and Order_2022-02-01_20240430082442.pdf","MCRO_27-CR-21-13795_Findings and Order_2022-02-01_20240430082442.pdf")</f>
        <v>MCRO_27-CR-21-13795_Findings and Order_2022-02-01_20240430082442.pdf</v>
      </c>
      <c r="C1480" s="1" t="n">
        <v>4</v>
      </c>
      <c r="D1480" s="1" t="n">
        <v>2</v>
      </c>
      <c r="E1480" s="1" t="n">
        <v>2</v>
      </c>
      <c r="F1480" s="3" t="s">
        <v>20</v>
      </c>
      <c r="G1480" s="3" t="s">
        <v>6109</v>
      </c>
      <c r="H1480" s="1" t="s">
        <v>22</v>
      </c>
      <c r="I1480" s="1" t="n">
        <v>20240430082442</v>
      </c>
      <c r="J1480" s="3" t="s">
        <v>6110</v>
      </c>
      <c r="K1480" s="3" t="s">
        <v>6111</v>
      </c>
      <c r="L1480" s="3" t="s">
        <v>6112</v>
      </c>
      <c r="M1480" s="3" t="n">
        <v>338948</v>
      </c>
      <c r="N1480" s="3" t="s">
        <v>2459</v>
      </c>
      <c r="O1480" s="1" t="n">
        <v>322562</v>
      </c>
      <c r="P1480" s="1" t="n">
        <v>95.17</v>
      </c>
      <c r="Q1480" s="1" t="s">
        <v>20</v>
      </c>
      <c r="R1480" s="1" t="s">
        <v>27</v>
      </c>
      <c r="S1480" s="1" t="s">
        <v>28</v>
      </c>
      <c r="T1480" s="1" t="s">
        <v>29</v>
      </c>
    </row>
    <row r="1481" customFormat="false" ht="18.7" hidden="false" customHeight="true" outlineLevel="0" collapsed="false">
      <c r="A1481" s="1" t="n">
        <v>1480</v>
      </c>
      <c r="B1481" s="6" t="str">
        <f aca="false">HYPERLINK("https://mncourtfraud.com/file/MCRO_27-CR-21-13795_Notice of Case Reassignment_2022-04-01_20240430082440.pdf","MCRO_27-CR-21-13795_Notice of Case Reassignment_2022-04-01_20240430082440.pdf")</f>
        <v>MCRO_27-CR-21-13795_Notice of Case Reassignment_2022-04-01_20240430082440.pdf</v>
      </c>
      <c r="C1481" s="1" t="n">
        <v>4</v>
      </c>
      <c r="D1481" s="1" t="n">
        <v>1</v>
      </c>
      <c r="E1481" s="1" t="n">
        <v>1</v>
      </c>
      <c r="F1481" s="3" t="s">
        <v>20</v>
      </c>
      <c r="G1481" s="3" t="s">
        <v>6113</v>
      </c>
      <c r="H1481" s="1" t="s">
        <v>22</v>
      </c>
      <c r="I1481" s="1" t="n">
        <v>20240430082440</v>
      </c>
      <c r="J1481" s="3" t="s">
        <v>6114</v>
      </c>
      <c r="K1481" s="3" t="s">
        <v>6115</v>
      </c>
      <c r="L1481" s="3" t="s">
        <v>6116</v>
      </c>
      <c r="M1481" s="3" t="n">
        <v>98152</v>
      </c>
      <c r="N1481" s="3" t="s">
        <v>456</v>
      </c>
      <c r="O1481" s="1" t="n">
        <v>81766</v>
      </c>
      <c r="P1481" s="1" t="n">
        <v>83.31</v>
      </c>
      <c r="Q1481" s="1" t="s">
        <v>20</v>
      </c>
      <c r="R1481" s="1" t="s">
        <v>27</v>
      </c>
      <c r="S1481" s="1" t="s">
        <v>28</v>
      </c>
      <c r="T1481" s="1" t="s">
        <v>29</v>
      </c>
    </row>
    <row r="1482" customFormat="false" ht="18.7" hidden="false" customHeight="true" outlineLevel="0" collapsed="false">
      <c r="A1482" s="1" t="n">
        <v>1481</v>
      </c>
      <c r="B1482" s="6" t="str">
        <f aca="false">HYPERLINK("https://mncourtfraud.com/file/MCRO_27-CR-21-13795_Notice of Case Reassignment_2023-01-13_20240430082432.pdf","MCRO_27-CR-21-13795_Notice of Case Reassignment_2023-01-13_20240430082432.pdf")</f>
        <v>MCRO_27-CR-21-13795_Notice of Case Reassignment_2023-01-13_20240430082432.pdf</v>
      </c>
      <c r="C1482" s="1" t="n">
        <v>4</v>
      </c>
      <c r="D1482" s="1" t="n">
        <v>1</v>
      </c>
      <c r="E1482" s="1" t="n">
        <v>1</v>
      </c>
      <c r="F1482" s="3" t="s">
        <v>20</v>
      </c>
      <c r="G1482" s="3" t="s">
        <v>6117</v>
      </c>
      <c r="H1482" s="1" t="s">
        <v>22</v>
      </c>
      <c r="I1482" s="1" t="n">
        <v>20240430082432</v>
      </c>
      <c r="J1482" s="3" t="s">
        <v>6118</v>
      </c>
      <c r="K1482" s="3" t="s">
        <v>6119</v>
      </c>
      <c r="L1482" s="3" t="s">
        <v>6120</v>
      </c>
      <c r="M1482" s="3" t="n">
        <v>318857</v>
      </c>
      <c r="N1482" s="3" t="s">
        <v>158</v>
      </c>
      <c r="O1482" s="1" t="n">
        <v>302471</v>
      </c>
      <c r="P1482" s="1" t="n">
        <v>94.86</v>
      </c>
      <c r="Q1482" s="1" t="s">
        <v>20</v>
      </c>
      <c r="R1482" s="1" t="s">
        <v>27</v>
      </c>
      <c r="S1482" s="1" t="s">
        <v>28</v>
      </c>
      <c r="T1482" s="1" t="s">
        <v>29</v>
      </c>
    </row>
    <row r="1483" customFormat="false" ht="18.7" hidden="false" customHeight="true" outlineLevel="0" collapsed="false">
      <c r="A1483" s="1" t="n">
        <v>1482</v>
      </c>
      <c r="B1483" s="6" t="str">
        <f aca="false">HYPERLINK("https://mncourtfraud.com/file/MCRO_27-CR-21-13795_Notice of Remote Hearing with Instructions_2021-07-27_20240430082446.pdf","MCRO_27-CR-21-13795_Notice of Remote Hearing with Instructions_2021-07-27_20240430082446.pdf")</f>
        <v>MCRO_27-CR-21-13795_Notice of Remote Hearing with Instructions_2021-07-27_20240430082446.pdf</v>
      </c>
      <c r="C1483" s="1" t="n">
        <v>4</v>
      </c>
      <c r="D1483" s="1" t="n">
        <v>1</v>
      </c>
      <c r="E1483" s="1" t="n">
        <v>1</v>
      </c>
      <c r="F1483" s="3" t="s">
        <v>20</v>
      </c>
      <c r="G1483" s="3" t="s">
        <v>6121</v>
      </c>
      <c r="H1483" s="1" t="s">
        <v>22</v>
      </c>
      <c r="I1483" s="1" t="n">
        <v>20240430082446</v>
      </c>
      <c r="J1483" s="3" t="s">
        <v>6122</v>
      </c>
      <c r="K1483" s="3" t="s">
        <v>6123</v>
      </c>
      <c r="L1483" s="3" t="s">
        <v>6124</v>
      </c>
      <c r="M1483" s="3" t="n">
        <v>159756</v>
      </c>
      <c r="N1483" s="3" t="s">
        <v>1065</v>
      </c>
      <c r="O1483" s="1" t="n">
        <v>143370</v>
      </c>
      <c r="P1483" s="1" t="n">
        <v>89.74</v>
      </c>
      <c r="Q1483" s="1" t="s">
        <v>20</v>
      </c>
      <c r="R1483" s="1" t="s">
        <v>27</v>
      </c>
      <c r="S1483" s="1" t="s">
        <v>28</v>
      </c>
      <c r="T1483" s="1" t="s">
        <v>29</v>
      </c>
    </row>
    <row r="1484" customFormat="false" ht="18.7" hidden="false" customHeight="true" outlineLevel="0" collapsed="false">
      <c r="A1484" s="1" t="n">
        <v>1483</v>
      </c>
      <c r="B1484" s="6" t="str">
        <f aca="false">HYPERLINK("https://mncourtfraud.com/file/MCRO_27-CR-21-13795_Order-Evaluation for Competency to Proceed (Rule 20.01)_2021-12-17_20240430082443.pdf","MCRO_27-CR-21-13795_Order-Evaluation for Competency to Proceed (Rule 20.01)_2021-12-17_20240430082443.pdf")</f>
        <v>MCRO_27-CR-21-13795_Order-Evaluation for Competency to Proceed (Rule 20.01)_2021-12-17_20240430082443.pdf</v>
      </c>
      <c r="C1484" s="1" t="n">
        <v>4</v>
      </c>
      <c r="D1484" s="1" t="n">
        <v>1</v>
      </c>
      <c r="E1484" s="1" t="n">
        <v>1</v>
      </c>
      <c r="F1484" s="3" t="s">
        <v>20</v>
      </c>
      <c r="G1484" s="3" t="s">
        <v>6125</v>
      </c>
      <c r="H1484" s="1" t="s">
        <v>22</v>
      </c>
      <c r="I1484" s="1" t="n">
        <v>20240430082443</v>
      </c>
      <c r="J1484" s="3" t="s">
        <v>6126</v>
      </c>
      <c r="K1484" s="3" t="s">
        <v>6127</v>
      </c>
      <c r="L1484" s="3" t="s">
        <v>6128</v>
      </c>
      <c r="M1484" s="3" t="n">
        <v>195597</v>
      </c>
      <c r="N1484" s="3" t="s">
        <v>1065</v>
      </c>
      <c r="O1484" s="1" t="n">
        <v>179211</v>
      </c>
      <c r="P1484" s="1" t="n">
        <v>91.62</v>
      </c>
      <c r="Q1484" s="1" t="s">
        <v>20</v>
      </c>
      <c r="R1484" s="1" t="s">
        <v>27</v>
      </c>
      <c r="S1484" s="1" t="s">
        <v>28</v>
      </c>
      <c r="T1484" s="1" t="s">
        <v>29</v>
      </c>
    </row>
    <row r="1485" customFormat="false" ht="18.7" hidden="false" customHeight="true" outlineLevel="0" collapsed="false">
      <c r="A1485" s="1" t="n">
        <v>1484</v>
      </c>
      <c r="B1485" s="6" t="str">
        <f aca="false">HYPERLINK("https://mncourtfraud.com/file/MCRO_27-CR-21-13795_Order-Evaluation for Competency to Proceed (Rule 20.01)_2022-05-11_20240430082437.pdf","MCRO_27-CR-21-13795_Order-Evaluation for Competency to Proceed (Rule 20.01)_2022-05-11_20240430082437.pdf")</f>
        <v>MCRO_27-CR-21-13795_Order-Evaluation for Competency to Proceed (Rule 20.01)_2022-05-11_20240430082437.pdf</v>
      </c>
      <c r="C1485" s="1" t="n">
        <v>3</v>
      </c>
      <c r="D1485" s="1" t="n">
        <v>1</v>
      </c>
      <c r="E1485" s="1" t="n">
        <v>1</v>
      </c>
      <c r="F1485" s="3" t="s">
        <v>20</v>
      </c>
      <c r="G1485" s="3" t="s">
        <v>6129</v>
      </c>
      <c r="H1485" s="1" t="s">
        <v>22</v>
      </c>
      <c r="I1485" s="1" t="n">
        <v>20240430082437</v>
      </c>
      <c r="J1485" s="3" t="s">
        <v>6130</v>
      </c>
      <c r="K1485" s="3" t="s">
        <v>6131</v>
      </c>
      <c r="L1485" s="3" t="s">
        <v>6132</v>
      </c>
      <c r="M1485" s="3" t="n">
        <v>277734</v>
      </c>
      <c r="N1485" s="3" t="s">
        <v>79</v>
      </c>
      <c r="O1485" s="1" t="n">
        <v>261348</v>
      </c>
      <c r="P1485" s="1" t="n">
        <v>94.1</v>
      </c>
      <c r="Q1485" s="1" t="s">
        <v>20</v>
      </c>
      <c r="R1485" s="1" t="s">
        <v>27</v>
      </c>
      <c r="S1485" s="1" t="s">
        <v>28</v>
      </c>
      <c r="T1485" s="1" t="s">
        <v>29</v>
      </c>
    </row>
    <row r="1486" customFormat="false" ht="18.7" hidden="false" customHeight="true" outlineLevel="0" collapsed="false">
      <c r="A1486" s="1" t="n">
        <v>1485</v>
      </c>
      <c r="B1486" s="6" t="str">
        <f aca="false">HYPERLINK("https://mncourtfraud.com/file/MCRO_27-CR-21-13795_Order for Conditional Release_2021-07-27_20240430082447.pdf","MCRO_27-CR-21-13795_Order for Conditional Release_2021-07-27_20240430082447.pdf")</f>
        <v>MCRO_27-CR-21-13795_Order for Conditional Release_2021-07-27_20240430082447.pdf</v>
      </c>
      <c r="C1486" s="1" t="n">
        <v>4</v>
      </c>
      <c r="D1486" s="1" t="n">
        <v>1</v>
      </c>
      <c r="E1486" s="1" t="n">
        <v>1</v>
      </c>
      <c r="F1486" s="3" t="s">
        <v>20</v>
      </c>
      <c r="G1486" s="3" t="s">
        <v>6133</v>
      </c>
      <c r="H1486" s="1" t="s">
        <v>22</v>
      </c>
      <c r="I1486" s="1" t="n">
        <v>20240430082447</v>
      </c>
      <c r="J1486" s="3" t="s">
        <v>6134</v>
      </c>
      <c r="K1486" s="3" t="s">
        <v>6135</v>
      </c>
      <c r="L1486" s="3" t="s">
        <v>6136</v>
      </c>
      <c r="M1486" s="3" t="n">
        <v>133424</v>
      </c>
      <c r="N1486" s="3" t="s">
        <v>456</v>
      </c>
      <c r="O1486" s="1" t="n">
        <v>117038</v>
      </c>
      <c r="P1486" s="1" t="n">
        <v>87.72</v>
      </c>
      <c r="Q1486" s="1" t="s">
        <v>20</v>
      </c>
      <c r="R1486" s="1" t="s">
        <v>27</v>
      </c>
      <c r="S1486" s="1" t="s">
        <v>28</v>
      </c>
      <c r="T1486" s="1" t="s">
        <v>29</v>
      </c>
    </row>
    <row r="1487" customFormat="false" ht="18.7" hidden="false" customHeight="true" outlineLevel="0" collapsed="false">
      <c r="A1487" s="1" t="n">
        <v>1486</v>
      </c>
      <c r="B1487" s="6" t="str">
        <f aca="false">HYPERLINK("https://mncourtfraud.com/file/MCRO_27-CR-21-13795_Order for Conditional Release_2021-12-17_20240430082444.pdf","MCRO_27-CR-21-13795_Order for Conditional Release_2021-12-17_20240430082444.pdf")</f>
        <v>MCRO_27-CR-21-13795_Order for Conditional Release_2021-12-17_20240430082444.pdf</v>
      </c>
      <c r="C1487" s="1" t="n">
        <v>4</v>
      </c>
      <c r="D1487" s="1" t="n">
        <v>1</v>
      </c>
      <c r="E1487" s="1" t="n">
        <v>1</v>
      </c>
      <c r="F1487" s="3" t="s">
        <v>20</v>
      </c>
      <c r="G1487" s="3" t="s">
        <v>6137</v>
      </c>
      <c r="H1487" s="1" t="s">
        <v>22</v>
      </c>
      <c r="I1487" s="1" t="n">
        <v>20240430082444</v>
      </c>
      <c r="J1487" s="3" t="s">
        <v>6138</v>
      </c>
      <c r="K1487" s="3" t="s">
        <v>6139</v>
      </c>
      <c r="L1487" s="3" t="s">
        <v>6140</v>
      </c>
      <c r="M1487" s="3" t="n">
        <v>137700</v>
      </c>
      <c r="N1487" s="3" t="s">
        <v>456</v>
      </c>
      <c r="O1487" s="1" t="n">
        <v>121314</v>
      </c>
      <c r="P1487" s="1" t="n">
        <v>88.1</v>
      </c>
      <c r="Q1487" s="1" t="s">
        <v>20</v>
      </c>
      <c r="R1487" s="1" t="s">
        <v>27</v>
      </c>
      <c r="S1487" s="1" t="s">
        <v>28</v>
      </c>
      <c r="T1487" s="1" t="s">
        <v>29</v>
      </c>
    </row>
    <row r="1488" customFormat="false" ht="18.7" hidden="false" customHeight="true" outlineLevel="0" collapsed="false">
      <c r="A1488" s="1" t="n">
        <v>1487</v>
      </c>
      <c r="B1488" s="6" t="str">
        <f aca="false">HYPERLINK("https://mncourtfraud.com/file/MCRO_27-CR-21-13795_Order for Conditional Release_2022-02-01_20240430082441.pdf","MCRO_27-CR-21-13795_Order for Conditional Release_2022-02-01_20240430082441.pdf")</f>
        <v>MCRO_27-CR-21-13795_Order for Conditional Release_2022-02-01_20240430082441.pdf</v>
      </c>
      <c r="C1488" s="1" t="n">
        <v>4</v>
      </c>
      <c r="D1488" s="1" t="n">
        <v>1</v>
      </c>
      <c r="E1488" s="1" t="n">
        <v>1</v>
      </c>
      <c r="F1488" s="3" t="s">
        <v>20</v>
      </c>
      <c r="G1488" s="3" t="s">
        <v>6141</v>
      </c>
      <c r="H1488" s="1" t="s">
        <v>22</v>
      </c>
      <c r="I1488" s="1" t="n">
        <v>20240430082441</v>
      </c>
      <c r="J1488" s="3" t="s">
        <v>6142</v>
      </c>
      <c r="K1488" s="3" t="s">
        <v>6143</v>
      </c>
      <c r="L1488" s="3" t="s">
        <v>6144</v>
      </c>
      <c r="M1488" s="3" t="n">
        <v>209926</v>
      </c>
      <c r="N1488" s="3" t="s">
        <v>2541</v>
      </c>
      <c r="O1488" s="1" t="n">
        <v>193540</v>
      </c>
      <c r="P1488" s="1" t="n">
        <v>92.19</v>
      </c>
      <c r="Q1488" s="1" t="s">
        <v>20</v>
      </c>
      <c r="R1488" s="1" t="s">
        <v>27</v>
      </c>
      <c r="S1488" s="1" t="s">
        <v>28</v>
      </c>
      <c r="T1488" s="1" t="s">
        <v>29</v>
      </c>
    </row>
    <row r="1489" customFormat="false" ht="18.7" hidden="false" customHeight="true" outlineLevel="0" collapsed="false">
      <c r="A1489" s="1" t="n">
        <v>1488</v>
      </c>
      <c r="B1489" s="6" t="str">
        <f aca="false">HYPERLINK("https://mncourtfraud.com/file/MCRO_27-CR-21-13795_Order for Conditional Release_2022-09-07_20240430082436.pdf","MCRO_27-CR-21-13795_Order for Conditional Release_2022-09-07_20240430082436.pdf")</f>
        <v>MCRO_27-CR-21-13795_Order for Conditional Release_2022-09-07_20240430082436.pdf</v>
      </c>
      <c r="C1489" s="1" t="n">
        <v>3</v>
      </c>
      <c r="D1489" s="1" t="n">
        <v>1</v>
      </c>
      <c r="E1489" s="1" t="n">
        <v>1</v>
      </c>
      <c r="F1489" s="3" t="s">
        <v>20</v>
      </c>
      <c r="G1489" s="3" t="s">
        <v>6145</v>
      </c>
      <c r="H1489" s="1" t="s">
        <v>22</v>
      </c>
      <c r="I1489" s="1" t="n">
        <v>20240430082436</v>
      </c>
      <c r="J1489" s="3" t="s">
        <v>6146</v>
      </c>
      <c r="K1489" s="3" t="s">
        <v>6147</v>
      </c>
      <c r="L1489" s="3" t="s">
        <v>6148</v>
      </c>
      <c r="M1489" s="3" t="n">
        <v>185640</v>
      </c>
      <c r="N1489" s="3" t="s">
        <v>984</v>
      </c>
      <c r="O1489" s="1" t="n">
        <v>169254</v>
      </c>
      <c r="P1489" s="1" t="n">
        <v>91.17</v>
      </c>
      <c r="Q1489" s="1" t="s">
        <v>20</v>
      </c>
      <c r="R1489" s="1" t="s">
        <v>27</v>
      </c>
      <c r="S1489" s="1" t="s">
        <v>28</v>
      </c>
      <c r="T1489" s="1" t="s">
        <v>29</v>
      </c>
    </row>
    <row r="1490" customFormat="false" ht="18.7" hidden="false" customHeight="true" outlineLevel="0" collapsed="false">
      <c r="A1490" s="1" t="n">
        <v>1489</v>
      </c>
      <c r="B1490" s="6" t="str">
        <f aca="false">HYPERLINK("https://mncourtfraud.com/file/MCRO_27-CR-21-13795_Order-Other_2022-09-07_20240430082435.pdf","MCRO_27-CR-21-13795_Order-Other_2022-09-07_20240430082435.pdf")</f>
        <v>MCRO_27-CR-21-13795_Order-Other_2022-09-07_20240430082435.pdf</v>
      </c>
      <c r="C1490" s="1" t="n">
        <v>3</v>
      </c>
      <c r="D1490" s="1" t="n">
        <v>1</v>
      </c>
      <c r="E1490" s="1" t="n">
        <v>1</v>
      </c>
      <c r="F1490" s="3" t="s">
        <v>20</v>
      </c>
      <c r="G1490" s="3" t="s">
        <v>6149</v>
      </c>
      <c r="H1490" s="1" t="s">
        <v>22</v>
      </c>
      <c r="I1490" s="1" t="n">
        <v>20240430082435</v>
      </c>
      <c r="J1490" s="3" t="s">
        <v>6150</v>
      </c>
      <c r="K1490" s="3" t="s">
        <v>6151</v>
      </c>
      <c r="L1490" s="3" t="s">
        <v>6152</v>
      </c>
      <c r="M1490" s="3" t="n">
        <v>243962</v>
      </c>
      <c r="N1490" s="3" t="s">
        <v>84</v>
      </c>
      <c r="O1490" s="1" t="n">
        <v>227576</v>
      </c>
      <c r="P1490" s="1" t="n">
        <v>93.28</v>
      </c>
      <c r="Q1490" s="1" t="s">
        <v>20</v>
      </c>
      <c r="R1490" s="1" t="s">
        <v>27</v>
      </c>
      <c r="S1490" s="1" t="s">
        <v>28</v>
      </c>
      <c r="T1490" s="1" t="s">
        <v>29</v>
      </c>
    </row>
    <row r="1491" customFormat="false" ht="18.7" hidden="false" customHeight="true" outlineLevel="0" collapsed="false">
      <c r="A1491" s="1" t="n">
        <v>1490</v>
      </c>
      <c r="B1491" s="6" t="str">
        <f aca="false">HYPERLINK("https://mncourtfraud.com/file/MCRO_27-CR-21-13795_Proposed Order or Document_2022-09-14_20240430082433.pdf","MCRO_27-CR-21-13795_Proposed Order or Document_2022-09-14_20240430082433.pdf")</f>
        <v>MCRO_27-CR-21-13795_Proposed Order or Document_2022-09-14_20240430082433.pdf</v>
      </c>
      <c r="C1491" s="1" t="n">
        <v>4</v>
      </c>
      <c r="D1491" s="1" t="n">
        <v>1</v>
      </c>
      <c r="E1491" s="1" t="n">
        <v>1</v>
      </c>
      <c r="F1491" s="3" t="s">
        <v>20</v>
      </c>
      <c r="G1491" s="3" t="s">
        <v>6153</v>
      </c>
      <c r="H1491" s="1" t="s">
        <v>22</v>
      </c>
      <c r="I1491" s="1" t="n">
        <v>20240430082433</v>
      </c>
      <c r="J1491" s="3" t="s">
        <v>6154</v>
      </c>
      <c r="K1491" s="3" t="s">
        <v>6155</v>
      </c>
      <c r="L1491" s="3" t="s">
        <v>6156</v>
      </c>
      <c r="M1491" s="3" t="n">
        <v>219603</v>
      </c>
      <c r="N1491" s="3" t="s">
        <v>2557</v>
      </c>
      <c r="O1491" s="1" t="n">
        <v>203217</v>
      </c>
      <c r="P1491" s="1" t="n">
        <v>92.54</v>
      </c>
      <c r="Q1491" s="1" t="s">
        <v>20</v>
      </c>
      <c r="R1491" s="1" t="s">
        <v>27</v>
      </c>
      <c r="S1491" s="1" t="s">
        <v>28</v>
      </c>
      <c r="T1491" s="1" t="s">
        <v>29</v>
      </c>
    </row>
    <row r="1492" customFormat="false" ht="18.7" hidden="false" customHeight="true" outlineLevel="0" collapsed="false">
      <c r="A1492" s="1" t="n">
        <v>1491</v>
      </c>
      <c r="B1492" s="6" t="str">
        <f aca="false">HYPERLINK("https://mncourtfraud.com/file/MCRO_27-CR-21-13795_Returned Mail_2022-04-12_20240430082438.pdf","MCRO_27-CR-21-13795_Returned Mail_2022-04-12_20240430082438.pdf")</f>
        <v>MCRO_27-CR-21-13795_Returned Mail_2022-04-12_20240430082438.pdf</v>
      </c>
      <c r="C1492" s="1" t="n">
        <v>4</v>
      </c>
      <c r="D1492" s="1" t="n">
        <v>1</v>
      </c>
      <c r="E1492" s="1" t="n">
        <v>1</v>
      </c>
      <c r="F1492" s="3" t="s">
        <v>20</v>
      </c>
      <c r="G1492" s="3" t="s">
        <v>6157</v>
      </c>
      <c r="H1492" s="1" t="s">
        <v>22</v>
      </c>
      <c r="I1492" s="1" t="n">
        <v>20240430082438</v>
      </c>
      <c r="J1492" s="3" t="s">
        <v>6158</v>
      </c>
      <c r="K1492" s="3" t="s">
        <v>6159</v>
      </c>
      <c r="L1492" s="3" t="s">
        <v>2565</v>
      </c>
      <c r="M1492" s="3" t="n">
        <v>76162</v>
      </c>
      <c r="N1492" s="3" t="s">
        <v>1307</v>
      </c>
      <c r="O1492" s="1" t="n">
        <v>59776</v>
      </c>
      <c r="P1492" s="1" t="n">
        <v>78.49</v>
      </c>
      <c r="Q1492" s="1" t="s">
        <v>20</v>
      </c>
      <c r="R1492" s="1" t="s">
        <v>27</v>
      </c>
      <c r="S1492" s="1" t="s">
        <v>28</v>
      </c>
      <c r="T1492" s="1" t="s">
        <v>29</v>
      </c>
    </row>
    <row r="1493" customFormat="false" ht="18.7" hidden="false" customHeight="true" outlineLevel="0" collapsed="false">
      <c r="A1493" s="1" t="n">
        <v>1492</v>
      </c>
      <c r="B1493" s="6" t="str">
        <f aca="false">HYPERLINK("https://mncourtfraud.com/file/MCRO_27-CR-21-14861_Demand or Request for Discovery_2021-12-27_20240430082535.pdf","MCRO_27-CR-21-14861_Demand or Request for Discovery_2021-12-27_20240430082535.pdf")</f>
        <v>MCRO_27-CR-21-14861_Demand or Request for Discovery_2021-12-27_20240430082535.pdf</v>
      </c>
      <c r="C1493" s="1" t="n">
        <v>3</v>
      </c>
      <c r="D1493" s="1" t="n">
        <v>1</v>
      </c>
      <c r="E1493" s="1" t="n">
        <v>1</v>
      </c>
      <c r="F1493" s="3" t="s">
        <v>20</v>
      </c>
      <c r="G1493" s="3" t="s">
        <v>6160</v>
      </c>
      <c r="H1493" s="1" t="s">
        <v>22</v>
      </c>
      <c r="I1493" s="1" t="n">
        <v>20240430082535</v>
      </c>
      <c r="J1493" s="3" t="s">
        <v>6161</v>
      </c>
      <c r="K1493" s="3" t="s">
        <v>6162</v>
      </c>
      <c r="L1493" s="3" t="s">
        <v>6163</v>
      </c>
      <c r="M1493" s="3" t="n">
        <v>421689</v>
      </c>
      <c r="N1493" s="3" t="s">
        <v>4306</v>
      </c>
      <c r="O1493" s="1" t="n">
        <v>405303</v>
      </c>
      <c r="P1493" s="1" t="n">
        <v>96.11</v>
      </c>
      <c r="Q1493" s="1" t="s">
        <v>20</v>
      </c>
      <c r="R1493" s="1" t="s">
        <v>27</v>
      </c>
      <c r="S1493" s="1" t="s">
        <v>28</v>
      </c>
      <c r="T1493" s="1" t="s">
        <v>29</v>
      </c>
    </row>
    <row r="1494" customFormat="false" ht="18.7" hidden="false" customHeight="true" outlineLevel="0" collapsed="false">
      <c r="A1494" s="1" t="n">
        <v>1493</v>
      </c>
      <c r="B1494" s="6" t="str">
        <f aca="false">HYPERLINK("https://mncourtfraud.com/file/MCRO_27-CR-21-14861_E-filed Comp-Summons_2021-08-10_20240430082542.pdf","MCRO_27-CR-21-14861_E-filed Comp-Summons_2021-08-10_20240430082542.pdf")</f>
        <v>MCRO_27-CR-21-14861_E-filed Comp-Summons_2021-08-10_20240430082542.pdf</v>
      </c>
      <c r="C1494" s="1" t="n">
        <v>4</v>
      </c>
      <c r="D1494" s="1" t="n">
        <v>2</v>
      </c>
      <c r="E1494" s="1" t="n">
        <v>2</v>
      </c>
      <c r="F1494" s="3" t="s">
        <v>20</v>
      </c>
      <c r="G1494" s="3" t="s">
        <v>6164</v>
      </c>
      <c r="H1494" s="1" t="s">
        <v>22</v>
      </c>
      <c r="I1494" s="1" t="n">
        <v>20240430082542</v>
      </c>
      <c r="J1494" s="3" t="s">
        <v>6165</v>
      </c>
      <c r="K1494" s="3" t="s">
        <v>6166</v>
      </c>
      <c r="L1494" s="3" t="s">
        <v>6167</v>
      </c>
      <c r="M1494" s="3" t="n">
        <v>501267</v>
      </c>
      <c r="N1494" s="3" t="s">
        <v>1707</v>
      </c>
      <c r="O1494" s="1" t="n">
        <v>484881</v>
      </c>
      <c r="P1494" s="1" t="n">
        <v>96.73</v>
      </c>
      <c r="Q1494" s="1" t="s">
        <v>20</v>
      </c>
      <c r="R1494" s="1" t="s">
        <v>27</v>
      </c>
      <c r="S1494" s="1" t="s">
        <v>28</v>
      </c>
      <c r="T1494" s="1" t="s">
        <v>29</v>
      </c>
    </row>
    <row r="1495" customFormat="false" ht="18.7" hidden="false" customHeight="true" outlineLevel="0" collapsed="false">
      <c r="A1495" s="1" t="n">
        <v>1494</v>
      </c>
      <c r="B1495" s="6" t="str">
        <f aca="false">HYPERLINK("https://mncourtfraud.com/file/MCRO_27-CR-21-14861_Finding of Incompetency and Order_2023-11-01_20240430082517.pdf","MCRO_27-CR-21-14861_Finding of Incompetency and Order_2023-11-01_20240430082517.pdf")</f>
        <v>MCRO_27-CR-21-14861_Finding of Incompetency and Order_2023-11-01_20240430082517.pdf</v>
      </c>
      <c r="C1495" s="1" t="n">
        <v>7</v>
      </c>
      <c r="D1495" s="1" t="n">
        <v>2</v>
      </c>
      <c r="E1495" s="1" t="n">
        <v>2</v>
      </c>
      <c r="F1495" s="3" t="s">
        <v>20</v>
      </c>
      <c r="G1495" s="3" t="s">
        <v>6168</v>
      </c>
      <c r="H1495" s="1" t="s">
        <v>22</v>
      </c>
      <c r="I1495" s="1" t="n">
        <v>20240430082517</v>
      </c>
      <c r="J1495" s="3" t="s">
        <v>6169</v>
      </c>
      <c r="K1495" s="3" t="s">
        <v>6170</v>
      </c>
      <c r="L1495" s="3" t="s">
        <v>6171</v>
      </c>
      <c r="M1495" s="3" t="n">
        <v>880822</v>
      </c>
      <c r="N1495" s="3" t="s">
        <v>6172</v>
      </c>
      <c r="O1495" s="1" t="n">
        <v>864436</v>
      </c>
      <c r="P1495" s="1" t="n">
        <v>98.14</v>
      </c>
      <c r="Q1495" s="1" t="s">
        <v>20</v>
      </c>
      <c r="R1495" s="1" t="s">
        <v>27</v>
      </c>
      <c r="S1495" s="1" t="s">
        <v>28</v>
      </c>
      <c r="T1495" s="1" t="s">
        <v>29</v>
      </c>
    </row>
    <row r="1496" customFormat="false" ht="18.7" hidden="false" customHeight="true" outlineLevel="0" collapsed="false">
      <c r="A1496" s="1" t="n">
        <v>1495</v>
      </c>
      <c r="B1496" s="6" t="str">
        <f aca="false">HYPERLINK("https://mncourtfraud.com/file/MCRO_27-CR-21-14861_Notice of Case Reassignment_2022-05-06_20240430082529.pdf","MCRO_27-CR-21-14861_Notice of Case Reassignment_2022-05-06_20240430082529.pdf")</f>
        <v>MCRO_27-CR-21-14861_Notice of Case Reassignment_2022-05-06_20240430082529.pdf</v>
      </c>
      <c r="C1496" s="1" t="n">
        <v>4</v>
      </c>
      <c r="D1496" s="1" t="n">
        <v>1</v>
      </c>
      <c r="E1496" s="1" t="n">
        <v>1</v>
      </c>
      <c r="F1496" s="3" t="s">
        <v>20</v>
      </c>
      <c r="G1496" s="3" t="s">
        <v>6173</v>
      </c>
      <c r="H1496" s="1" t="s">
        <v>22</v>
      </c>
      <c r="I1496" s="1" t="n">
        <v>20240430082529</v>
      </c>
      <c r="J1496" s="3" t="s">
        <v>6174</v>
      </c>
      <c r="K1496" s="3" t="s">
        <v>6175</v>
      </c>
      <c r="L1496" s="3" t="s">
        <v>6176</v>
      </c>
      <c r="M1496" s="3" t="n">
        <v>93855</v>
      </c>
      <c r="N1496" s="3" t="s">
        <v>456</v>
      </c>
      <c r="O1496" s="1" t="n">
        <v>77469</v>
      </c>
      <c r="P1496" s="1" t="n">
        <v>82.54</v>
      </c>
      <c r="Q1496" s="1" t="s">
        <v>20</v>
      </c>
      <c r="R1496" s="1" t="s">
        <v>27</v>
      </c>
      <c r="S1496" s="1" t="s">
        <v>28</v>
      </c>
      <c r="T1496" s="1" t="s">
        <v>29</v>
      </c>
    </row>
    <row r="1497" customFormat="false" ht="18.7" hidden="false" customHeight="true" outlineLevel="0" collapsed="false">
      <c r="A1497" s="1" t="n">
        <v>1496</v>
      </c>
      <c r="B1497" s="6" t="str">
        <f aca="false">HYPERLINK("https://mncourtfraud.com/file/MCRO_27-CR-21-14861_Notice of Hearing_2022-10-18_20240430082520.pdf","MCRO_27-CR-21-14861_Notice of Hearing_2022-10-18_20240430082520.pdf")</f>
        <v>MCRO_27-CR-21-14861_Notice of Hearing_2022-10-18_20240430082520.pdf</v>
      </c>
      <c r="C1497" s="1" t="n">
        <v>4</v>
      </c>
      <c r="D1497" s="1" t="n">
        <v>1</v>
      </c>
      <c r="E1497" s="1" t="n">
        <v>1</v>
      </c>
      <c r="F1497" s="3" t="s">
        <v>20</v>
      </c>
      <c r="G1497" s="3" t="s">
        <v>6177</v>
      </c>
      <c r="H1497" s="1" t="s">
        <v>22</v>
      </c>
      <c r="I1497" s="1" t="n">
        <v>20240430082520</v>
      </c>
      <c r="J1497" s="3" t="s">
        <v>6178</v>
      </c>
      <c r="K1497" s="3" t="s">
        <v>6179</v>
      </c>
      <c r="L1497" s="3" t="s">
        <v>6180</v>
      </c>
      <c r="M1497" s="3" t="n">
        <v>93763</v>
      </c>
      <c r="N1497" s="3" t="s">
        <v>3269</v>
      </c>
      <c r="O1497" s="1" t="n">
        <v>77377</v>
      </c>
      <c r="P1497" s="1" t="n">
        <v>82.52</v>
      </c>
      <c r="Q1497" s="1" t="s">
        <v>20</v>
      </c>
      <c r="R1497" s="1" t="s">
        <v>27</v>
      </c>
      <c r="S1497" s="1" t="s">
        <v>28</v>
      </c>
      <c r="T1497" s="1" t="s">
        <v>29</v>
      </c>
    </row>
    <row r="1498" customFormat="false" ht="18.7" hidden="false" customHeight="true" outlineLevel="0" collapsed="false">
      <c r="A1498" s="1" t="n">
        <v>1497</v>
      </c>
      <c r="B1498" s="6" t="str">
        <f aca="false">HYPERLINK("https://mncourtfraud.com/file/MCRO_27-CR-21-14861_Notice of Hearing_2022-11-08_20240430082519.pdf","MCRO_27-CR-21-14861_Notice of Hearing_2022-11-08_20240430082519.pdf")</f>
        <v>MCRO_27-CR-21-14861_Notice of Hearing_2022-11-08_20240430082519.pdf</v>
      </c>
      <c r="C1498" s="1" t="n">
        <v>4</v>
      </c>
      <c r="D1498" s="1" t="n">
        <v>1</v>
      </c>
      <c r="E1498" s="1" t="n">
        <v>1</v>
      </c>
      <c r="F1498" s="3" t="s">
        <v>20</v>
      </c>
      <c r="G1498" s="3" t="s">
        <v>6181</v>
      </c>
      <c r="H1498" s="1" t="s">
        <v>22</v>
      </c>
      <c r="I1498" s="1" t="n">
        <v>20240430082519</v>
      </c>
      <c r="J1498" s="3" t="s">
        <v>6182</v>
      </c>
      <c r="K1498" s="3" t="s">
        <v>6183</v>
      </c>
      <c r="L1498" s="3" t="s">
        <v>6184</v>
      </c>
      <c r="M1498" s="3" t="n">
        <v>442861</v>
      </c>
      <c r="N1498" s="3" t="s">
        <v>158</v>
      </c>
      <c r="O1498" s="1" t="n">
        <v>426475</v>
      </c>
      <c r="P1498" s="1" t="n">
        <v>96.3</v>
      </c>
      <c r="Q1498" s="1" t="s">
        <v>20</v>
      </c>
      <c r="R1498" s="1" t="s">
        <v>27</v>
      </c>
      <c r="S1498" s="1" t="s">
        <v>28</v>
      </c>
      <c r="T1498" s="1" t="s">
        <v>29</v>
      </c>
    </row>
    <row r="1499" customFormat="false" ht="18.7" hidden="false" customHeight="true" outlineLevel="0" collapsed="false">
      <c r="A1499" s="1" t="n">
        <v>1498</v>
      </c>
      <c r="B1499" s="6" t="str">
        <f aca="false">HYPERLINK("https://mncourtfraud.com/file/MCRO_27-CR-21-14861_Notice of Remote Hearing with Instructions_2021-08-10_20240430082541.pdf","MCRO_27-CR-21-14861_Notice of Remote Hearing with Instructions_2021-08-10_20240430082541.pdf")</f>
        <v>MCRO_27-CR-21-14861_Notice of Remote Hearing with Instructions_2021-08-10_20240430082541.pdf</v>
      </c>
      <c r="C1499" s="1" t="n">
        <v>5</v>
      </c>
      <c r="D1499" s="1" t="n">
        <v>1</v>
      </c>
      <c r="E1499" s="1" t="n">
        <v>1</v>
      </c>
      <c r="F1499" s="3" t="s">
        <v>20</v>
      </c>
      <c r="G1499" s="3" t="s">
        <v>6185</v>
      </c>
      <c r="H1499" s="1" t="s">
        <v>22</v>
      </c>
      <c r="I1499" s="1" t="n">
        <v>20240430082541</v>
      </c>
      <c r="J1499" s="3" t="s">
        <v>6186</v>
      </c>
      <c r="K1499" s="3" t="s">
        <v>6187</v>
      </c>
      <c r="L1499" s="3" t="s">
        <v>6188</v>
      </c>
      <c r="M1499" s="3" t="n">
        <v>1274435</v>
      </c>
      <c r="N1499" s="3" t="s">
        <v>1579</v>
      </c>
      <c r="O1499" s="1" t="n">
        <v>1258049</v>
      </c>
      <c r="P1499" s="1" t="n">
        <v>98.71</v>
      </c>
      <c r="Q1499" s="1" t="s">
        <v>20</v>
      </c>
      <c r="R1499" s="1" t="s">
        <v>27</v>
      </c>
      <c r="S1499" s="1" t="s">
        <v>28</v>
      </c>
      <c r="T1499" s="1" t="s">
        <v>29</v>
      </c>
    </row>
    <row r="1500" customFormat="false" ht="18.7" hidden="false" customHeight="true" outlineLevel="0" collapsed="false">
      <c r="A1500" s="1" t="n">
        <v>1499</v>
      </c>
      <c r="B1500" s="6" t="str">
        <f aca="false">HYPERLINK("https://mncourtfraud.com/file/MCRO_27-CR-21-14861_Notice of Remote Hearing with Instructions_2021-12-02_20240430082537.pdf","MCRO_27-CR-21-14861_Notice of Remote Hearing with Instructions_2021-12-02_20240430082537.pdf")</f>
        <v>MCRO_27-CR-21-14861_Notice of Remote Hearing with Instructions_2021-12-02_20240430082537.pdf</v>
      </c>
      <c r="C1500" s="1" t="n">
        <v>4</v>
      </c>
      <c r="D1500" s="1" t="n">
        <v>1</v>
      </c>
      <c r="E1500" s="1" t="n">
        <v>1</v>
      </c>
      <c r="F1500" s="3" t="s">
        <v>20</v>
      </c>
      <c r="G1500" s="3" t="s">
        <v>6189</v>
      </c>
      <c r="H1500" s="1" t="s">
        <v>22</v>
      </c>
      <c r="I1500" s="1" t="n">
        <v>20240430082537</v>
      </c>
      <c r="J1500" s="3" t="s">
        <v>6190</v>
      </c>
      <c r="K1500" s="3" t="s">
        <v>6191</v>
      </c>
      <c r="L1500" s="3" t="s">
        <v>6192</v>
      </c>
      <c r="M1500" s="3" t="n">
        <v>155261</v>
      </c>
      <c r="N1500" s="3" t="s">
        <v>1065</v>
      </c>
      <c r="O1500" s="1" t="n">
        <v>138875</v>
      </c>
      <c r="P1500" s="1" t="n">
        <v>89.45</v>
      </c>
      <c r="Q1500" s="1" t="s">
        <v>20</v>
      </c>
      <c r="R1500" s="1" t="s">
        <v>27</v>
      </c>
      <c r="S1500" s="1" t="s">
        <v>28</v>
      </c>
      <c r="T1500" s="1" t="s">
        <v>29</v>
      </c>
    </row>
    <row r="1501" customFormat="false" ht="18.7" hidden="false" customHeight="true" outlineLevel="0" collapsed="false">
      <c r="A1501" s="1" t="n">
        <v>1500</v>
      </c>
      <c r="B1501" s="6" t="str">
        <f aca="false">HYPERLINK("https://mncourtfraud.com/file/MCRO_27-CR-21-14861_Notice of Remote Hearing with Instructions_2021-12-27_20240430082536.pdf","MCRO_27-CR-21-14861_Notice of Remote Hearing with Instructions_2021-12-27_20240430082536.pdf")</f>
        <v>MCRO_27-CR-21-14861_Notice of Remote Hearing with Instructions_2021-12-27_20240430082536.pdf</v>
      </c>
      <c r="C1501" s="1" t="n">
        <v>4</v>
      </c>
      <c r="D1501" s="1" t="n">
        <v>1</v>
      </c>
      <c r="E1501" s="1" t="n">
        <v>1</v>
      </c>
      <c r="F1501" s="3" t="s">
        <v>20</v>
      </c>
      <c r="G1501" s="3" t="s">
        <v>6193</v>
      </c>
      <c r="H1501" s="1" t="s">
        <v>22</v>
      </c>
      <c r="I1501" s="1" t="n">
        <v>20240430082536</v>
      </c>
      <c r="J1501" s="3" t="s">
        <v>6194</v>
      </c>
      <c r="K1501" s="3" t="s">
        <v>6195</v>
      </c>
      <c r="L1501" s="3" t="s">
        <v>6196</v>
      </c>
      <c r="M1501" s="3" t="n">
        <v>161329</v>
      </c>
      <c r="N1501" s="3" t="s">
        <v>1065</v>
      </c>
      <c r="O1501" s="1" t="n">
        <v>144943</v>
      </c>
      <c r="P1501" s="1" t="n">
        <v>89.84</v>
      </c>
      <c r="Q1501" s="1" t="s">
        <v>20</v>
      </c>
      <c r="R1501" s="1" t="s">
        <v>27</v>
      </c>
      <c r="S1501" s="1" t="s">
        <v>28</v>
      </c>
      <c r="T1501" s="1" t="s">
        <v>29</v>
      </c>
    </row>
    <row r="1502" customFormat="false" ht="18.7" hidden="false" customHeight="true" outlineLevel="0" collapsed="false">
      <c r="A1502" s="1" t="n">
        <v>1501</v>
      </c>
      <c r="B1502" s="6" t="str">
        <f aca="false">HYPERLINK("https://mncourtfraud.com/file/MCRO_27-CR-21-14861_Notice of Remote Hearing with Instructions_2022-01-24_20240430082534.pdf","MCRO_27-CR-21-14861_Notice of Remote Hearing with Instructions_2022-01-24_20240430082534.pdf")</f>
        <v>MCRO_27-CR-21-14861_Notice of Remote Hearing with Instructions_2022-01-24_20240430082534.pdf</v>
      </c>
      <c r="C1502" s="1" t="n">
        <v>4</v>
      </c>
      <c r="D1502" s="1" t="n">
        <v>1</v>
      </c>
      <c r="E1502" s="1" t="n">
        <v>1</v>
      </c>
      <c r="F1502" s="3" t="s">
        <v>20</v>
      </c>
      <c r="G1502" s="3" t="s">
        <v>6197</v>
      </c>
      <c r="H1502" s="1" t="s">
        <v>22</v>
      </c>
      <c r="I1502" s="1" t="n">
        <v>20240430082534</v>
      </c>
      <c r="J1502" s="3" t="s">
        <v>6198</v>
      </c>
      <c r="K1502" s="3" t="s">
        <v>6199</v>
      </c>
      <c r="L1502" s="3" t="s">
        <v>6200</v>
      </c>
      <c r="M1502" s="3" t="n">
        <v>159616</v>
      </c>
      <c r="N1502" s="3" t="s">
        <v>1065</v>
      </c>
      <c r="O1502" s="1" t="n">
        <v>143230</v>
      </c>
      <c r="P1502" s="1" t="n">
        <v>89.73</v>
      </c>
      <c r="Q1502" s="1" t="s">
        <v>20</v>
      </c>
      <c r="R1502" s="1" t="s">
        <v>27</v>
      </c>
      <c r="S1502" s="1" t="s">
        <v>28</v>
      </c>
      <c r="T1502" s="1" t="s">
        <v>29</v>
      </c>
    </row>
    <row r="1503" customFormat="false" ht="18.7" hidden="false" customHeight="true" outlineLevel="0" collapsed="false">
      <c r="A1503" s="1" t="n">
        <v>1502</v>
      </c>
      <c r="B1503" s="6" t="str">
        <f aca="false">HYPERLINK("https://mncourtfraud.com/file/MCRO_27-CR-21-14861_Notice of Remote Hearing with Instructions_2022-02-28_20240430082533.pdf","MCRO_27-CR-21-14861_Notice of Remote Hearing with Instructions_2022-02-28_20240430082533.pdf")</f>
        <v>MCRO_27-CR-21-14861_Notice of Remote Hearing with Instructions_2022-02-28_20240430082533.pdf</v>
      </c>
      <c r="C1503" s="1" t="n">
        <v>4</v>
      </c>
      <c r="D1503" s="1" t="n">
        <v>1</v>
      </c>
      <c r="E1503" s="1" t="n">
        <v>1</v>
      </c>
      <c r="F1503" s="3" t="s">
        <v>20</v>
      </c>
      <c r="G1503" s="3" t="s">
        <v>6201</v>
      </c>
      <c r="H1503" s="1" t="s">
        <v>22</v>
      </c>
      <c r="I1503" s="1" t="n">
        <v>20240430082533</v>
      </c>
      <c r="J1503" s="3" t="s">
        <v>6202</v>
      </c>
      <c r="K1503" s="3" t="s">
        <v>6203</v>
      </c>
      <c r="L1503" s="3" t="s">
        <v>6204</v>
      </c>
      <c r="M1503" s="3" t="n">
        <v>771018</v>
      </c>
      <c r="N1503" s="3" t="s">
        <v>2852</v>
      </c>
      <c r="O1503" s="1" t="n">
        <v>754632</v>
      </c>
      <c r="P1503" s="1" t="n">
        <v>97.87</v>
      </c>
      <c r="Q1503" s="1" t="s">
        <v>20</v>
      </c>
      <c r="R1503" s="1" t="s">
        <v>27</v>
      </c>
      <c r="S1503" s="1" t="s">
        <v>28</v>
      </c>
      <c r="T1503" s="1" t="s">
        <v>29</v>
      </c>
    </row>
    <row r="1504" customFormat="false" ht="18.7" hidden="false" customHeight="true" outlineLevel="0" collapsed="false">
      <c r="A1504" s="1" t="n">
        <v>1503</v>
      </c>
      <c r="B1504" s="6" t="str">
        <f aca="false">HYPERLINK("https://mncourtfraud.com/file/MCRO_27-CR-21-14861_Notice of Remote Hearing with Instructions_2022-06-06_20240430082527.pdf","MCRO_27-CR-21-14861_Notice of Remote Hearing with Instructions_2022-06-06_20240430082527.pdf")</f>
        <v>MCRO_27-CR-21-14861_Notice of Remote Hearing with Instructions_2022-06-06_20240430082527.pdf</v>
      </c>
      <c r="C1504" s="1" t="n">
        <v>4</v>
      </c>
      <c r="D1504" s="1" t="n">
        <v>1</v>
      </c>
      <c r="E1504" s="1" t="n">
        <v>1</v>
      </c>
      <c r="F1504" s="3" t="s">
        <v>20</v>
      </c>
      <c r="G1504" s="3" t="s">
        <v>6205</v>
      </c>
      <c r="H1504" s="1" t="s">
        <v>22</v>
      </c>
      <c r="I1504" s="1" t="n">
        <v>20240430082527</v>
      </c>
      <c r="J1504" s="3" t="s">
        <v>6206</v>
      </c>
      <c r="K1504" s="3" t="s">
        <v>6207</v>
      </c>
      <c r="L1504" s="3" t="s">
        <v>6208</v>
      </c>
      <c r="M1504" s="3" t="n">
        <v>829534</v>
      </c>
      <c r="N1504" s="3" t="s">
        <v>6209</v>
      </c>
      <c r="O1504" s="1" t="n">
        <v>813148</v>
      </c>
      <c r="P1504" s="1" t="n">
        <v>98.02</v>
      </c>
      <c r="Q1504" s="1" t="s">
        <v>20</v>
      </c>
      <c r="R1504" s="1" t="s">
        <v>27</v>
      </c>
      <c r="S1504" s="1" t="s">
        <v>28</v>
      </c>
      <c r="T1504" s="1" t="s">
        <v>29</v>
      </c>
    </row>
    <row r="1505" customFormat="false" ht="18.7" hidden="false" customHeight="true" outlineLevel="0" collapsed="false">
      <c r="A1505" s="1" t="n">
        <v>1504</v>
      </c>
      <c r="B1505" s="6" t="str">
        <f aca="false">HYPERLINK("https://mncourtfraud.com/file/MCRO_27-CR-21-14861_Order-Evaluation for Competency to Proceed (Rule 20.01)_2024-02-02_20240430082516.pdf","MCRO_27-CR-21-14861_Order-Evaluation for Competency to Proceed (Rule 20.01)_2024-02-02_20240430082516.pdf")</f>
        <v>MCRO_27-CR-21-14861_Order-Evaluation for Competency to Proceed (Rule 20.01)_2024-02-02_20240430082516.pdf</v>
      </c>
      <c r="C1505" s="1" t="n">
        <v>6</v>
      </c>
      <c r="D1505" s="1" t="n">
        <v>2</v>
      </c>
      <c r="E1505" s="1" t="n">
        <v>2</v>
      </c>
      <c r="F1505" s="3" t="s">
        <v>20</v>
      </c>
      <c r="G1505" s="3" t="s">
        <v>6210</v>
      </c>
      <c r="H1505" s="1" t="s">
        <v>22</v>
      </c>
      <c r="I1505" s="1" t="n">
        <v>20240430082516</v>
      </c>
      <c r="J1505" s="3" t="s">
        <v>6211</v>
      </c>
      <c r="K1505" s="3" t="s">
        <v>6212</v>
      </c>
      <c r="L1505" s="3" t="s">
        <v>6213</v>
      </c>
      <c r="M1505" s="3" t="n">
        <v>866975</v>
      </c>
      <c r="N1505" s="3" t="s">
        <v>6214</v>
      </c>
      <c r="O1505" s="1" t="n">
        <v>850589</v>
      </c>
      <c r="P1505" s="1" t="n">
        <v>98.11</v>
      </c>
      <c r="Q1505" s="1" t="s">
        <v>20</v>
      </c>
      <c r="R1505" s="1" t="s">
        <v>27</v>
      </c>
      <c r="S1505" s="1" t="s">
        <v>28</v>
      </c>
      <c r="T1505" s="1" t="s">
        <v>29</v>
      </c>
    </row>
    <row r="1506" customFormat="false" ht="18.7" hidden="false" customHeight="true" outlineLevel="0" collapsed="false">
      <c r="A1506" s="1" t="n">
        <v>1505</v>
      </c>
      <c r="B1506" s="6" t="str">
        <f aca="false">HYPERLINK("https://mncourtfraud.com/file/MCRO_27-CR-21-14861_Order-Other_2022-07-29_20240430082523.pdf","MCRO_27-CR-21-14861_Order-Other_2022-07-29_20240430082523.pdf")</f>
        <v>MCRO_27-CR-21-14861_Order-Other_2022-07-29_20240430082523.pdf</v>
      </c>
      <c r="C1506" s="1" t="n">
        <v>4</v>
      </c>
      <c r="D1506" s="1" t="n">
        <v>1</v>
      </c>
      <c r="E1506" s="1" t="n">
        <v>1</v>
      </c>
      <c r="F1506" s="3" t="s">
        <v>20</v>
      </c>
      <c r="G1506" s="3" t="s">
        <v>6215</v>
      </c>
      <c r="H1506" s="1" t="s">
        <v>22</v>
      </c>
      <c r="I1506" s="1" t="n">
        <v>20240430082523</v>
      </c>
      <c r="J1506" s="3" t="s">
        <v>6216</v>
      </c>
      <c r="K1506" s="3" t="s">
        <v>6217</v>
      </c>
      <c r="L1506" s="3" t="s">
        <v>6218</v>
      </c>
      <c r="M1506" s="3" t="n">
        <v>711161</v>
      </c>
      <c r="N1506" s="3" t="s">
        <v>2818</v>
      </c>
      <c r="O1506" s="1" t="n">
        <v>694775</v>
      </c>
      <c r="P1506" s="1" t="n">
        <v>97.7</v>
      </c>
      <c r="Q1506" s="1" t="s">
        <v>20</v>
      </c>
      <c r="R1506" s="1" t="s">
        <v>27</v>
      </c>
      <c r="S1506" s="1" t="s">
        <v>28</v>
      </c>
      <c r="T1506" s="1" t="s">
        <v>29</v>
      </c>
    </row>
    <row r="1507" customFormat="false" ht="18.7" hidden="false" customHeight="true" outlineLevel="0" collapsed="false">
      <c r="A1507" s="1" t="n">
        <v>1506</v>
      </c>
      <c r="B1507" s="6" t="str">
        <f aca="false">HYPERLINK("https://mncourtfraud.com/file/MCRO_27-CR-21-14861_Petition to Enter Guilty Plea_2022-04-25_20240430082530.pdf","MCRO_27-CR-21-14861_Petition to Enter Guilty Plea_2022-04-25_20240430082530.pdf")</f>
        <v>MCRO_27-CR-21-14861_Petition to Enter Guilty Plea_2022-04-25_20240430082530.pdf</v>
      </c>
      <c r="C1507" s="1" t="n">
        <v>4</v>
      </c>
      <c r="D1507" s="1" t="n">
        <v>1</v>
      </c>
      <c r="E1507" s="1" t="n">
        <v>1</v>
      </c>
      <c r="F1507" s="3" t="s">
        <v>20</v>
      </c>
      <c r="G1507" s="3" t="s">
        <v>6219</v>
      </c>
      <c r="H1507" s="1" t="s">
        <v>22</v>
      </c>
      <c r="I1507" s="1" t="n">
        <v>20240430082530</v>
      </c>
      <c r="J1507" s="3" t="s">
        <v>6220</v>
      </c>
      <c r="K1507" s="3" t="s">
        <v>6221</v>
      </c>
      <c r="L1507" s="3" t="s">
        <v>6222</v>
      </c>
      <c r="M1507" s="3" t="n">
        <v>1062218</v>
      </c>
      <c r="N1507" s="3" t="s">
        <v>1659</v>
      </c>
      <c r="O1507" s="1" t="n">
        <v>1045832</v>
      </c>
      <c r="P1507" s="1" t="n">
        <v>98.46</v>
      </c>
      <c r="Q1507" s="1" t="s">
        <v>20</v>
      </c>
      <c r="R1507" s="1" t="s">
        <v>27</v>
      </c>
      <c r="S1507" s="1" t="s">
        <v>28</v>
      </c>
      <c r="T1507" s="1" t="s">
        <v>29</v>
      </c>
    </row>
    <row r="1508" customFormat="false" ht="18.7" hidden="false" customHeight="true" outlineLevel="0" collapsed="false">
      <c r="A1508" s="1" t="n">
        <v>1507</v>
      </c>
      <c r="B1508" s="6" t="str">
        <f aca="false">HYPERLINK("https://mncourtfraud.com/file/MCRO_27-CR-21-14861_Probation Referral Notification_2022-04-25_20240430082531.pdf","MCRO_27-CR-21-14861_Probation Referral Notification_2022-04-25_20240430082531.pdf")</f>
        <v>MCRO_27-CR-21-14861_Probation Referral Notification_2022-04-25_20240430082531.pdf</v>
      </c>
      <c r="C1508" s="1" t="n">
        <v>4</v>
      </c>
      <c r="D1508" s="1" t="n">
        <v>1</v>
      </c>
      <c r="E1508" s="1" t="n">
        <v>1</v>
      </c>
      <c r="F1508" s="3" t="s">
        <v>20</v>
      </c>
      <c r="G1508" s="3" t="s">
        <v>6223</v>
      </c>
      <c r="H1508" s="1" t="s">
        <v>22</v>
      </c>
      <c r="I1508" s="1" t="n">
        <v>20240430082531</v>
      </c>
      <c r="J1508" s="3" t="s">
        <v>6224</v>
      </c>
      <c r="K1508" s="3" t="s">
        <v>6225</v>
      </c>
      <c r="L1508" s="3" t="s">
        <v>6226</v>
      </c>
      <c r="M1508" s="3" t="n">
        <v>100736</v>
      </c>
      <c r="N1508" s="3" t="s">
        <v>614</v>
      </c>
      <c r="O1508" s="1" t="n">
        <v>84350</v>
      </c>
      <c r="P1508" s="1" t="n">
        <v>83.73</v>
      </c>
      <c r="Q1508" s="1" t="s">
        <v>20</v>
      </c>
      <c r="R1508" s="1" t="s">
        <v>27</v>
      </c>
      <c r="S1508" s="1" t="s">
        <v>28</v>
      </c>
      <c r="T1508" s="1" t="s">
        <v>29</v>
      </c>
    </row>
    <row r="1509" customFormat="false" ht="18.7" hidden="false" customHeight="true" outlineLevel="0" collapsed="false">
      <c r="A1509" s="1" t="n">
        <v>1508</v>
      </c>
      <c r="B1509" s="6" t="str">
        <f aca="false">HYPERLINK("https://mncourtfraud.com/file/MCRO_27-CR-21-14861_Probation Referral Notification_2022-06-27_20240430082526.pdf","MCRO_27-CR-21-14861_Probation Referral Notification_2022-06-27_20240430082526.pdf")</f>
        <v>MCRO_27-CR-21-14861_Probation Referral Notification_2022-06-27_20240430082526.pdf</v>
      </c>
      <c r="C1509" s="1" t="n">
        <v>4</v>
      </c>
      <c r="D1509" s="1" t="n">
        <v>1</v>
      </c>
      <c r="E1509" s="1" t="n">
        <v>1</v>
      </c>
      <c r="F1509" s="3" t="s">
        <v>20</v>
      </c>
      <c r="G1509" s="3" t="s">
        <v>6227</v>
      </c>
      <c r="H1509" s="1" t="s">
        <v>22</v>
      </c>
      <c r="I1509" s="1" t="n">
        <v>20240430082526</v>
      </c>
      <c r="J1509" s="3" t="s">
        <v>6228</v>
      </c>
      <c r="K1509" s="3" t="s">
        <v>6229</v>
      </c>
      <c r="L1509" s="3" t="s">
        <v>6230</v>
      </c>
      <c r="M1509" s="3" t="n">
        <v>120842</v>
      </c>
      <c r="N1509" s="3" t="s">
        <v>456</v>
      </c>
      <c r="O1509" s="1" t="n">
        <v>104456</v>
      </c>
      <c r="P1509" s="1" t="n">
        <v>86.44</v>
      </c>
      <c r="Q1509" s="1" t="s">
        <v>20</v>
      </c>
      <c r="R1509" s="1" t="s">
        <v>27</v>
      </c>
      <c r="S1509" s="1" t="s">
        <v>28</v>
      </c>
      <c r="T1509" s="1" t="s">
        <v>29</v>
      </c>
    </row>
    <row r="1510" customFormat="false" ht="18.7" hidden="false" customHeight="true" outlineLevel="0" collapsed="false">
      <c r="A1510" s="1" t="n">
        <v>1509</v>
      </c>
      <c r="B1510" s="6" t="str">
        <f aca="false">HYPERLINK("https://mncourtfraud.com/file/MCRO_27-CR-21-14861_Probation Violation Order for Detention_2023-09-29_20240430082518.pdf","MCRO_27-CR-21-14861_Probation Violation Order for Detention_2023-09-29_20240430082518.pdf")</f>
        <v>MCRO_27-CR-21-14861_Probation Violation Order for Detention_2023-09-29_20240430082518.pdf</v>
      </c>
      <c r="C1510" s="1" t="n">
        <v>5</v>
      </c>
      <c r="D1510" s="1" t="n">
        <v>4</v>
      </c>
      <c r="E1510" s="1" t="n">
        <v>4</v>
      </c>
      <c r="F1510" s="3" t="s">
        <v>20</v>
      </c>
      <c r="G1510" s="3" t="s">
        <v>6231</v>
      </c>
      <c r="H1510" s="1" t="s">
        <v>22</v>
      </c>
      <c r="I1510" s="1" t="n">
        <v>20240430082518</v>
      </c>
      <c r="J1510" s="3" t="s">
        <v>6232</v>
      </c>
      <c r="K1510" s="3" t="s">
        <v>6233</v>
      </c>
      <c r="L1510" s="3" t="s">
        <v>6234</v>
      </c>
      <c r="M1510" s="3" t="n">
        <v>355632</v>
      </c>
      <c r="N1510" s="3" t="s">
        <v>6235</v>
      </c>
      <c r="O1510" s="1" t="n">
        <v>339246</v>
      </c>
      <c r="P1510" s="1" t="n">
        <v>95.39</v>
      </c>
      <c r="Q1510" s="1" t="s">
        <v>20</v>
      </c>
      <c r="R1510" s="1" t="s">
        <v>27</v>
      </c>
      <c r="S1510" s="1" t="s">
        <v>28</v>
      </c>
      <c r="T1510" s="1" t="s">
        <v>29</v>
      </c>
    </row>
    <row r="1511" customFormat="false" ht="18.7" hidden="false" customHeight="true" outlineLevel="0" collapsed="false">
      <c r="A1511" s="1" t="n">
        <v>1510</v>
      </c>
      <c r="B1511" s="6" t="str">
        <f aca="false">HYPERLINK("https://mncourtfraud.com/file/MCRO_27-CR-21-14861_Restitution Order_2022-07-29_20240430082525.pdf","MCRO_27-CR-21-14861_Restitution Order_2022-07-29_20240430082525.pdf")</f>
        <v>MCRO_27-CR-21-14861_Restitution Order_2022-07-29_20240430082525.pdf</v>
      </c>
      <c r="C1511" s="1" t="n">
        <v>4</v>
      </c>
      <c r="D1511" s="1" t="n">
        <v>1</v>
      </c>
      <c r="E1511" s="1" t="n">
        <v>1</v>
      </c>
      <c r="F1511" s="3" t="s">
        <v>20</v>
      </c>
      <c r="G1511" s="3" t="s">
        <v>6236</v>
      </c>
      <c r="H1511" s="1" t="s">
        <v>22</v>
      </c>
      <c r="I1511" s="1" t="n">
        <v>20240430082525</v>
      </c>
      <c r="J1511" s="3" t="s">
        <v>6237</v>
      </c>
      <c r="K1511" s="3" t="s">
        <v>6238</v>
      </c>
      <c r="L1511" s="3" t="s">
        <v>6239</v>
      </c>
      <c r="M1511" s="3" t="n">
        <v>741660</v>
      </c>
      <c r="N1511" s="3" t="s">
        <v>3837</v>
      </c>
      <c r="O1511" s="1" t="n">
        <v>725274</v>
      </c>
      <c r="P1511" s="1" t="n">
        <v>97.79</v>
      </c>
      <c r="Q1511" s="1" t="s">
        <v>20</v>
      </c>
      <c r="R1511" s="1" t="s">
        <v>27</v>
      </c>
      <c r="S1511" s="1" t="s">
        <v>28</v>
      </c>
      <c r="T1511" s="1" t="s">
        <v>29</v>
      </c>
    </row>
    <row r="1512" customFormat="false" ht="18.7" hidden="false" customHeight="true" outlineLevel="0" collapsed="false">
      <c r="A1512" s="1" t="n">
        <v>1511</v>
      </c>
      <c r="B1512" s="6" t="str">
        <f aca="false">HYPERLINK("https://mncourtfraud.com/file/MCRO_27-CR-21-14861_Returned Mail_2021-08-16_20240430082539.pdf","MCRO_27-CR-21-14861_Returned Mail_2021-08-16_20240430082539.pdf")</f>
        <v>MCRO_27-CR-21-14861_Returned Mail_2021-08-16_20240430082539.pdf</v>
      </c>
      <c r="C1512" s="1" t="n">
        <v>4</v>
      </c>
      <c r="D1512" s="1" t="n">
        <v>1</v>
      </c>
      <c r="E1512" s="1" t="n">
        <v>1</v>
      </c>
      <c r="F1512" s="3" t="s">
        <v>20</v>
      </c>
      <c r="G1512" s="3" t="s">
        <v>6240</v>
      </c>
      <c r="H1512" s="1" t="s">
        <v>22</v>
      </c>
      <c r="I1512" s="1" t="n">
        <v>20240430082539</v>
      </c>
      <c r="J1512" s="3" t="s">
        <v>6241</v>
      </c>
      <c r="K1512" s="3" t="s">
        <v>6242</v>
      </c>
      <c r="L1512" s="3" t="s">
        <v>6243</v>
      </c>
      <c r="M1512" s="3" t="n">
        <v>150986</v>
      </c>
      <c r="N1512" s="3" t="s">
        <v>3269</v>
      </c>
      <c r="O1512" s="1" t="n">
        <v>134600</v>
      </c>
      <c r="P1512" s="1" t="n">
        <v>89.15</v>
      </c>
      <c r="Q1512" s="1" t="s">
        <v>20</v>
      </c>
      <c r="R1512" s="1" t="s">
        <v>27</v>
      </c>
      <c r="S1512" s="1" t="s">
        <v>28</v>
      </c>
      <c r="T1512" s="1" t="s">
        <v>29</v>
      </c>
    </row>
    <row r="1513" customFormat="false" ht="18.7" hidden="false" customHeight="true" outlineLevel="0" collapsed="false">
      <c r="A1513" s="1" t="n">
        <v>1512</v>
      </c>
      <c r="B1513" s="6" t="str">
        <f aca="false">HYPERLINK("https://mncourtfraud.com/file/MCRO_27-CR-21-14861_Returned Mail_2022-05-16_20240430082528.pdf","MCRO_27-CR-21-14861_Returned Mail_2022-05-16_20240430082528.pdf")</f>
        <v>MCRO_27-CR-21-14861_Returned Mail_2022-05-16_20240430082528.pdf</v>
      </c>
      <c r="C1513" s="1" t="n">
        <v>4</v>
      </c>
      <c r="D1513" s="1" t="n">
        <v>1</v>
      </c>
      <c r="E1513" s="1" t="n">
        <v>1</v>
      </c>
      <c r="F1513" s="3" t="s">
        <v>20</v>
      </c>
      <c r="G1513" s="3" t="s">
        <v>6244</v>
      </c>
      <c r="H1513" s="1" t="s">
        <v>22</v>
      </c>
      <c r="I1513" s="1" t="n">
        <v>20240430082528</v>
      </c>
      <c r="J1513" s="3" t="s">
        <v>6245</v>
      </c>
      <c r="K1513" s="3" t="s">
        <v>6246</v>
      </c>
      <c r="L1513" s="3" t="s">
        <v>6247</v>
      </c>
      <c r="M1513" s="3" t="n">
        <v>95124</v>
      </c>
      <c r="N1513" s="3" t="s">
        <v>456</v>
      </c>
      <c r="O1513" s="1" t="n">
        <v>78738</v>
      </c>
      <c r="P1513" s="1" t="n">
        <v>82.77</v>
      </c>
      <c r="Q1513" s="1" t="s">
        <v>20</v>
      </c>
      <c r="R1513" s="1" t="s">
        <v>27</v>
      </c>
      <c r="S1513" s="1" t="s">
        <v>28</v>
      </c>
      <c r="T1513" s="1" t="s">
        <v>29</v>
      </c>
    </row>
    <row r="1514" customFormat="false" ht="18.7" hidden="false" customHeight="true" outlineLevel="0" collapsed="false">
      <c r="A1514" s="1" t="n">
        <v>1513</v>
      </c>
      <c r="B1514" s="6" t="str">
        <f aca="false">HYPERLINK("https://mncourtfraud.com/file/MCRO_27-CR-21-14861_Sentencing Order_2022-07-29_20240430082524.pdf","MCRO_27-CR-21-14861_Sentencing Order_2022-07-29_20240430082524.pdf")</f>
        <v>MCRO_27-CR-21-14861_Sentencing Order_2022-07-29_20240430082524.pdf</v>
      </c>
      <c r="C1514" s="1" t="n">
        <v>4</v>
      </c>
      <c r="D1514" s="1" t="n">
        <v>1</v>
      </c>
      <c r="E1514" s="1" t="n">
        <v>1</v>
      </c>
      <c r="F1514" s="3" t="s">
        <v>20</v>
      </c>
      <c r="G1514" s="3" t="s">
        <v>6248</v>
      </c>
      <c r="H1514" s="1" t="s">
        <v>22</v>
      </c>
      <c r="I1514" s="1" t="n">
        <v>20240430082524</v>
      </c>
      <c r="J1514" s="3" t="s">
        <v>6249</v>
      </c>
      <c r="K1514" s="3" t="s">
        <v>6250</v>
      </c>
      <c r="L1514" s="3" t="s">
        <v>6251</v>
      </c>
      <c r="M1514" s="3" t="n">
        <v>711967</v>
      </c>
      <c r="N1514" s="3" t="s">
        <v>6055</v>
      </c>
      <c r="O1514" s="1" t="n">
        <v>695581</v>
      </c>
      <c r="P1514" s="1" t="n">
        <v>97.7</v>
      </c>
      <c r="Q1514" s="1" t="s">
        <v>20</v>
      </c>
      <c r="R1514" s="1" t="s">
        <v>27</v>
      </c>
      <c r="S1514" s="1" t="s">
        <v>28</v>
      </c>
      <c r="T1514" s="1" t="s">
        <v>29</v>
      </c>
    </row>
    <row r="1515" customFormat="false" ht="18.7" hidden="false" customHeight="true" outlineLevel="0" collapsed="false">
      <c r="A1515" s="1" t="n">
        <v>1514</v>
      </c>
      <c r="B1515" s="6" t="str">
        <f aca="false">HYPERLINK("https://mncourtfraud.com/file/MCRO_27-CR-21-14861_Summons_2022-10-17_20240430082522.pdf","MCRO_27-CR-21-14861_Summons_2022-10-17_20240430082522.pdf")</f>
        <v>MCRO_27-CR-21-14861_Summons_2022-10-17_20240430082522.pdf</v>
      </c>
      <c r="C1515" s="1" t="n">
        <v>4</v>
      </c>
      <c r="D1515" s="1" t="n">
        <v>1</v>
      </c>
      <c r="E1515" s="1" t="n">
        <v>1</v>
      </c>
      <c r="F1515" s="3" t="s">
        <v>20</v>
      </c>
      <c r="G1515" s="3" t="s">
        <v>6252</v>
      </c>
      <c r="H1515" s="1" t="s">
        <v>22</v>
      </c>
      <c r="I1515" s="1" t="n">
        <v>20240430082522</v>
      </c>
      <c r="J1515" s="3" t="s">
        <v>6253</v>
      </c>
      <c r="K1515" s="3" t="s">
        <v>6254</v>
      </c>
      <c r="L1515" s="3" t="s">
        <v>6255</v>
      </c>
      <c r="M1515" s="3" t="n">
        <v>758075</v>
      </c>
      <c r="N1515" s="3" t="s">
        <v>6256</v>
      </c>
      <c r="O1515" s="1" t="n">
        <v>741689</v>
      </c>
      <c r="P1515" s="1" t="n">
        <v>97.84</v>
      </c>
      <c r="Q1515" s="1" t="s">
        <v>20</v>
      </c>
      <c r="R1515" s="1" t="s">
        <v>27</v>
      </c>
      <c r="S1515" s="1" t="s">
        <v>28</v>
      </c>
      <c r="T1515" s="1" t="s">
        <v>29</v>
      </c>
    </row>
    <row r="1516" customFormat="false" ht="18.7" hidden="false" customHeight="true" outlineLevel="0" collapsed="false">
      <c r="A1516" s="1" t="n">
        <v>1515</v>
      </c>
      <c r="B1516" s="6" t="str">
        <f aca="false">HYPERLINK("https://mncourtfraud.com/file/MCRO_27-CR-21-14861_Warrant Issued_2021-08-26_20240430082539.pdf","MCRO_27-CR-21-14861_Warrant Issued_2021-08-26_20240430082539.pdf")</f>
        <v>MCRO_27-CR-21-14861_Warrant Issued_2021-08-26_20240430082539.pdf</v>
      </c>
      <c r="C1516" s="1" t="n">
        <v>4</v>
      </c>
      <c r="D1516" s="1" t="n">
        <v>1</v>
      </c>
      <c r="E1516" s="1" t="n">
        <v>1</v>
      </c>
      <c r="F1516" s="3" t="s">
        <v>20</v>
      </c>
      <c r="G1516" s="3" t="s">
        <v>6257</v>
      </c>
      <c r="H1516" s="1" t="s">
        <v>22</v>
      </c>
      <c r="I1516" s="1" t="n">
        <v>20240430082539</v>
      </c>
      <c r="J1516" s="3" t="s">
        <v>6258</v>
      </c>
      <c r="K1516" s="3" t="s">
        <v>6259</v>
      </c>
      <c r="L1516" s="3" t="s">
        <v>6260</v>
      </c>
      <c r="M1516" s="3" t="n">
        <v>824303</v>
      </c>
      <c r="N1516" s="3" t="s">
        <v>44</v>
      </c>
      <c r="O1516" s="1" t="n">
        <v>807917</v>
      </c>
      <c r="P1516" s="1" t="n">
        <v>98.01</v>
      </c>
      <c r="Q1516" s="1" t="s">
        <v>20</v>
      </c>
      <c r="R1516" s="1" t="s">
        <v>27</v>
      </c>
      <c r="S1516" s="1" t="s">
        <v>28</v>
      </c>
      <c r="T1516" s="1" t="s">
        <v>29</v>
      </c>
    </row>
    <row r="1517" customFormat="false" ht="18.7" hidden="false" customHeight="true" outlineLevel="0" collapsed="false">
      <c r="A1517" s="1" t="n">
        <v>1516</v>
      </c>
      <c r="B1517" s="6" t="str">
        <f aca="false">HYPERLINK("https://mncourtfraud.com/file/MCRO_27-CR-21-14861_Witness List_2022-04-19_20240430082532.pdf","MCRO_27-CR-21-14861_Witness List_2022-04-19_20240430082532.pdf")</f>
        <v>MCRO_27-CR-21-14861_Witness List_2022-04-19_20240430082532.pdf</v>
      </c>
      <c r="C1517" s="1" t="n">
        <v>3</v>
      </c>
      <c r="D1517" s="1" t="n">
        <v>1</v>
      </c>
      <c r="E1517" s="1" t="n">
        <v>1</v>
      </c>
      <c r="F1517" s="3" t="s">
        <v>20</v>
      </c>
      <c r="G1517" s="3" t="s">
        <v>6261</v>
      </c>
      <c r="H1517" s="1" t="s">
        <v>22</v>
      </c>
      <c r="I1517" s="1" t="n">
        <v>20240430082532</v>
      </c>
      <c r="J1517" s="3" t="s">
        <v>6262</v>
      </c>
      <c r="K1517" s="3" t="s">
        <v>6263</v>
      </c>
      <c r="L1517" s="3" t="s">
        <v>6264</v>
      </c>
      <c r="M1517" s="3" t="n">
        <v>269883</v>
      </c>
      <c r="N1517" s="3" t="s">
        <v>650</v>
      </c>
      <c r="O1517" s="1" t="n">
        <v>253497</v>
      </c>
      <c r="P1517" s="1" t="n">
        <v>93.93</v>
      </c>
      <c r="Q1517" s="1" t="s">
        <v>20</v>
      </c>
      <c r="R1517" s="1" t="s">
        <v>27</v>
      </c>
      <c r="S1517" s="1" t="s">
        <v>28</v>
      </c>
      <c r="T1517" s="1" t="s">
        <v>29</v>
      </c>
    </row>
    <row r="1518" customFormat="false" ht="18.7" hidden="false" customHeight="true" outlineLevel="0" collapsed="false">
      <c r="A1518" s="1" t="n">
        <v>1517</v>
      </c>
      <c r="B1518" s="6" t="str">
        <f aca="false">HYPERLINK("https://mncourtfraud.com/file/MCRO_27-CR-21-16111_Demand or Request for Discovery_2021-09-28_20240430082650.pdf","MCRO_27-CR-21-16111_Demand or Request for Discovery_2021-09-28_20240430082650.pdf")</f>
        <v>MCRO_27-CR-21-16111_Demand or Request for Discovery_2021-09-28_20240430082650.pdf</v>
      </c>
      <c r="C1518" s="1" t="n">
        <v>3</v>
      </c>
      <c r="D1518" s="1" t="n">
        <v>1</v>
      </c>
      <c r="E1518" s="1" t="n">
        <v>1</v>
      </c>
      <c r="F1518" s="3" t="s">
        <v>20</v>
      </c>
      <c r="G1518" s="3" t="s">
        <v>6265</v>
      </c>
      <c r="H1518" s="1" t="s">
        <v>22</v>
      </c>
      <c r="I1518" s="1" t="n">
        <v>20240430082650</v>
      </c>
      <c r="J1518" s="3" t="s">
        <v>6266</v>
      </c>
      <c r="K1518" s="3" t="s">
        <v>6267</v>
      </c>
      <c r="L1518" s="3" t="s">
        <v>6268</v>
      </c>
      <c r="M1518" s="3" t="n">
        <v>412420</v>
      </c>
      <c r="N1518" s="3" t="s">
        <v>1645</v>
      </c>
      <c r="O1518" s="1" t="n">
        <v>396034</v>
      </c>
      <c r="P1518" s="1" t="n">
        <v>96.03</v>
      </c>
      <c r="Q1518" s="1" t="s">
        <v>20</v>
      </c>
      <c r="R1518" s="1" t="s">
        <v>27</v>
      </c>
      <c r="S1518" s="1" t="s">
        <v>28</v>
      </c>
      <c r="T1518" s="1" t="s">
        <v>29</v>
      </c>
    </row>
    <row r="1519" customFormat="false" ht="18.7" hidden="false" customHeight="true" outlineLevel="0" collapsed="false">
      <c r="A1519" s="1" t="n">
        <v>1518</v>
      </c>
      <c r="B1519" s="6" t="str">
        <f aca="false">HYPERLINK("https://mncourtfraud.com/file/MCRO_27-CR-21-16111_E-filed Comp-Order for Detention_2021-08-27_20240430082652.pdf","MCRO_27-CR-21-16111_E-filed Comp-Order for Detention_2021-08-27_20240430082652.pdf")</f>
        <v>MCRO_27-CR-21-16111_E-filed Comp-Order for Detention_2021-08-27_20240430082652.pdf</v>
      </c>
      <c r="C1519" s="1" t="n">
        <v>4</v>
      </c>
      <c r="D1519" s="1" t="n">
        <v>2</v>
      </c>
      <c r="E1519" s="1" t="n">
        <v>2</v>
      </c>
      <c r="F1519" s="3" t="s">
        <v>20</v>
      </c>
      <c r="G1519" s="3" t="s">
        <v>6269</v>
      </c>
      <c r="H1519" s="1" t="s">
        <v>22</v>
      </c>
      <c r="I1519" s="1" t="n">
        <v>20240430082652</v>
      </c>
      <c r="J1519" s="3" t="s">
        <v>6270</v>
      </c>
      <c r="K1519" s="3" t="s">
        <v>6271</v>
      </c>
      <c r="L1519" s="3" t="s">
        <v>6272</v>
      </c>
      <c r="M1519" s="3" t="n">
        <v>495694</v>
      </c>
      <c r="N1519" s="3" t="s">
        <v>5604</v>
      </c>
      <c r="O1519" s="1" t="n">
        <v>479308</v>
      </c>
      <c r="P1519" s="1" t="n">
        <v>96.69</v>
      </c>
      <c r="Q1519" s="1" t="s">
        <v>20</v>
      </c>
      <c r="R1519" s="1" t="s">
        <v>27</v>
      </c>
      <c r="S1519" s="1" t="s">
        <v>28</v>
      </c>
      <c r="T1519" s="1" t="s">
        <v>29</v>
      </c>
    </row>
    <row r="1520" customFormat="false" ht="18.7" hidden="false" customHeight="true" outlineLevel="0" collapsed="false">
      <c r="A1520" s="1" t="n">
        <v>1519</v>
      </c>
      <c r="B1520" s="6" t="str">
        <f aca="false">HYPERLINK("https://mncourtfraud.com/file/MCRO_27-CR-21-16111_Findings and Order_2021-10-26_20240430082649.pdf","MCRO_27-CR-21-16111_Findings and Order_2021-10-26_20240430082649.pdf")</f>
        <v>MCRO_27-CR-21-16111_Findings and Order_2021-10-26_20240430082649.pdf</v>
      </c>
      <c r="C1520" s="1" t="n">
        <v>5</v>
      </c>
      <c r="D1520" s="1" t="n">
        <v>2</v>
      </c>
      <c r="E1520" s="1" t="n">
        <v>2</v>
      </c>
      <c r="F1520" s="3" t="s">
        <v>20</v>
      </c>
      <c r="G1520" s="3" t="s">
        <v>6273</v>
      </c>
      <c r="H1520" s="1" t="s">
        <v>22</v>
      </c>
      <c r="I1520" s="1" t="n">
        <v>20240430082649</v>
      </c>
      <c r="J1520" s="3" t="s">
        <v>6274</v>
      </c>
      <c r="K1520" s="3" t="s">
        <v>6275</v>
      </c>
      <c r="L1520" s="3" t="s">
        <v>6276</v>
      </c>
      <c r="M1520" s="3" t="n">
        <v>319932</v>
      </c>
      <c r="N1520" s="3" t="s">
        <v>4099</v>
      </c>
      <c r="O1520" s="1" t="n">
        <v>303546</v>
      </c>
      <c r="P1520" s="1" t="n">
        <v>94.88</v>
      </c>
      <c r="Q1520" s="1" t="s">
        <v>20</v>
      </c>
      <c r="R1520" s="1" t="s">
        <v>27</v>
      </c>
      <c r="S1520" s="1" t="s">
        <v>28</v>
      </c>
      <c r="T1520" s="1" t="s">
        <v>29</v>
      </c>
    </row>
    <row r="1521" customFormat="false" ht="18.7" hidden="false" customHeight="true" outlineLevel="0" collapsed="false">
      <c r="A1521" s="1" t="n">
        <v>1520</v>
      </c>
      <c r="B1521" s="6" t="str">
        <f aca="false">HYPERLINK("https://mncourtfraud.com/file/MCRO_27-CR-21-16111_Findings and Order_2022-08-30_20240430082637.pdf","MCRO_27-CR-21-16111_Findings and Order_2022-08-30_20240430082637.pdf")</f>
        <v>MCRO_27-CR-21-16111_Findings and Order_2022-08-30_20240430082637.pdf</v>
      </c>
      <c r="C1521" s="1" t="n">
        <v>6</v>
      </c>
      <c r="D1521" s="1" t="n">
        <v>1</v>
      </c>
      <c r="E1521" s="1" t="n">
        <v>1</v>
      </c>
      <c r="F1521" s="3" t="s">
        <v>20</v>
      </c>
      <c r="G1521" s="3" t="s">
        <v>6277</v>
      </c>
      <c r="H1521" s="1" t="s">
        <v>22</v>
      </c>
      <c r="I1521" s="1" t="n">
        <v>20240430082637</v>
      </c>
      <c r="J1521" s="3" t="s">
        <v>6278</v>
      </c>
      <c r="K1521" s="3" t="s">
        <v>6279</v>
      </c>
      <c r="L1521" s="3" t="s">
        <v>6280</v>
      </c>
      <c r="M1521" s="3" t="n">
        <v>243113</v>
      </c>
      <c r="N1521" s="3" t="s">
        <v>4183</v>
      </c>
      <c r="O1521" s="1" t="n">
        <v>226727</v>
      </c>
      <c r="P1521" s="1" t="n">
        <v>93.26</v>
      </c>
      <c r="Q1521" s="1" t="s">
        <v>20</v>
      </c>
      <c r="R1521" s="1" t="s">
        <v>27</v>
      </c>
      <c r="S1521" s="1" t="s">
        <v>28</v>
      </c>
      <c r="T1521" s="1" t="s">
        <v>29</v>
      </c>
    </row>
    <row r="1522" customFormat="false" ht="18.7" hidden="false" customHeight="true" outlineLevel="0" collapsed="false">
      <c r="A1522" s="1" t="n">
        <v>1521</v>
      </c>
      <c r="B1522" s="6" t="str">
        <f aca="false">HYPERLINK("https://mncourtfraud.com/file/MCRO_27-CR-21-16111_Law Enforcement Notice of Release and Appearance_2021-10-28_20240430082646.pdf","MCRO_27-CR-21-16111_Law Enforcement Notice of Release and Appearance_2021-10-28_20240430082646.pdf")</f>
        <v>MCRO_27-CR-21-16111_Law Enforcement Notice of Release and Appearance_2021-10-28_20240430082646.pdf</v>
      </c>
      <c r="C1522" s="1" t="n">
        <v>4</v>
      </c>
      <c r="D1522" s="1" t="n">
        <v>1</v>
      </c>
      <c r="E1522" s="1" t="n">
        <v>1</v>
      </c>
      <c r="F1522" s="3" t="s">
        <v>20</v>
      </c>
      <c r="G1522" s="3" t="s">
        <v>6281</v>
      </c>
      <c r="H1522" s="1" t="s">
        <v>22</v>
      </c>
      <c r="I1522" s="1" t="n">
        <v>20240430082646</v>
      </c>
      <c r="J1522" s="3" t="s">
        <v>6282</v>
      </c>
      <c r="K1522" s="3" t="s">
        <v>6283</v>
      </c>
      <c r="L1522" s="3" t="s">
        <v>6284</v>
      </c>
      <c r="M1522" s="3" t="n">
        <v>102560</v>
      </c>
      <c r="N1522" s="3" t="s">
        <v>456</v>
      </c>
      <c r="O1522" s="1" t="n">
        <v>86174</v>
      </c>
      <c r="P1522" s="1" t="n">
        <v>84.02</v>
      </c>
      <c r="Q1522" s="1" t="s">
        <v>20</v>
      </c>
      <c r="R1522" s="1" t="s">
        <v>27</v>
      </c>
      <c r="S1522" s="1" t="s">
        <v>28</v>
      </c>
      <c r="T1522" s="1" t="s">
        <v>29</v>
      </c>
    </row>
    <row r="1523" customFormat="false" ht="18.7" hidden="false" customHeight="true" outlineLevel="0" collapsed="false">
      <c r="A1523" s="1" t="n">
        <v>1522</v>
      </c>
      <c r="B1523" s="6" t="str">
        <f aca="false">HYPERLINK("https://mncourtfraud.com/file/MCRO_27-CR-21-16111_Non-Cash Bond Posted_2021-10-27_20240430082647.pdf","MCRO_27-CR-21-16111_Non-Cash Bond Posted_2021-10-27_20240430082647.pdf")</f>
        <v>MCRO_27-CR-21-16111_Non-Cash Bond Posted_2021-10-27_20240430082647.pdf</v>
      </c>
      <c r="C1523" s="1" t="n">
        <v>4</v>
      </c>
      <c r="D1523" s="1" t="n">
        <v>1</v>
      </c>
      <c r="E1523" s="1" t="n">
        <v>1</v>
      </c>
      <c r="F1523" s="3" t="s">
        <v>20</v>
      </c>
      <c r="G1523" s="3" t="s">
        <v>6285</v>
      </c>
      <c r="H1523" s="1" t="s">
        <v>22</v>
      </c>
      <c r="I1523" s="1" t="n">
        <v>20240430082647</v>
      </c>
      <c r="J1523" s="3" t="s">
        <v>6286</v>
      </c>
      <c r="K1523" s="3" t="s">
        <v>6287</v>
      </c>
      <c r="L1523" s="3" t="s">
        <v>6288</v>
      </c>
      <c r="M1523" s="3" t="n">
        <v>170796</v>
      </c>
      <c r="N1523" s="3" t="s">
        <v>1065</v>
      </c>
      <c r="O1523" s="1" t="n">
        <v>154410</v>
      </c>
      <c r="P1523" s="1" t="n">
        <v>90.41</v>
      </c>
      <c r="Q1523" s="1" t="s">
        <v>20</v>
      </c>
      <c r="R1523" s="1" t="s">
        <v>27</v>
      </c>
      <c r="S1523" s="1" t="s">
        <v>28</v>
      </c>
      <c r="T1523" s="1" t="s">
        <v>29</v>
      </c>
    </row>
    <row r="1524" customFormat="false" ht="18.7" hidden="false" customHeight="true" outlineLevel="0" collapsed="false">
      <c r="A1524" s="1" t="n">
        <v>1523</v>
      </c>
      <c r="B1524" s="6" t="str">
        <f aca="false">HYPERLINK("https://mncourtfraud.com/file/MCRO_27-CR-21-16111_Notice by Attorney or Party_2024-03-25_20240430082630.pdf","MCRO_27-CR-21-16111_Notice by Attorney or Party_2024-03-25_20240430082630.pdf")</f>
        <v>MCRO_27-CR-21-16111_Notice by Attorney or Party_2024-03-25_20240430082630.pdf</v>
      </c>
      <c r="C1524" s="1" t="n">
        <v>3</v>
      </c>
      <c r="D1524" s="1" t="n">
        <v>1</v>
      </c>
      <c r="E1524" s="1" t="n">
        <v>1</v>
      </c>
      <c r="F1524" s="3" t="s">
        <v>20</v>
      </c>
      <c r="G1524" s="3" t="s">
        <v>6289</v>
      </c>
      <c r="H1524" s="1" t="s">
        <v>22</v>
      </c>
      <c r="I1524" s="1" t="n">
        <v>20240430082630</v>
      </c>
      <c r="J1524" s="3" t="s">
        <v>6290</v>
      </c>
      <c r="K1524" s="3" t="s">
        <v>6291</v>
      </c>
      <c r="L1524" s="3" t="s">
        <v>6292</v>
      </c>
      <c r="M1524" s="3" t="n">
        <v>160060</v>
      </c>
      <c r="N1524" s="3" t="s">
        <v>6293</v>
      </c>
      <c r="O1524" s="1" t="n">
        <v>143674</v>
      </c>
      <c r="P1524" s="1" t="n">
        <v>89.76</v>
      </c>
      <c r="Q1524" s="1" t="s">
        <v>20</v>
      </c>
      <c r="R1524" s="1" t="s">
        <v>27</v>
      </c>
      <c r="S1524" s="1" t="s">
        <v>28</v>
      </c>
      <c r="T1524" s="1" t="s">
        <v>29</v>
      </c>
    </row>
    <row r="1525" customFormat="false" ht="18.7" hidden="false" customHeight="true" outlineLevel="0" collapsed="false">
      <c r="A1525" s="1" t="n">
        <v>1524</v>
      </c>
      <c r="B1525" s="6" t="str">
        <f aca="false">HYPERLINK("https://mncourtfraud.com/file/MCRO_27-CR-21-16111_Notice of Defense and Defense Witnesses_2024-04-15_20240430082629.pdf","MCRO_27-CR-21-16111_Notice of Defense and Defense Witnesses_2024-04-15_20240430082629.pdf")</f>
        <v>MCRO_27-CR-21-16111_Notice of Defense and Defense Witnesses_2024-04-15_20240430082629.pdf</v>
      </c>
      <c r="C1525" s="1" t="n">
        <v>3</v>
      </c>
      <c r="D1525" s="1" t="n">
        <v>1</v>
      </c>
      <c r="E1525" s="1" t="n">
        <v>1</v>
      </c>
      <c r="F1525" s="3" t="s">
        <v>20</v>
      </c>
      <c r="G1525" s="3" t="s">
        <v>6294</v>
      </c>
      <c r="H1525" s="1" t="s">
        <v>22</v>
      </c>
      <c r="I1525" s="1" t="n">
        <v>20240430082629</v>
      </c>
      <c r="J1525" s="3" t="s">
        <v>6295</v>
      </c>
      <c r="K1525" s="3" t="s">
        <v>6296</v>
      </c>
      <c r="L1525" s="3" t="s">
        <v>6297</v>
      </c>
      <c r="M1525" s="3" t="n">
        <v>127032</v>
      </c>
      <c r="N1525" s="3" t="s">
        <v>6298</v>
      </c>
      <c r="O1525" s="1" t="n">
        <v>110646</v>
      </c>
      <c r="P1525" s="1" t="n">
        <v>87.1</v>
      </c>
      <c r="Q1525" s="1" t="s">
        <v>20</v>
      </c>
      <c r="R1525" s="1" t="s">
        <v>27</v>
      </c>
      <c r="S1525" s="1" t="s">
        <v>28</v>
      </c>
      <c r="T1525" s="1" t="s">
        <v>29</v>
      </c>
    </row>
    <row r="1526" customFormat="false" ht="18.7" hidden="false" customHeight="true" outlineLevel="0" collapsed="false">
      <c r="A1526" s="1" t="n">
        <v>1525</v>
      </c>
      <c r="B1526" s="6" t="str">
        <f aca="false">HYPERLINK("https://mncourtfraud.com/file/MCRO_27-CR-21-16111_Notice of Hearing_2023-12-14_20240430082631.pdf","MCRO_27-CR-21-16111_Notice of Hearing_2023-12-14_20240430082631.pdf")</f>
        <v>MCRO_27-CR-21-16111_Notice of Hearing_2023-12-14_20240430082631.pdf</v>
      </c>
      <c r="C1526" s="1" t="n">
        <v>4</v>
      </c>
      <c r="D1526" s="1" t="n">
        <v>1</v>
      </c>
      <c r="E1526" s="1" t="n">
        <v>1</v>
      </c>
      <c r="F1526" s="3" t="s">
        <v>20</v>
      </c>
      <c r="G1526" s="3" t="s">
        <v>6299</v>
      </c>
      <c r="H1526" s="1" t="s">
        <v>22</v>
      </c>
      <c r="I1526" s="1" t="n">
        <v>20240430082631</v>
      </c>
      <c r="J1526" s="3" t="s">
        <v>6300</v>
      </c>
      <c r="K1526" s="3" t="s">
        <v>6301</v>
      </c>
      <c r="L1526" s="3" t="s">
        <v>6302</v>
      </c>
      <c r="M1526" s="3" t="n">
        <v>108920</v>
      </c>
      <c r="N1526" s="3" t="s">
        <v>3269</v>
      </c>
      <c r="O1526" s="1" t="n">
        <v>92534</v>
      </c>
      <c r="P1526" s="1" t="n">
        <v>84.96</v>
      </c>
      <c r="Q1526" s="1" t="s">
        <v>20</v>
      </c>
      <c r="R1526" s="1" t="s">
        <v>27</v>
      </c>
      <c r="S1526" s="1" t="s">
        <v>28</v>
      </c>
      <c r="T1526" s="1" t="s">
        <v>29</v>
      </c>
    </row>
    <row r="1527" customFormat="false" ht="18.7" hidden="false" customHeight="true" outlineLevel="0" collapsed="false">
      <c r="A1527" s="1" t="n">
        <v>1526</v>
      </c>
      <c r="B1527" s="6" t="str">
        <f aca="false">HYPERLINK("https://mncourtfraud.com/file/MCRO_27-CR-21-16111_Notice of Hearing_2024-04-16_20240430082627.pdf","MCRO_27-CR-21-16111_Notice of Hearing_2024-04-16_20240430082627.pdf")</f>
        <v>MCRO_27-CR-21-16111_Notice of Hearing_2024-04-16_20240430082627.pdf</v>
      </c>
      <c r="C1527" s="1" t="n">
        <v>4</v>
      </c>
      <c r="D1527" s="1" t="n">
        <v>1</v>
      </c>
      <c r="E1527" s="1" t="n">
        <v>1</v>
      </c>
      <c r="F1527" s="3" t="s">
        <v>20</v>
      </c>
      <c r="G1527" s="3" t="s">
        <v>6303</v>
      </c>
      <c r="H1527" s="1" t="s">
        <v>22</v>
      </c>
      <c r="I1527" s="1" t="n">
        <v>20240430082627</v>
      </c>
      <c r="J1527" s="3" t="s">
        <v>6304</v>
      </c>
      <c r="K1527" s="3" t="s">
        <v>6305</v>
      </c>
      <c r="L1527" s="3" t="s">
        <v>6306</v>
      </c>
      <c r="M1527" s="3" t="n">
        <v>687159</v>
      </c>
      <c r="N1527" s="3" t="s">
        <v>1065</v>
      </c>
      <c r="O1527" s="1" t="n">
        <v>670773</v>
      </c>
      <c r="P1527" s="1" t="n">
        <v>97.62</v>
      </c>
      <c r="Q1527" s="1" t="s">
        <v>20</v>
      </c>
      <c r="R1527" s="1" t="s">
        <v>27</v>
      </c>
      <c r="S1527" s="1" t="s">
        <v>28</v>
      </c>
      <c r="T1527" s="1" t="s">
        <v>29</v>
      </c>
    </row>
    <row r="1528" customFormat="false" ht="18.7" hidden="false" customHeight="true" outlineLevel="0" collapsed="false">
      <c r="A1528" s="1" t="n">
        <v>1527</v>
      </c>
      <c r="B1528" s="6" t="str">
        <f aca="false">HYPERLINK("https://mncourtfraud.com/file/MCRO_27-CR-21-16111_Notice of Remote Hearing with Instructions_2021-10-28_20240430082645.pdf","MCRO_27-CR-21-16111_Notice of Remote Hearing with Instructions_2021-10-28_20240430082645.pdf")</f>
        <v>MCRO_27-CR-21-16111_Notice of Remote Hearing with Instructions_2021-10-28_20240430082645.pdf</v>
      </c>
      <c r="C1528" s="1" t="n">
        <v>4</v>
      </c>
      <c r="D1528" s="1" t="n">
        <v>1</v>
      </c>
      <c r="E1528" s="1" t="n">
        <v>1</v>
      </c>
      <c r="F1528" s="3" t="s">
        <v>20</v>
      </c>
      <c r="G1528" s="3" t="s">
        <v>6307</v>
      </c>
      <c r="H1528" s="1" t="s">
        <v>22</v>
      </c>
      <c r="I1528" s="1" t="n">
        <v>20240430082645</v>
      </c>
      <c r="J1528" s="3" t="s">
        <v>6308</v>
      </c>
      <c r="K1528" s="3" t="s">
        <v>6309</v>
      </c>
      <c r="L1528" s="3" t="s">
        <v>6310</v>
      </c>
      <c r="M1528" s="3" t="n">
        <v>140975</v>
      </c>
      <c r="N1528" s="3" t="s">
        <v>1065</v>
      </c>
      <c r="O1528" s="1" t="n">
        <v>124589</v>
      </c>
      <c r="P1528" s="1" t="n">
        <v>88.38</v>
      </c>
      <c r="Q1528" s="1" t="s">
        <v>20</v>
      </c>
      <c r="R1528" s="1" t="s">
        <v>27</v>
      </c>
      <c r="S1528" s="1" t="s">
        <v>28</v>
      </c>
      <c r="T1528" s="1" t="s">
        <v>29</v>
      </c>
    </row>
    <row r="1529" customFormat="false" ht="18.7" hidden="false" customHeight="true" outlineLevel="0" collapsed="false">
      <c r="A1529" s="1" t="n">
        <v>1528</v>
      </c>
      <c r="B1529" s="6" t="str">
        <f aca="false">HYPERLINK("https://mncourtfraud.com/file/MCRO_27-CR-21-16111_Notice of Remote Hearing with Instructions_2022-04-25_20240430082642.pdf","MCRO_27-CR-21-16111_Notice of Remote Hearing with Instructions_2022-04-25_20240430082642.pdf")</f>
        <v>MCRO_27-CR-21-16111_Notice of Remote Hearing with Instructions_2022-04-25_20240430082642.pdf</v>
      </c>
      <c r="C1529" s="1" t="n">
        <v>5</v>
      </c>
      <c r="D1529" s="1" t="n">
        <v>1</v>
      </c>
      <c r="E1529" s="1" t="n">
        <v>1</v>
      </c>
      <c r="F1529" s="3" t="s">
        <v>20</v>
      </c>
      <c r="G1529" s="3" t="s">
        <v>6311</v>
      </c>
      <c r="H1529" s="1" t="s">
        <v>22</v>
      </c>
      <c r="I1529" s="1" t="n">
        <v>20240430082642</v>
      </c>
      <c r="J1529" s="3" t="s">
        <v>6312</v>
      </c>
      <c r="K1529" s="3" t="s">
        <v>6313</v>
      </c>
      <c r="L1529" s="3" t="s">
        <v>6314</v>
      </c>
      <c r="M1529" s="3" t="n">
        <v>310151</v>
      </c>
      <c r="N1529" s="3" t="s">
        <v>751</v>
      </c>
      <c r="O1529" s="1" t="n">
        <v>293765</v>
      </c>
      <c r="P1529" s="1" t="n">
        <v>94.72</v>
      </c>
      <c r="Q1529" s="1" t="s">
        <v>20</v>
      </c>
      <c r="R1529" s="1" t="s">
        <v>27</v>
      </c>
      <c r="S1529" s="1" t="s">
        <v>28</v>
      </c>
      <c r="T1529" s="1" t="s">
        <v>29</v>
      </c>
    </row>
    <row r="1530" customFormat="false" ht="18.7" hidden="false" customHeight="true" outlineLevel="0" collapsed="false">
      <c r="A1530" s="1" t="n">
        <v>1529</v>
      </c>
      <c r="B1530" s="6" t="str">
        <f aca="false">HYPERLINK("https://mncourtfraud.com/file/MCRO_27-CR-21-16111_Notice of Remote Hearing with Instructions_2022-05-10_20240430082640.pdf","MCRO_27-CR-21-16111_Notice of Remote Hearing with Instructions_2022-05-10_20240430082640.pdf")</f>
        <v>MCRO_27-CR-21-16111_Notice of Remote Hearing with Instructions_2022-05-10_20240430082640.pdf</v>
      </c>
      <c r="C1530" s="1" t="n">
        <v>5</v>
      </c>
      <c r="D1530" s="1" t="n">
        <v>1</v>
      </c>
      <c r="E1530" s="1" t="n">
        <v>1</v>
      </c>
      <c r="F1530" s="3" t="s">
        <v>20</v>
      </c>
      <c r="G1530" s="3" t="s">
        <v>6315</v>
      </c>
      <c r="H1530" s="1" t="s">
        <v>22</v>
      </c>
      <c r="I1530" s="1" t="n">
        <v>20240430082640</v>
      </c>
      <c r="J1530" s="3" t="s">
        <v>6316</v>
      </c>
      <c r="K1530" s="3" t="s">
        <v>6317</v>
      </c>
      <c r="L1530" s="3" t="s">
        <v>6318</v>
      </c>
      <c r="M1530" s="3" t="n">
        <v>310299</v>
      </c>
      <c r="N1530" s="3" t="s">
        <v>751</v>
      </c>
      <c r="O1530" s="1" t="n">
        <v>293913</v>
      </c>
      <c r="P1530" s="1" t="n">
        <v>94.72</v>
      </c>
      <c r="Q1530" s="1" t="s">
        <v>20</v>
      </c>
      <c r="R1530" s="1" t="s">
        <v>27</v>
      </c>
      <c r="S1530" s="1" t="s">
        <v>28</v>
      </c>
      <c r="T1530" s="1" t="s">
        <v>29</v>
      </c>
    </row>
    <row r="1531" customFormat="false" ht="18.7" hidden="false" customHeight="true" outlineLevel="0" collapsed="false">
      <c r="A1531" s="1" t="n">
        <v>1530</v>
      </c>
      <c r="B1531" s="6" t="str">
        <f aca="false">HYPERLINK("https://mncourtfraud.com/file/MCRO_27-CR-21-16111_Notice of Remote Hearing with Instructions_2022-06-22_20240430082639.pdf","MCRO_27-CR-21-16111_Notice of Remote Hearing with Instructions_2022-06-22_20240430082639.pdf")</f>
        <v>MCRO_27-CR-21-16111_Notice of Remote Hearing with Instructions_2022-06-22_20240430082639.pdf</v>
      </c>
      <c r="C1531" s="1" t="n">
        <v>5</v>
      </c>
      <c r="D1531" s="1" t="n">
        <v>1</v>
      </c>
      <c r="E1531" s="1" t="n">
        <v>1</v>
      </c>
      <c r="F1531" s="3" t="s">
        <v>20</v>
      </c>
      <c r="G1531" s="3" t="s">
        <v>6319</v>
      </c>
      <c r="H1531" s="1" t="s">
        <v>22</v>
      </c>
      <c r="I1531" s="1" t="n">
        <v>20240430082639</v>
      </c>
      <c r="J1531" s="3" t="s">
        <v>6320</v>
      </c>
      <c r="K1531" s="3" t="s">
        <v>6321</v>
      </c>
      <c r="L1531" s="3" t="s">
        <v>6322</v>
      </c>
      <c r="M1531" s="3" t="n">
        <v>310155</v>
      </c>
      <c r="N1531" s="3" t="s">
        <v>1574</v>
      </c>
      <c r="O1531" s="1" t="n">
        <v>293769</v>
      </c>
      <c r="P1531" s="1" t="n">
        <v>94.72</v>
      </c>
      <c r="Q1531" s="1" t="s">
        <v>20</v>
      </c>
      <c r="R1531" s="1" t="s">
        <v>27</v>
      </c>
      <c r="S1531" s="1" t="s">
        <v>28</v>
      </c>
      <c r="T1531" s="1" t="s">
        <v>29</v>
      </c>
    </row>
    <row r="1532" customFormat="false" ht="18.7" hidden="false" customHeight="true" outlineLevel="0" collapsed="false">
      <c r="A1532" s="1" t="n">
        <v>1531</v>
      </c>
      <c r="B1532" s="6" t="str">
        <f aca="false">HYPERLINK("https://mncourtfraud.com/file/MCRO_27-CR-21-16111_Notice of Remote Hearing with Instructions_2022-07-28_20240430082638.pdf","MCRO_27-CR-21-16111_Notice of Remote Hearing with Instructions_2022-07-28_20240430082638.pdf")</f>
        <v>MCRO_27-CR-21-16111_Notice of Remote Hearing with Instructions_2022-07-28_20240430082638.pdf</v>
      </c>
      <c r="C1532" s="1" t="n">
        <v>5</v>
      </c>
      <c r="D1532" s="1" t="n">
        <v>1</v>
      </c>
      <c r="E1532" s="1" t="n">
        <v>1</v>
      </c>
      <c r="F1532" s="3" t="s">
        <v>20</v>
      </c>
      <c r="G1532" s="3" t="s">
        <v>6323</v>
      </c>
      <c r="H1532" s="1" t="s">
        <v>22</v>
      </c>
      <c r="I1532" s="1" t="n">
        <v>20240430082638</v>
      </c>
      <c r="J1532" s="3" t="s">
        <v>6324</v>
      </c>
      <c r="K1532" s="3" t="s">
        <v>6325</v>
      </c>
      <c r="L1532" s="3" t="s">
        <v>6326</v>
      </c>
      <c r="M1532" s="3" t="n">
        <v>310136</v>
      </c>
      <c r="N1532" s="3" t="s">
        <v>6327</v>
      </c>
      <c r="O1532" s="1" t="n">
        <v>293750</v>
      </c>
      <c r="P1532" s="1" t="n">
        <v>94.72</v>
      </c>
      <c r="Q1532" s="1" t="s">
        <v>20</v>
      </c>
      <c r="R1532" s="1" t="s">
        <v>27</v>
      </c>
      <c r="S1532" s="1" t="s">
        <v>28</v>
      </c>
      <c r="T1532" s="1" t="s">
        <v>29</v>
      </c>
    </row>
    <row r="1533" customFormat="false" ht="18.7" hidden="false" customHeight="true" outlineLevel="0" collapsed="false">
      <c r="A1533" s="1" t="n">
        <v>1532</v>
      </c>
      <c r="B1533" s="6" t="str">
        <f aca="false">HYPERLINK("https://mncourtfraud.com/file/MCRO_27-CR-21-16111_Notice of Remote Hearing with Instructions_2023-06-28_20240430082634.pdf","MCRO_27-CR-21-16111_Notice of Remote Hearing with Instructions_2023-06-28_20240430082634.pdf")</f>
        <v>MCRO_27-CR-21-16111_Notice of Remote Hearing with Instructions_2023-06-28_20240430082634.pdf</v>
      </c>
      <c r="C1533" s="1" t="n">
        <v>5</v>
      </c>
      <c r="D1533" s="1" t="n">
        <v>1</v>
      </c>
      <c r="E1533" s="1" t="n">
        <v>1</v>
      </c>
      <c r="F1533" s="3" t="s">
        <v>20</v>
      </c>
      <c r="G1533" s="3" t="s">
        <v>6328</v>
      </c>
      <c r="H1533" s="1" t="s">
        <v>22</v>
      </c>
      <c r="I1533" s="1" t="n">
        <v>20240430082634</v>
      </c>
      <c r="J1533" s="3" t="s">
        <v>6329</v>
      </c>
      <c r="K1533" s="3" t="s">
        <v>6330</v>
      </c>
      <c r="L1533" s="3" t="s">
        <v>6331</v>
      </c>
      <c r="M1533" s="3" t="n">
        <v>846672</v>
      </c>
      <c r="N1533" s="3" t="s">
        <v>2852</v>
      </c>
      <c r="O1533" s="1" t="n">
        <v>830286</v>
      </c>
      <c r="P1533" s="1" t="n">
        <v>98.06</v>
      </c>
      <c r="Q1533" s="1" t="s">
        <v>20</v>
      </c>
      <c r="R1533" s="1" t="s">
        <v>27</v>
      </c>
      <c r="S1533" s="1" t="s">
        <v>28</v>
      </c>
      <c r="T1533" s="1" t="s">
        <v>29</v>
      </c>
    </row>
    <row r="1534" customFormat="false" ht="18.7" hidden="false" customHeight="true" outlineLevel="0" collapsed="false">
      <c r="A1534" s="1" t="n">
        <v>1533</v>
      </c>
      <c r="B1534" s="6" t="str">
        <f aca="false">HYPERLINK("https://mncourtfraud.com/file/MCRO_27-CR-21-16111_Notice of Remote Hearing with Instructions_2023-10-10_20240430082633.pdf","MCRO_27-CR-21-16111_Notice of Remote Hearing with Instructions_2023-10-10_20240430082633.pdf")</f>
        <v>MCRO_27-CR-21-16111_Notice of Remote Hearing with Instructions_2023-10-10_20240430082633.pdf</v>
      </c>
      <c r="C1534" s="1" t="n">
        <v>5</v>
      </c>
      <c r="D1534" s="1" t="n">
        <v>1</v>
      </c>
      <c r="E1534" s="1" t="n">
        <v>1</v>
      </c>
      <c r="F1534" s="3" t="s">
        <v>20</v>
      </c>
      <c r="G1534" s="3" t="s">
        <v>6332</v>
      </c>
      <c r="H1534" s="1" t="s">
        <v>22</v>
      </c>
      <c r="I1534" s="1" t="n">
        <v>20240430082633</v>
      </c>
      <c r="J1534" s="3" t="s">
        <v>6333</v>
      </c>
      <c r="K1534" s="3" t="s">
        <v>6334</v>
      </c>
      <c r="L1534" s="3" t="s">
        <v>6335</v>
      </c>
      <c r="M1534" s="3" t="n">
        <v>841075</v>
      </c>
      <c r="N1534" s="3" t="s">
        <v>510</v>
      </c>
      <c r="O1534" s="1" t="n">
        <v>824689</v>
      </c>
      <c r="P1534" s="1" t="n">
        <v>98.05</v>
      </c>
      <c r="Q1534" s="1" t="s">
        <v>20</v>
      </c>
      <c r="R1534" s="1" t="s">
        <v>27</v>
      </c>
      <c r="S1534" s="1" t="s">
        <v>28</v>
      </c>
      <c r="T1534" s="1" t="s">
        <v>29</v>
      </c>
    </row>
    <row r="1535" customFormat="false" ht="18.7" hidden="false" customHeight="true" outlineLevel="0" collapsed="false">
      <c r="A1535" s="1" t="n">
        <v>1534</v>
      </c>
      <c r="B1535" s="6" t="str">
        <f aca="false">HYPERLINK("https://mncourtfraud.com/file/MCRO_27-CR-21-16111_Order-Evaluation for Competency to Proceed (Rule 20.01)_2021-09-20_20240430082651.pdf","MCRO_27-CR-21-16111_Order-Evaluation for Competency to Proceed (Rule 20.01)_2021-09-20_20240430082651.pdf")</f>
        <v>MCRO_27-CR-21-16111_Order-Evaluation for Competency to Proceed (Rule 20.01)_2021-09-20_20240430082651.pdf</v>
      </c>
      <c r="C1535" s="1" t="n">
        <v>4</v>
      </c>
      <c r="D1535" s="1" t="n">
        <v>1</v>
      </c>
      <c r="E1535" s="1" t="n">
        <v>1</v>
      </c>
      <c r="F1535" s="3" t="s">
        <v>20</v>
      </c>
      <c r="G1535" s="3" t="s">
        <v>6336</v>
      </c>
      <c r="H1535" s="1" t="s">
        <v>22</v>
      </c>
      <c r="I1535" s="1" t="n">
        <v>20240430082651</v>
      </c>
      <c r="J1535" s="3" t="s">
        <v>6337</v>
      </c>
      <c r="K1535" s="3" t="s">
        <v>6338</v>
      </c>
      <c r="L1535" s="3" t="s">
        <v>6339</v>
      </c>
      <c r="M1535" s="3" t="n">
        <v>200308</v>
      </c>
      <c r="N1535" s="3" t="s">
        <v>361</v>
      </c>
      <c r="O1535" s="1" t="n">
        <v>183922</v>
      </c>
      <c r="P1535" s="1" t="n">
        <v>91.82</v>
      </c>
      <c r="Q1535" s="1" t="s">
        <v>20</v>
      </c>
      <c r="R1535" s="1" t="s">
        <v>27</v>
      </c>
      <c r="S1535" s="1" t="s">
        <v>28</v>
      </c>
      <c r="T1535" s="1" t="s">
        <v>29</v>
      </c>
    </row>
    <row r="1536" customFormat="false" ht="18.7" hidden="false" customHeight="true" outlineLevel="0" collapsed="false">
      <c r="A1536" s="1" t="n">
        <v>1535</v>
      </c>
      <c r="B1536" s="6" t="str">
        <f aca="false">HYPERLINK("https://mncourtfraud.com/file/MCRO_27-CR-21-16111_Order-Evaluation for Competency to Proceed (Rule 20.01)_2022-02-09_20240430082643.pdf","MCRO_27-CR-21-16111_Order-Evaluation for Competency to Proceed (Rule 20.01)_2022-02-09_20240430082643.pdf")</f>
        <v>MCRO_27-CR-21-16111_Order-Evaluation for Competency to Proceed (Rule 20.01)_2022-02-09_20240430082643.pdf</v>
      </c>
      <c r="C1536" s="1" t="n">
        <v>3</v>
      </c>
      <c r="D1536" s="1" t="n">
        <v>1</v>
      </c>
      <c r="E1536" s="1" t="n">
        <v>1</v>
      </c>
      <c r="F1536" s="3" t="s">
        <v>20</v>
      </c>
      <c r="G1536" s="3" t="s">
        <v>6340</v>
      </c>
      <c r="H1536" s="1" t="s">
        <v>22</v>
      </c>
      <c r="I1536" s="1" t="n">
        <v>20240430082643</v>
      </c>
      <c r="J1536" s="3" t="s">
        <v>6341</v>
      </c>
      <c r="K1536" s="3" t="s">
        <v>6342</v>
      </c>
      <c r="L1536" s="3" t="s">
        <v>6343</v>
      </c>
      <c r="M1536" s="3" t="n">
        <v>237425</v>
      </c>
      <c r="N1536" s="3" t="s">
        <v>849</v>
      </c>
      <c r="O1536" s="1" t="n">
        <v>221039</v>
      </c>
      <c r="P1536" s="1" t="n">
        <v>93.1</v>
      </c>
      <c r="Q1536" s="1" t="s">
        <v>20</v>
      </c>
      <c r="R1536" s="1" t="s">
        <v>27</v>
      </c>
      <c r="S1536" s="1" t="s">
        <v>28</v>
      </c>
      <c r="T1536" s="1" t="s">
        <v>29</v>
      </c>
    </row>
    <row r="1537" customFormat="false" ht="18.7" hidden="false" customHeight="true" outlineLevel="0" collapsed="false">
      <c r="A1537" s="1" t="n">
        <v>1536</v>
      </c>
      <c r="B1537" s="6" t="str">
        <f aca="false">HYPERLINK("https://mncourtfraud.com/file/MCRO_27-CR-21-16111_Order-Evaluation for Competency to Proceed (Rule 20.01)_2022-12-27_20240430082636.pdf","MCRO_27-CR-21-16111_Order-Evaluation for Competency to Proceed (Rule 20.01)_2022-12-27_20240430082636.pdf")</f>
        <v>MCRO_27-CR-21-16111_Order-Evaluation for Competency to Proceed (Rule 20.01)_2022-12-27_20240430082636.pdf</v>
      </c>
      <c r="C1537" s="1" t="n">
        <v>7</v>
      </c>
      <c r="D1537" s="1" t="n">
        <v>1</v>
      </c>
      <c r="E1537" s="1" t="n">
        <v>1</v>
      </c>
      <c r="F1537" s="3" t="s">
        <v>20</v>
      </c>
      <c r="G1537" s="3" t="s">
        <v>6344</v>
      </c>
      <c r="H1537" s="1" t="s">
        <v>22</v>
      </c>
      <c r="I1537" s="1" t="n">
        <v>20240430082636</v>
      </c>
      <c r="J1537" s="3" t="s">
        <v>6345</v>
      </c>
      <c r="K1537" s="3" t="s">
        <v>6346</v>
      </c>
      <c r="L1537" s="3" t="s">
        <v>6347</v>
      </c>
      <c r="M1537" s="3" t="n">
        <v>921530</v>
      </c>
      <c r="N1537" s="3" t="s">
        <v>1624</v>
      </c>
      <c r="O1537" s="1" t="n">
        <v>905144</v>
      </c>
      <c r="P1537" s="1" t="n">
        <v>98.22</v>
      </c>
      <c r="Q1537" s="1" t="s">
        <v>20</v>
      </c>
      <c r="R1537" s="1" t="s">
        <v>27</v>
      </c>
      <c r="S1537" s="1" t="s">
        <v>28</v>
      </c>
      <c r="T1537" s="1" t="s">
        <v>29</v>
      </c>
    </row>
    <row r="1538" customFormat="false" ht="18.7" hidden="false" customHeight="true" outlineLevel="0" collapsed="false">
      <c r="A1538" s="1" t="n">
        <v>1537</v>
      </c>
      <c r="B1538" s="6" t="str">
        <f aca="false">HYPERLINK("https://mncourtfraud.com/file/MCRO_27-CR-21-16111_Order-Evaluation for Competency to Proceed (Rule 20.01)_2023-06-28_20240430082635.pdf","MCRO_27-CR-21-16111_Order-Evaluation for Competency to Proceed (Rule 20.01)_2023-06-28_20240430082635.pdf")</f>
        <v>MCRO_27-CR-21-16111_Order-Evaluation for Competency to Proceed (Rule 20.01)_2023-06-28_20240430082635.pdf</v>
      </c>
      <c r="C1538" s="1" t="n">
        <v>9</v>
      </c>
      <c r="D1538" s="1" t="n">
        <v>3</v>
      </c>
      <c r="E1538" s="1" t="n">
        <v>3</v>
      </c>
      <c r="F1538" s="3" t="s">
        <v>27</v>
      </c>
      <c r="G1538" s="3" t="s">
        <v>6348</v>
      </c>
      <c r="H1538" s="1" t="s">
        <v>22</v>
      </c>
      <c r="I1538" s="1" t="n">
        <v>20240430082635</v>
      </c>
      <c r="J1538" s="3" t="s">
        <v>6349</v>
      </c>
      <c r="K1538" s="3" t="s">
        <v>6350</v>
      </c>
      <c r="L1538" s="3" t="s">
        <v>6351</v>
      </c>
      <c r="M1538" s="3" t="n">
        <v>922520</v>
      </c>
      <c r="N1538" s="3" t="s">
        <v>5006</v>
      </c>
      <c r="O1538" s="1" t="n">
        <v>906134</v>
      </c>
      <c r="P1538" s="1" t="n">
        <v>98.22</v>
      </c>
      <c r="Q1538" s="1" t="s">
        <v>20</v>
      </c>
      <c r="R1538" s="1" t="s">
        <v>27</v>
      </c>
      <c r="S1538" s="1" t="s">
        <v>28</v>
      </c>
      <c r="T1538" s="1" t="s">
        <v>29</v>
      </c>
    </row>
    <row r="1539" customFormat="false" ht="18.7" hidden="false" customHeight="true" outlineLevel="0" collapsed="false">
      <c r="A1539" s="1" t="n">
        <v>1538</v>
      </c>
      <c r="B1539" s="6" t="str">
        <f aca="false">HYPERLINK("https://mncourtfraud.com/file/MCRO_27-CR-21-16111_Probation Referral Notification_2024-04-16_20240430082628.pdf","MCRO_27-CR-21-16111_Probation Referral Notification_2024-04-16_20240430082628.pdf")</f>
        <v>MCRO_27-CR-21-16111_Probation Referral Notification_2024-04-16_20240430082628.pdf</v>
      </c>
      <c r="C1539" s="1" t="n">
        <v>4</v>
      </c>
      <c r="D1539" s="1" t="n">
        <v>1</v>
      </c>
      <c r="E1539" s="1" t="n">
        <v>1</v>
      </c>
      <c r="F1539" s="3" t="s">
        <v>20</v>
      </c>
      <c r="G1539" s="3" t="s">
        <v>6352</v>
      </c>
      <c r="H1539" s="1" t="s">
        <v>22</v>
      </c>
      <c r="I1539" s="1" t="n">
        <v>20240430082628</v>
      </c>
      <c r="J1539" s="3" t="s">
        <v>6353</v>
      </c>
      <c r="K1539" s="3" t="s">
        <v>6354</v>
      </c>
      <c r="L1539" s="3" t="s">
        <v>6355</v>
      </c>
      <c r="M1539" s="3" t="n">
        <v>831568</v>
      </c>
      <c r="N1539" s="3" t="s">
        <v>5856</v>
      </c>
      <c r="O1539" s="1" t="n">
        <v>815182</v>
      </c>
      <c r="P1539" s="1" t="n">
        <v>98.03</v>
      </c>
      <c r="Q1539" s="1" t="s">
        <v>20</v>
      </c>
      <c r="R1539" s="1" t="s">
        <v>27</v>
      </c>
      <c r="S1539" s="1" t="s">
        <v>28</v>
      </c>
      <c r="T1539" s="1" t="s">
        <v>29</v>
      </c>
    </row>
    <row r="1540" customFormat="false" ht="18.7" hidden="false" customHeight="true" outlineLevel="0" collapsed="false">
      <c r="A1540" s="1" t="n">
        <v>1539</v>
      </c>
      <c r="B1540" s="6" t="str">
        <f aca="false">HYPERLINK("https://mncourtfraud.com/file/MCRO_27-CR-21-16111_Returned Mail_2021-11-19_20240430082644.pdf","MCRO_27-CR-21-16111_Returned Mail_2021-11-19_20240430082644.pdf")</f>
        <v>MCRO_27-CR-21-16111_Returned Mail_2021-11-19_20240430082644.pdf</v>
      </c>
      <c r="C1540" s="1" t="n">
        <v>4</v>
      </c>
      <c r="D1540" s="1" t="n">
        <v>1</v>
      </c>
      <c r="E1540" s="1" t="n">
        <v>1</v>
      </c>
      <c r="F1540" s="3" t="s">
        <v>20</v>
      </c>
      <c r="G1540" s="3" t="s">
        <v>6356</v>
      </c>
      <c r="H1540" s="1" t="s">
        <v>22</v>
      </c>
      <c r="I1540" s="1" t="n">
        <v>20240430082644</v>
      </c>
      <c r="J1540" s="3" t="s">
        <v>6357</v>
      </c>
      <c r="K1540" s="3" t="s">
        <v>6358</v>
      </c>
      <c r="L1540" s="3" t="s">
        <v>6359</v>
      </c>
      <c r="M1540" s="3" t="n">
        <v>226560</v>
      </c>
      <c r="N1540" s="3" t="s">
        <v>456</v>
      </c>
      <c r="O1540" s="1" t="n">
        <v>210174</v>
      </c>
      <c r="P1540" s="1" t="n">
        <v>92.77</v>
      </c>
      <c r="Q1540" s="1" t="s">
        <v>20</v>
      </c>
      <c r="R1540" s="1" t="s">
        <v>27</v>
      </c>
      <c r="S1540" s="1" t="s">
        <v>28</v>
      </c>
      <c r="T1540" s="1" t="s">
        <v>29</v>
      </c>
    </row>
    <row r="1541" customFormat="false" ht="18.7" hidden="false" customHeight="true" outlineLevel="0" collapsed="false">
      <c r="A1541" s="1" t="n">
        <v>1540</v>
      </c>
      <c r="B1541" s="6" t="str">
        <f aca="false">HYPERLINK("https://mncourtfraud.com/file/MCRO_27-CR-21-16111_Returned Mail_2022-05-02_20240430082641.pdf","MCRO_27-CR-21-16111_Returned Mail_2022-05-02_20240430082641.pdf")</f>
        <v>MCRO_27-CR-21-16111_Returned Mail_2022-05-02_20240430082641.pdf</v>
      </c>
      <c r="C1541" s="1" t="n">
        <v>4</v>
      </c>
      <c r="D1541" s="1" t="n">
        <v>1</v>
      </c>
      <c r="E1541" s="1" t="n">
        <v>1</v>
      </c>
      <c r="F1541" s="3" t="s">
        <v>20</v>
      </c>
      <c r="G1541" s="3" t="s">
        <v>6360</v>
      </c>
      <c r="H1541" s="1" t="s">
        <v>22</v>
      </c>
      <c r="I1541" s="1" t="n">
        <v>20240430082641</v>
      </c>
      <c r="J1541" s="3" t="s">
        <v>6361</v>
      </c>
      <c r="K1541" s="3" t="s">
        <v>6362</v>
      </c>
      <c r="L1541" s="3" t="s">
        <v>6363</v>
      </c>
      <c r="M1541" s="3" t="n">
        <v>92824</v>
      </c>
      <c r="N1541" s="3" t="s">
        <v>456</v>
      </c>
      <c r="O1541" s="1" t="n">
        <v>76438</v>
      </c>
      <c r="P1541" s="1" t="n">
        <v>82.35</v>
      </c>
      <c r="Q1541" s="1" t="s">
        <v>20</v>
      </c>
      <c r="R1541" s="1" t="s">
        <v>27</v>
      </c>
      <c r="S1541" s="1" t="s">
        <v>28</v>
      </c>
      <c r="T1541" s="1" t="s">
        <v>29</v>
      </c>
    </row>
    <row r="1542" customFormat="false" ht="18.7" hidden="false" customHeight="true" outlineLevel="0" collapsed="false">
      <c r="A1542" s="1" t="n">
        <v>1541</v>
      </c>
      <c r="B1542" s="6" t="str">
        <f aca="false">HYPERLINK("https://mncourtfraud.com/file/MCRO_27-CR-21-17008_Amended Order_2024-04-05_20240430082726.pdf","MCRO_27-CR-21-17008_Amended Order_2024-04-05_20240430082726.pdf")</f>
        <v>MCRO_27-CR-21-17008_Amended Order_2024-04-05_20240430082726.pdf</v>
      </c>
      <c r="C1542" s="1" t="n">
        <v>5</v>
      </c>
      <c r="D1542" s="1" t="n">
        <v>3</v>
      </c>
      <c r="E1542" s="1" t="n">
        <v>3</v>
      </c>
      <c r="F1542" s="3" t="s">
        <v>20</v>
      </c>
      <c r="G1542" s="3" t="s">
        <v>6364</v>
      </c>
      <c r="H1542" s="1" t="s">
        <v>22</v>
      </c>
      <c r="I1542" s="1" t="n">
        <v>20240430082726</v>
      </c>
      <c r="J1542" s="3" t="s">
        <v>6365</v>
      </c>
      <c r="K1542" s="3" t="s">
        <v>6366</v>
      </c>
      <c r="L1542" s="3" t="s">
        <v>6367</v>
      </c>
      <c r="M1542" s="3" t="n">
        <v>331643</v>
      </c>
      <c r="N1542" s="3" t="s">
        <v>1091</v>
      </c>
      <c r="O1542" s="1" t="n">
        <v>315257</v>
      </c>
      <c r="P1542" s="1" t="n">
        <v>95.06</v>
      </c>
      <c r="Q1542" s="1" t="s">
        <v>20</v>
      </c>
      <c r="R1542" s="1" t="s">
        <v>27</v>
      </c>
      <c r="S1542" s="1" t="s">
        <v>28</v>
      </c>
      <c r="T1542" s="1" t="s">
        <v>29</v>
      </c>
    </row>
    <row r="1543" customFormat="false" ht="18.7" hidden="false" customHeight="true" outlineLevel="0" collapsed="false">
      <c r="A1543" s="1" t="n">
        <v>1542</v>
      </c>
      <c r="B1543" s="6" t="str">
        <f aca="false">HYPERLINK("https://mncourtfraud.com/file/MCRO_27-CR-21-17008_Demand or Request for Discovery_2021-10-21_20240430082750.pdf","MCRO_27-CR-21-17008_Demand or Request for Discovery_2021-10-21_20240430082750.pdf")</f>
        <v>MCRO_27-CR-21-17008_Demand or Request for Discovery_2021-10-21_20240430082750.pdf</v>
      </c>
      <c r="C1543" s="1" t="n">
        <v>3</v>
      </c>
      <c r="D1543" s="1" t="n">
        <v>1</v>
      </c>
      <c r="E1543" s="1" t="n">
        <v>1</v>
      </c>
      <c r="F1543" s="3" t="s">
        <v>20</v>
      </c>
      <c r="G1543" s="3" t="s">
        <v>6368</v>
      </c>
      <c r="H1543" s="1" t="s">
        <v>22</v>
      </c>
      <c r="I1543" s="1" t="n">
        <v>20240430082750</v>
      </c>
      <c r="J1543" s="3" t="s">
        <v>6369</v>
      </c>
      <c r="K1543" s="3" t="s">
        <v>6370</v>
      </c>
      <c r="L1543" s="3" t="s">
        <v>6371</v>
      </c>
      <c r="M1543" s="3" t="n">
        <v>374535</v>
      </c>
      <c r="N1543" s="3" t="s">
        <v>5604</v>
      </c>
      <c r="O1543" s="1" t="n">
        <v>358149</v>
      </c>
      <c r="P1543" s="1" t="n">
        <v>95.62</v>
      </c>
      <c r="Q1543" s="1" t="s">
        <v>20</v>
      </c>
      <c r="R1543" s="1" t="s">
        <v>27</v>
      </c>
      <c r="S1543" s="1" t="s">
        <v>28</v>
      </c>
      <c r="T1543" s="1" t="s">
        <v>29</v>
      </c>
    </row>
    <row r="1544" customFormat="false" ht="18.7" hidden="false" customHeight="true" outlineLevel="0" collapsed="false">
      <c r="A1544" s="1" t="n">
        <v>1543</v>
      </c>
      <c r="B1544" s="6" t="str">
        <f aca="false">HYPERLINK("https://mncourtfraud.com/file/MCRO_27-CR-21-17008_E-filed Comp-Summons_2021-09-10_20240430082754.pdf","MCRO_27-CR-21-17008_E-filed Comp-Summons_2021-09-10_20240430082754.pdf")</f>
        <v>MCRO_27-CR-21-17008_E-filed Comp-Summons_2021-09-10_20240430082754.pdf</v>
      </c>
      <c r="C1544" s="1" t="n">
        <v>4</v>
      </c>
      <c r="D1544" s="1" t="n">
        <v>2</v>
      </c>
      <c r="E1544" s="1" t="n">
        <v>2</v>
      </c>
      <c r="F1544" s="3" t="s">
        <v>20</v>
      </c>
      <c r="G1544" s="3" t="s">
        <v>6372</v>
      </c>
      <c r="H1544" s="1" t="s">
        <v>22</v>
      </c>
      <c r="I1544" s="1" t="n">
        <v>20240430082754</v>
      </c>
      <c r="J1544" s="3" t="s">
        <v>6373</v>
      </c>
      <c r="K1544" s="3" t="s">
        <v>6374</v>
      </c>
      <c r="L1544" s="3" t="s">
        <v>6375</v>
      </c>
      <c r="M1544" s="3" t="n">
        <v>587965</v>
      </c>
      <c r="N1544" s="3" t="s">
        <v>6376</v>
      </c>
      <c r="O1544" s="1" t="n">
        <v>571579</v>
      </c>
      <c r="P1544" s="1" t="n">
        <v>97.21</v>
      </c>
      <c r="Q1544" s="1" t="s">
        <v>20</v>
      </c>
      <c r="R1544" s="1" t="s">
        <v>27</v>
      </c>
      <c r="S1544" s="1" t="s">
        <v>28</v>
      </c>
      <c r="T1544" s="1" t="s">
        <v>29</v>
      </c>
    </row>
    <row r="1545" customFormat="false" ht="18.7" hidden="false" customHeight="true" outlineLevel="0" collapsed="false">
      <c r="A1545" s="1" t="n">
        <v>1544</v>
      </c>
      <c r="B1545" s="6" t="str">
        <f aca="false">HYPERLINK("https://mncourtfraud.com/file/MCRO_27-CR-21-17008_Law Enforcement Notice of Release and Appearance_2024-02-22_20240430082731.pdf","MCRO_27-CR-21-17008_Law Enforcement Notice of Release and Appearance_2024-02-22_20240430082731.pdf")</f>
        <v>MCRO_27-CR-21-17008_Law Enforcement Notice of Release and Appearance_2024-02-22_20240430082731.pdf</v>
      </c>
      <c r="C1545" s="1" t="n">
        <v>4</v>
      </c>
      <c r="D1545" s="1" t="n">
        <v>1</v>
      </c>
      <c r="E1545" s="1" t="n">
        <v>1</v>
      </c>
      <c r="F1545" s="3" t="s">
        <v>20</v>
      </c>
      <c r="G1545" s="3" t="s">
        <v>6377</v>
      </c>
      <c r="H1545" s="1" t="s">
        <v>22</v>
      </c>
      <c r="I1545" s="1" t="n">
        <v>20240430082731</v>
      </c>
      <c r="J1545" s="3" t="s">
        <v>6378</v>
      </c>
      <c r="K1545" s="3" t="s">
        <v>6379</v>
      </c>
      <c r="L1545" s="3" t="s">
        <v>6380</v>
      </c>
      <c r="M1545" s="3" t="n">
        <v>116658</v>
      </c>
      <c r="N1545" s="3" t="s">
        <v>435</v>
      </c>
      <c r="O1545" s="1" t="n">
        <v>100272</v>
      </c>
      <c r="P1545" s="1" t="n">
        <v>85.95</v>
      </c>
      <c r="Q1545" s="1" t="s">
        <v>20</v>
      </c>
      <c r="R1545" s="1" t="s">
        <v>27</v>
      </c>
      <c r="S1545" s="1" t="s">
        <v>28</v>
      </c>
      <c r="T1545" s="1" t="s">
        <v>29</v>
      </c>
    </row>
    <row r="1546" customFormat="false" ht="18.7" hidden="false" customHeight="true" outlineLevel="0" collapsed="false">
      <c r="A1546" s="1" t="n">
        <v>1545</v>
      </c>
      <c r="B1546" s="6" t="str">
        <f aca="false">HYPERLINK("https://mncourtfraud.com/file/MCRO_27-CR-21-17008_Notice of Case Reassignment_2021-12-16_20240430082749.pdf","MCRO_27-CR-21-17008_Notice of Case Reassignment_2021-12-16_20240430082749.pdf")</f>
        <v>MCRO_27-CR-21-17008_Notice of Case Reassignment_2021-12-16_20240430082749.pdf</v>
      </c>
      <c r="C1546" s="1" t="n">
        <v>4</v>
      </c>
      <c r="D1546" s="1" t="n">
        <v>1</v>
      </c>
      <c r="E1546" s="1" t="n">
        <v>1</v>
      </c>
      <c r="F1546" s="3" t="s">
        <v>20</v>
      </c>
      <c r="G1546" s="3" t="s">
        <v>6381</v>
      </c>
      <c r="H1546" s="1" t="s">
        <v>22</v>
      </c>
      <c r="I1546" s="1" t="n">
        <v>20240430082749</v>
      </c>
      <c r="J1546" s="3" t="s">
        <v>6382</v>
      </c>
      <c r="K1546" s="3" t="s">
        <v>6383</v>
      </c>
      <c r="L1546" s="3" t="s">
        <v>6384</v>
      </c>
      <c r="M1546" s="3" t="n">
        <v>97636</v>
      </c>
      <c r="N1546" s="3" t="s">
        <v>456</v>
      </c>
      <c r="O1546" s="1" t="n">
        <v>81250</v>
      </c>
      <c r="P1546" s="1" t="n">
        <v>83.22</v>
      </c>
      <c r="Q1546" s="1" t="s">
        <v>20</v>
      </c>
      <c r="R1546" s="1" t="s">
        <v>27</v>
      </c>
      <c r="S1546" s="1" t="s">
        <v>28</v>
      </c>
      <c r="T1546" s="1" t="s">
        <v>29</v>
      </c>
    </row>
    <row r="1547" customFormat="false" ht="18.7" hidden="false" customHeight="true" outlineLevel="0" collapsed="false">
      <c r="A1547" s="1" t="n">
        <v>1546</v>
      </c>
      <c r="B1547" s="6" t="str">
        <f aca="false">HYPERLINK("https://mncourtfraud.com/file/MCRO_27-CR-21-17008_Notice of Hearing_2024-03-04_20240430082730.pdf","MCRO_27-CR-21-17008_Notice of Hearing_2024-03-04_20240430082730.pdf")</f>
        <v>MCRO_27-CR-21-17008_Notice of Hearing_2024-03-04_20240430082730.pdf</v>
      </c>
      <c r="C1547" s="1" t="n">
        <v>4</v>
      </c>
      <c r="D1547" s="1" t="n">
        <v>1</v>
      </c>
      <c r="E1547" s="1" t="n">
        <v>1</v>
      </c>
      <c r="F1547" s="3" t="s">
        <v>20</v>
      </c>
      <c r="G1547" s="3" t="s">
        <v>6385</v>
      </c>
      <c r="H1547" s="1" t="s">
        <v>22</v>
      </c>
      <c r="I1547" s="1" t="n">
        <v>20240430082730</v>
      </c>
      <c r="J1547" s="3" t="s">
        <v>6386</v>
      </c>
      <c r="K1547" s="3" t="s">
        <v>6387</v>
      </c>
      <c r="L1547" s="3" t="s">
        <v>6388</v>
      </c>
      <c r="M1547" s="3" t="n">
        <v>730514</v>
      </c>
      <c r="N1547" s="3" t="s">
        <v>913</v>
      </c>
      <c r="O1547" s="1" t="n">
        <v>714128</v>
      </c>
      <c r="P1547" s="1" t="n">
        <v>97.76</v>
      </c>
      <c r="Q1547" s="1" t="s">
        <v>20</v>
      </c>
      <c r="R1547" s="1" t="s">
        <v>27</v>
      </c>
      <c r="S1547" s="1" t="s">
        <v>28</v>
      </c>
      <c r="T1547" s="1" t="s">
        <v>29</v>
      </c>
    </row>
    <row r="1548" customFormat="false" ht="18.7" hidden="false" customHeight="true" outlineLevel="0" collapsed="false">
      <c r="A1548" s="1" t="n">
        <v>1547</v>
      </c>
      <c r="B1548" s="6" t="str">
        <f aca="false">HYPERLINK("https://mncourtfraud.com/file/MCRO_27-CR-21-17008_Notice of Hearing_2024-03-22_20240430082728.pdf","MCRO_27-CR-21-17008_Notice of Hearing_2024-03-22_20240430082728.pdf")</f>
        <v>MCRO_27-CR-21-17008_Notice of Hearing_2024-03-22_20240430082728.pdf</v>
      </c>
      <c r="C1548" s="1" t="n">
        <v>4</v>
      </c>
      <c r="D1548" s="1" t="n">
        <v>1</v>
      </c>
      <c r="E1548" s="1" t="n">
        <v>1</v>
      </c>
      <c r="F1548" s="3" t="s">
        <v>20</v>
      </c>
      <c r="G1548" s="3" t="s">
        <v>6389</v>
      </c>
      <c r="H1548" s="1" t="s">
        <v>22</v>
      </c>
      <c r="I1548" s="1" t="n">
        <v>20240430082728</v>
      </c>
      <c r="J1548" s="3" t="s">
        <v>6390</v>
      </c>
      <c r="K1548" s="3" t="s">
        <v>6391</v>
      </c>
      <c r="L1548" s="3" t="s">
        <v>6392</v>
      </c>
      <c r="M1548" s="3" t="n">
        <v>516055</v>
      </c>
      <c r="N1548" s="3" t="s">
        <v>1128</v>
      </c>
      <c r="O1548" s="1" t="n">
        <v>499669</v>
      </c>
      <c r="P1548" s="1" t="n">
        <v>96.82</v>
      </c>
      <c r="Q1548" s="1" t="s">
        <v>20</v>
      </c>
      <c r="R1548" s="1" t="s">
        <v>27</v>
      </c>
      <c r="S1548" s="1" t="s">
        <v>28</v>
      </c>
      <c r="T1548" s="1" t="s">
        <v>29</v>
      </c>
    </row>
    <row r="1549" customFormat="false" ht="18.7" hidden="false" customHeight="true" outlineLevel="0" collapsed="false">
      <c r="A1549" s="1" t="n">
        <v>1548</v>
      </c>
      <c r="B1549" s="6" t="str">
        <f aca="false">HYPERLINK("https://mncourtfraud.com/file/MCRO_27-CR-21-17008_Notice of Motion and Motion_2023-01-30_20240430082737.pdf","MCRO_27-CR-21-17008_Notice of Motion and Motion_2023-01-30_20240430082737.pdf")</f>
        <v>MCRO_27-CR-21-17008_Notice of Motion and Motion_2023-01-30_20240430082737.pdf</v>
      </c>
      <c r="C1549" s="1" t="n">
        <v>3</v>
      </c>
      <c r="D1549" s="1" t="n">
        <v>1</v>
      </c>
      <c r="E1549" s="1" t="n">
        <v>1</v>
      </c>
      <c r="F1549" s="3" t="s">
        <v>20</v>
      </c>
      <c r="G1549" s="3" t="s">
        <v>6393</v>
      </c>
      <c r="H1549" s="1" t="s">
        <v>22</v>
      </c>
      <c r="I1549" s="1" t="n">
        <v>20240430082737</v>
      </c>
      <c r="J1549" s="3" t="s">
        <v>6394</v>
      </c>
      <c r="K1549" s="3" t="s">
        <v>6395</v>
      </c>
      <c r="L1549" s="3" t="s">
        <v>6396</v>
      </c>
      <c r="M1549" s="3" t="n">
        <v>181167</v>
      </c>
      <c r="N1549" s="3" t="s">
        <v>390</v>
      </c>
      <c r="O1549" s="1" t="n">
        <v>164781</v>
      </c>
      <c r="P1549" s="1" t="n">
        <v>90.96</v>
      </c>
      <c r="Q1549" s="1" t="s">
        <v>20</v>
      </c>
      <c r="R1549" s="1" t="s">
        <v>27</v>
      </c>
      <c r="S1549" s="1" t="s">
        <v>28</v>
      </c>
      <c r="T1549" s="1" t="s">
        <v>29</v>
      </c>
    </row>
    <row r="1550" customFormat="false" ht="18.7" hidden="false" customHeight="true" outlineLevel="0" collapsed="false">
      <c r="A1550" s="1" t="n">
        <v>1549</v>
      </c>
      <c r="B1550" s="6" t="str">
        <f aca="false">HYPERLINK("https://mncourtfraud.com/file/MCRO_27-CR-21-17008_Notice of Remote Hearing with Instructions_2021-09-10_20240430082753.pdf","MCRO_27-CR-21-17008_Notice of Remote Hearing with Instructions_2021-09-10_20240430082753.pdf")</f>
        <v>MCRO_27-CR-21-17008_Notice of Remote Hearing with Instructions_2021-09-10_20240430082753.pdf</v>
      </c>
      <c r="C1550" s="1" t="n">
        <v>5</v>
      </c>
      <c r="D1550" s="1" t="n">
        <v>1</v>
      </c>
      <c r="E1550" s="1" t="n">
        <v>1</v>
      </c>
      <c r="F1550" s="3" t="s">
        <v>20</v>
      </c>
      <c r="G1550" s="3" t="s">
        <v>6397</v>
      </c>
      <c r="H1550" s="1" t="s">
        <v>22</v>
      </c>
      <c r="I1550" s="1" t="n">
        <v>20240430082753</v>
      </c>
      <c r="J1550" s="3" t="s">
        <v>6398</v>
      </c>
      <c r="K1550" s="3" t="s">
        <v>6399</v>
      </c>
      <c r="L1550" s="3" t="s">
        <v>6400</v>
      </c>
      <c r="M1550" s="3" t="n">
        <v>1274675</v>
      </c>
      <c r="N1550" s="3" t="s">
        <v>1584</v>
      </c>
      <c r="O1550" s="1" t="n">
        <v>1258289</v>
      </c>
      <c r="P1550" s="1" t="n">
        <v>98.71</v>
      </c>
      <c r="Q1550" s="1" t="s">
        <v>20</v>
      </c>
      <c r="R1550" s="1" t="s">
        <v>27</v>
      </c>
      <c r="S1550" s="1" t="s">
        <v>28</v>
      </c>
      <c r="T1550" s="1" t="s">
        <v>29</v>
      </c>
    </row>
    <row r="1551" customFormat="false" ht="18.7" hidden="false" customHeight="true" outlineLevel="0" collapsed="false">
      <c r="A1551" s="1" t="n">
        <v>1550</v>
      </c>
      <c r="B1551" s="6" t="str">
        <f aca="false">HYPERLINK("https://mncourtfraud.com/file/MCRO_27-CR-21-17008_Notice of Remote Hearing with Instructions_2021-10-06_20240430082752.pdf","MCRO_27-CR-21-17008_Notice of Remote Hearing with Instructions_2021-10-06_20240430082752.pdf")</f>
        <v>MCRO_27-CR-21-17008_Notice of Remote Hearing with Instructions_2021-10-06_20240430082752.pdf</v>
      </c>
      <c r="C1551" s="1" t="n">
        <v>4</v>
      </c>
      <c r="D1551" s="1" t="n">
        <v>1</v>
      </c>
      <c r="E1551" s="1" t="n">
        <v>1</v>
      </c>
      <c r="F1551" s="3" t="s">
        <v>20</v>
      </c>
      <c r="G1551" s="3" t="s">
        <v>6401</v>
      </c>
      <c r="H1551" s="1" t="s">
        <v>22</v>
      </c>
      <c r="I1551" s="1" t="n">
        <v>20240430082752</v>
      </c>
      <c r="J1551" s="3" t="s">
        <v>6402</v>
      </c>
      <c r="K1551" s="3" t="s">
        <v>6403</v>
      </c>
      <c r="L1551" s="3" t="s">
        <v>6404</v>
      </c>
      <c r="M1551" s="3" t="n">
        <v>153590</v>
      </c>
      <c r="N1551" s="3" t="s">
        <v>1065</v>
      </c>
      <c r="O1551" s="1" t="n">
        <v>137204</v>
      </c>
      <c r="P1551" s="1" t="n">
        <v>89.33</v>
      </c>
      <c r="Q1551" s="1" t="s">
        <v>20</v>
      </c>
      <c r="R1551" s="1" t="s">
        <v>27</v>
      </c>
      <c r="S1551" s="1" t="s">
        <v>28</v>
      </c>
      <c r="T1551" s="1" t="s">
        <v>29</v>
      </c>
    </row>
    <row r="1552" customFormat="false" ht="18.7" hidden="false" customHeight="true" outlineLevel="0" collapsed="false">
      <c r="A1552" s="1" t="n">
        <v>1551</v>
      </c>
      <c r="B1552" s="6" t="str">
        <f aca="false">HYPERLINK("https://mncourtfraud.com/file/MCRO_27-CR-21-17008_Notice of Remote Hearing with Instructions_2022-04-28_20240430082748.pdf","MCRO_27-CR-21-17008_Notice of Remote Hearing with Instructions_2022-04-28_20240430082748.pdf")</f>
        <v>MCRO_27-CR-21-17008_Notice of Remote Hearing with Instructions_2022-04-28_20240430082748.pdf</v>
      </c>
      <c r="C1552" s="1" t="n">
        <v>4</v>
      </c>
      <c r="D1552" s="1" t="n">
        <v>1</v>
      </c>
      <c r="E1552" s="1" t="n">
        <v>1</v>
      </c>
      <c r="F1552" s="3" t="s">
        <v>20</v>
      </c>
      <c r="G1552" s="3" t="s">
        <v>6405</v>
      </c>
      <c r="H1552" s="1" t="s">
        <v>22</v>
      </c>
      <c r="I1552" s="1" t="n">
        <v>20240430082748</v>
      </c>
      <c r="J1552" s="3" t="s">
        <v>6406</v>
      </c>
      <c r="K1552" s="3" t="s">
        <v>6407</v>
      </c>
      <c r="L1552" s="3" t="s">
        <v>6408</v>
      </c>
      <c r="M1552" s="3" t="n">
        <v>820633</v>
      </c>
      <c r="N1552" s="3" t="s">
        <v>2818</v>
      </c>
      <c r="O1552" s="1" t="n">
        <v>804247</v>
      </c>
      <c r="P1552" s="1" t="n">
        <v>98</v>
      </c>
      <c r="Q1552" s="1" t="s">
        <v>20</v>
      </c>
      <c r="R1552" s="1" t="s">
        <v>27</v>
      </c>
      <c r="S1552" s="1" t="s">
        <v>28</v>
      </c>
      <c r="T1552" s="1" t="s">
        <v>29</v>
      </c>
    </row>
    <row r="1553" customFormat="false" ht="18.7" hidden="false" customHeight="true" outlineLevel="0" collapsed="false">
      <c r="A1553" s="1" t="n">
        <v>1552</v>
      </c>
      <c r="B1553" s="6" t="str">
        <f aca="false">HYPERLINK("https://mncourtfraud.com/file/MCRO_27-CR-21-17008_Notice of Remote Hearing with Instructions_2022-06-01_20240430082746.pdf","MCRO_27-CR-21-17008_Notice of Remote Hearing with Instructions_2022-06-01_20240430082746.pdf")</f>
        <v>MCRO_27-CR-21-17008_Notice of Remote Hearing with Instructions_2022-06-01_20240430082746.pdf</v>
      </c>
      <c r="C1553" s="1" t="n">
        <v>4</v>
      </c>
      <c r="D1553" s="1" t="n">
        <v>1</v>
      </c>
      <c r="E1553" s="1" t="n">
        <v>1</v>
      </c>
      <c r="F1553" s="3" t="s">
        <v>20</v>
      </c>
      <c r="G1553" s="3" t="s">
        <v>6409</v>
      </c>
      <c r="H1553" s="1" t="s">
        <v>22</v>
      </c>
      <c r="I1553" s="1" t="n">
        <v>20240430082746</v>
      </c>
      <c r="J1553" s="3" t="s">
        <v>6410</v>
      </c>
      <c r="K1553" s="3" t="s">
        <v>6411</v>
      </c>
      <c r="L1553" s="3" t="s">
        <v>6412</v>
      </c>
      <c r="M1553" s="3" t="n">
        <v>1306026</v>
      </c>
      <c r="N1553" s="3" t="s">
        <v>1009</v>
      </c>
      <c r="O1553" s="1" t="n">
        <v>1289640</v>
      </c>
      <c r="P1553" s="1" t="n">
        <v>98.75</v>
      </c>
      <c r="Q1553" s="1" t="s">
        <v>20</v>
      </c>
      <c r="R1553" s="1" t="s">
        <v>27</v>
      </c>
      <c r="S1553" s="1" t="s">
        <v>28</v>
      </c>
      <c r="T1553" s="1" t="s">
        <v>29</v>
      </c>
    </row>
    <row r="1554" customFormat="false" ht="18.7" hidden="false" customHeight="true" outlineLevel="0" collapsed="false">
      <c r="A1554" s="1" t="n">
        <v>1553</v>
      </c>
      <c r="B1554" s="6" t="str">
        <f aca="false">HYPERLINK("https://mncourtfraud.com/file/MCRO_27-CR-21-17008_Notice of Remote Hearing with Instructions_2022-06-01_20240430082747.pdf","MCRO_27-CR-21-17008_Notice of Remote Hearing with Instructions_2022-06-01_20240430082747.pdf")</f>
        <v>MCRO_27-CR-21-17008_Notice of Remote Hearing with Instructions_2022-06-01_20240430082747.pdf</v>
      </c>
      <c r="C1554" s="1" t="n">
        <v>4</v>
      </c>
      <c r="D1554" s="1" t="n">
        <v>1</v>
      </c>
      <c r="E1554" s="1" t="n">
        <v>1</v>
      </c>
      <c r="F1554" s="3" t="s">
        <v>20</v>
      </c>
      <c r="G1554" s="3" t="s">
        <v>6413</v>
      </c>
      <c r="H1554" s="1" t="s">
        <v>22</v>
      </c>
      <c r="I1554" s="1" t="n">
        <v>20240430082747</v>
      </c>
      <c r="J1554" s="3" t="s">
        <v>6414</v>
      </c>
      <c r="K1554" s="3" t="s">
        <v>6415</v>
      </c>
      <c r="L1554" s="3" t="s">
        <v>6416</v>
      </c>
      <c r="M1554" s="3" t="n">
        <v>1233177</v>
      </c>
      <c r="N1554" s="3" t="s">
        <v>1489</v>
      </c>
      <c r="O1554" s="1" t="n">
        <v>1216791</v>
      </c>
      <c r="P1554" s="1" t="n">
        <v>98.67</v>
      </c>
      <c r="Q1554" s="1" t="s">
        <v>20</v>
      </c>
      <c r="R1554" s="1" t="s">
        <v>27</v>
      </c>
      <c r="S1554" s="1" t="s">
        <v>28</v>
      </c>
      <c r="T1554" s="1" t="s">
        <v>29</v>
      </c>
    </row>
    <row r="1555" customFormat="false" ht="18.7" hidden="false" customHeight="true" outlineLevel="0" collapsed="false">
      <c r="A1555" s="1" t="n">
        <v>1554</v>
      </c>
      <c r="B1555" s="6" t="str">
        <f aca="false">HYPERLINK("https://mncourtfraud.com/file/MCRO_27-CR-21-17008_Notice of Remote Hearing with Instructions_2022-07-28_20240430082745.pdf","MCRO_27-CR-21-17008_Notice of Remote Hearing with Instructions_2022-07-28_20240430082745.pdf")</f>
        <v>MCRO_27-CR-21-17008_Notice of Remote Hearing with Instructions_2022-07-28_20240430082745.pdf</v>
      </c>
      <c r="C1555" s="1" t="n">
        <v>4</v>
      </c>
      <c r="D1555" s="1" t="n">
        <v>1</v>
      </c>
      <c r="E1555" s="1" t="n">
        <v>1</v>
      </c>
      <c r="F1555" s="3" t="s">
        <v>20</v>
      </c>
      <c r="G1555" s="3" t="s">
        <v>6417</v>
      </c>
      <c r="H1555" s="1" t="s">
        <v>22</v>
      </c>
      <c r="I1555" s="1" t="n">
        <v>20240430082745</v>
      </c>
      <c r="J1555" s="3" t="s">
        <v>6418</v>
      </c>
      <c r="K1555" s="3" t="s">
        <v>6419</v>
      </c>
      <c r="L1555" s="3" t="s">
        <v>6420</v>
      </c>
      <c r="M1555" s="3" t="n">
        <v>1273157</v>
      </c>
      <c r="N1555" s="3" t="s">
        <v>5096</v>
      </c>
      <c r="O1555" s="1" t="n">
        <v>1256771</v>
      </c>
      <c r="P1555" s="1" t="n">
        <v>98.71</v>
      </c>
      <c r="Q1555" s="1" t="s">
        <v>20</v>
      </c>
      <c r="R1555" s="1" t="s">
        <v>27</v>
      </c>
      <c r="S1555" s="1" t="s">
        <v>28</v>
      </c>
      <c r="T1555" s="1" t="s">
        <v>29</v>
      </c>
    </row>
    <row r="1556" customFormat="false" ht="18.7" hidden="false" customHeight="true" outlineLevel="0" collapsed="false">
      <c r="A1556" s="1" t="n">
        <v>1555</v>
      </c>
      <c r="B1556" s="6" t="str">
        <f aca="false">HYPERLINK("https://mncourtfraud.com/file/MCRO_27-CR-21-17008_Notice of Remote Hearing with Instructions_2022-10-10_20240430082743.pdf","MCRO_27-CR-21-17008_Notice of Remote Hearing with Instructions_2022-10-10_20240430082743.pdf")</f>
        <v>MCRO_27-CR-21-17008_Notice of Remote Hearing with Instructions_2022-10-10_20240430082743.pdf</v>
      </c>
      <c r="C1556" s="1" t="n">
        <v>4</v>
      </c>
      <c r="D1556" s="1" t="n">
        <v>1</v>
      </c>
      <c r="E1556" s="1" t="n">
        <v>1</v>
      </c>
      <c r="F1556" s="3" t="s">
        <v>20</v>
      </c>
      <c r="G1556" s="3" t="s">
        <v>6421</v>
      </c>
      <c r="H1556" s="1" t="s">
        <v>22</v>
      </c>
      <c r="I1556" s="1" t="n">
        <v>20240430082743</v>
      </c>
      <c r="J1556" s="3" t="s">
        <v>6422</v>
      </c>
      <c r="K1556" s="3" t="s">
        <v>6423</v>
      </c>
      <c r="L1556" s="3" t="s">
        <v>6424</v>
      </c>
      <c r="M1556" s="3" t="n">
        <v>679927</v>
      </c>
      <c r="N1556" s="3" t="s">
        <v>1128</v>
      </c>
      <c r="O1556" s="1" t="n">
        <v>663541</v>
      </c>
      <c r="P1556" s="1" t="n">
        <v>97.59</v>
      </c>
      <c r="Q1556" s="1" t="s">
        <v>20</v>
      </c>
      <c r="R1556" s="1" t="s">
        <v>27</v>
      </c>
      <c r="S1556" s="1" t="s">
        <v>28</v>
      </c>
      <c r="T1556" s="1" t="s">
        <v>29</v>
      </c>
    </row>
    <row r="1557" customFormat="false" ht="18.7" hidden="false" customHeight="true" outlineLevel="0" collapsed="false">
      <c r="A1557" s="1" t="n">
        <v>1556</v>
      </c>
      <c r="B1557" s="6" t="str">
        <f aca="false">HYPERLINK("https://mncourtfraud.com/file/MCRO_27-CR-21-17008_Notice of Remote Hearing with Instructions_2022-12-05_20240430082741.pdf","MCRO_27-CR-21-17008_Notice of Remote Hearing with Instructions_2022-12-05_20240430082741.pdf")</f>
        <v>MCRO_27-CR-21-17008_Notice of Remote Hearing with Instructions_2022-12-05_20240430082741.pdf</v>
      </c>
      <c r="C1557" s="1" t="n">
        <v>4</v>
      </c>
      <c r="D1557" s="1" t="n">
        <v>1</v>
      </c>
      <c r="E1557" s="1" t="n">
        <v>1</v>
      </c>
      <c r="F1557" s="3" t="s">
        <v>20</v>
      </c>
      <c r="G1557" s="3" t="s">
        <v>6425</v>
      </c>
      <c r="H1557" s="1" t="s">
        <v>22</v>
      </c>
      <c r="I1557" s="1" t="n">
        <v>20240430082741</v>
      </c>
      <c r="J1557" s="3" t="s">
        <v>6426</v>
      </c>
      <c r="K1557" s="3" t="s">
        <v>6427</v>
      </c>
      <c r="L1557" s="3" t="s">
        <v>6428</v>
      </c>
      <c r="M1557" s="3" t="n">
        <v>134082</v>
      </c>
      <c r="N1557" s="3" t="s">
        <v>158</v>
      </c>
      <c r="O1557" s="1" t="n">
        <v>117696</v>
      </c>
      <c r="P1557" s="1" t="n">
        <v>87.78</v>
      </c>
      <c r="Q1557" s="1" t="s">
        <v>20</v>
      </c>
      <c r="R1557" s="1" t="s">
        <v>27</v>
      </c>
      <c r="S1557" s="1" t="s">
        <v>28</v>
      </c>
      <c r="T1557" s="1" t="s">
        <v>29</v>
      </c>
    </row>
    <row r="1558" customFormat="false" ht="18.7" hidden="false" customHeight="true" outlineLevel="0" collapsed="false">
      <c r="A1558" s="1" t="n">
        <v>1557</v>
      </c>
      <c r="B1558" s="6" t="str">
        <f aca="false">HYPERLINK("https://mncourtfraud.com/file/MCRO_27-CR-21-17008_Order-Evaluation for Competency to Proceed (Rule 20.01)_2023-03-03_20240430082736.pdf","MCRO_27-CR-21-17008_Order-Evaluation for Competency to Proceed (Rule 20.01)_2023-03-03_20240430082736.pdf")</f>
        <v>MCRO_27-CR-21-17008_Order-Evaluation for Competency to Proceed (Rule 20.01)_2023-03-03_20240430082736.pdf</v>
      </c>
      <c r="C1558" s="1" t="n">
        <v>4</v>
      </c>
      <c r="D1558" s="1" t="n">
        <v>1</v>
      </c>
      <c r="E1558" s="1" t="n">
        <v>1</v>
      </c>
      <c r="F1558" s="3" t="s">
        <v>20</v>
      </c>
      <c r="G1558" s="3" t="s">
        <v>6429</v>
      </c>
      <c r="H1558" s="1" t="s">
        <v>22</v>
      </c>
      <c r="I1558" s="1" t="n">
        <v>20240430082736</v>
      </c>
      <c r="J1558" s="3" t="s">
        <v>6430</v>
      </c>
      <c r="K1558" s="3" t="s">
        <v>6431</v>
      </c>
      <c r="L1558" s="3" t="s">
        <v>6432</v>
      </c>
      <c r="M1558" s="3" t="n">
        <v>198806</v>
      </c>
      <c r="N1558" s="3" t="s">
        <v>158</v>
      </c>
      <c r="O1558" s="1" t="n">
        <v>182420</v>
      </c>
      <c r="P1558" s="1" t="n">
        <v>91.76</v>
      </c>
      <c r="Q1558" s="1" t="s">
        <v>20</v>
      </c>
      <c r="R1558" s="1" t="s">
        <v>27</v>
      </c>
      <c r="S1558" s="1" t="s">
        <v>28</v>
      </c>
      <c r="T1558" s="1" t="s">
        <v>29</v>
      </c>
    </row>
    <row r="1559" customFormat="false" ht="18.7" hidden="false" customHeight="true" outlineLevel="0" collapsed="false">
      <c r="A1559" s="1" t="n">
        <v>1558</v>
      </c>
      <c r="B1559" s="6" t="str">
        <f aca="false">HYPERLINK("https://mncourtfraud.com/file/MCRO_27-CR-21-17008_Order-Other_2023-08-10_20240430082735.pdf","MCRO_27-CR-21-17008_Order-Other_2023-08-10_20240430082735.pdf")</f>
        <v>MCRO_27-CR-21-17008_Order-Other_2023-08-10_20240430082735.pdf</v>
      </c>
      <c r="C1559" s="1" t="n">
        <v>4</v>
      </c>
      <c r="D1559" s="1" t="n">
        <v>1</v>
      </c>
      <c r="E1559" s="1" t="n">
        <v>1</v>
      </c>
      <c r="F1559" s="3" t="s">
        <v>20</v>
      </c>
      <c r="G1559" s="3" t="s">
        <v>6433</v>
      </c>
      <c r="H1559" s="1" t="s">
        <v>22</v>
      </c>
      <c r="I1559" s="1" t="n">
        <v>20240430082735</v>
      </c>
      <c r="J1559" s="3" t="s">
        <v>6434</v>
      </c>
      <c r="K1559" s="3" t="s">
        <v>6435</v>
      </c>
      <c r="L1559" s="3" t="s">
        <v>6436</v>
      </c>
      <c r="M1559" s="3" t="n">
        <v>82425</v>
      </c>
      <c r="N1559" s="3" t="s">
        <v>158</v>
      </c>
      <c r="O1559" s="1" t="n">
        <v>66039</v>
      </c>
      <c r="P1559" s="1" t="n">
        <v>80.12</v>
      </c>
      <c r="Q1559" s="1" t="s">
        <v>20</v>
      </c>
      <c r="R1559" s="1" t="s">
        <v>27</v>
      </c>
      <c r="S1559" s="1" t="s">
        <v>28</v>
      </c>
      <c r="T1559" s="1" t="s">
        <v>29</v>
      </c>
    </row>
    <row r="1560" customFormat="false" ht="18.7" hidden="false" customHeight="true" outlineLevel="0" collapsed="false">
      <c r="A1560" s="1" t="n">
        <v>1559</v>
      </c>
      <c r="B1560" s="6" t="str">
        <f aca="false">HYPERLINK("https://mncourtfraud.com/file/MCRO_27-CR-21-17008_Order-Other_2023-09-19_20240430082733.pdf","MCRO_27-CR-21-17008_Order-Other_2023-09-19_20240430082733.pdf")</f>
        <v>MCRO_27-CR-21-17008_Order-Other_2023-09-19_20240430082733.pdf</v>
      </c>
      <c r="C1560" s="1" t="n">
        <v>4</v>
      </c>
      <c r="D1560" s="1" t="n">
        <v>1</v>
      </c>
      <c r="E1560" s="1" t="n">
        <v>1</v>
      </c>
      <c r="F1560" s="3" t="s">
        <v>20</v>
      </c>
      <c r="G1560" s="3" t="s">
        <v>6437</v>
      </c>
      <c r="H1560" s="1" t="s">
        <v>22</v>
      </c>
      <c r="I1560" s="1" t="n">
        <v>20240430082733</v>
      </c>
      <c r="J1560" s="3" t="s">
        <v>6438</v>
      </c>
      <c r="K1560" s="3" t="s">
        <v>6439</v>
      </c>
      <c r="L1560" s="3" t="s">
        <v>6440</v>
      </c>
      <c r="M1560" s="3" t="n">
        <v>213864</v>
      </c>
      <c r="N1560" s="3" t="s">
        <v>361</v>
      </c>
      <c r="O1560" s="1" t="n">
        <v>197478</v>
      </c>
      <c r="P1560" s="1" t="n">
        <v>92.34</v>
      </c>
      <c r="Q1560" s="1" t="s">
        <v>20</v>
      </c>
      <c r="R1560" s="1" t="s">
        <v>27</v>
      </c>
      <c r="S1560" s="1" t="s">
        <v>28</v>
      </c>
      <c r="T1560" s="1" t="s">
        <v>29</v>
      </c>
    </row>
    <row r="1561" customFormat="false" ht="18.7" hidden="false" customHeight="true" outlineLevel="0" collapsed="false">
      <c r="A1561" s="1" t="n">
        <v>1560</v>
      </c>
      <c r="B1561" s="6" t="str">
        <f aca="false">HYPERLINK("https://mncourtfraud.com/file/MCRO_27-CR-21-17008_Petition to Enter Guilty Plea_2023-09-19_20240430082734.pdf","MCRO_27-CR-21-17008_Petition to Enter Guilty Plea_2023-09-19_20240430082734.pdf")</f>
        <v>MCRO_27-CR-21-17008_Petition to Enter Guilty Plea_2023-09-19_20240430082734.pdf</v>
      </c>
      <c r="C1561" s="1" t="n">
        <v>4</v>
      </c>
      <c r="D1561" s="1" t="n">
        <v>1</v>
      </c>
      <c r="E1561" s="1" t="n">
        <v>1</v>
      </c>
      <c r="F1561" s="3" t="s">
        <v>20</v>
      </c>
      <c r="G1561" s="3" t="s">
        <v>6441</v>
      </c>
      <c r="H1561" s="1" t="s">
        <v>22</v>
      </c>
      <c r="I1561" s="1" t="n">
        <v>20240430082734</v>
      </c>
      <c r="J1561" s="3" t="s">
        <v>6442</v>
      </c>
      <c r="K1561" s="3" t="s">
        <v>6443</v>
      </c>
      <c r="L1561" s="3" t="s">
        <v>6444</v>
      </c>
      <c r="M1561" s="3" t="n">
        <v>441437</v>
      </c>
      <c r="N1561" s="3" t="s">
        <v>6445</v>
      </c>
      <c r="O1561" s="1" t="n">
        <v>425051</v>
      </c>
      <c r="P1561" s="1" t="n">
        <v>96.29</v>
      </c>
      <c r="Q1561" s="1" t="s">
        <v>20</v>
      </c>
      <c r="R1561" s="1" t="s">
        <v>27</v>
      </c>
      <c r="S1561" s="1" t="s">
        <v>28</v>
      </c>
      <c r="T1561" s="1" t="s">
        <v>29</v>
      </c>
    </row>
    <row r="1562" customFormat="false" ht="18.7" hidden="false" customHeight="true" outlineLevel="0" collapsed="false">
      <c r="A1562" s="1" t="n">
        <v>1561</v>
      </c>
      <c r="B1562" s="6" t="str">
        <f aca="false">HYPERLINK("https://mncourtfraud.com/file/MCRO_27-CR-21-17008_Probation Violation Warrant_2024-01-04_20240430082732.pdf","MCRO_27-CR-21-17008_Probation Violation Warrant_2024-01-04_20240430082732.pdf")</f>
        <v>MCRO_27-CR-21-17008_Probation Violation Warrant_2024-01-04_20240430082732.pdf</v>
      </c>
      <c r="C1562" s="1" t="n">
        <v>5</v>
      </c>
      <c r="D1562" s="1" t="n">
        <v>4</v>
      </c>
      <c r="E1562" s="1" t="n">
        <v>4</v>
      </c>
      <c r="F1562" s="3" t="s">
        <v>20</v>
      </c>
      <c r="G1562" s="3" t="s">
        <v>6446</v>
      </c>
      <c r="H1562" s="1" t="s">
        <v>22</v>
      </c>
      <c r="I1562" s="1" t="n">
        <v>20240430082732</v>
      </c>
      <c r="J1562" s="3" t="s">
        <v>6447</v>
      </c>
      <c r="K1562" s="3" t="s">
        <v>6448</v>
      </c>
      <c r="L1562" s="3" t="s">
        <v>6449</v>
      </c>
      <c r="M1562" s="3" t="n">
        <v>354044</v>
      </c>
      <c r="N1562" s="3" t="s">
        <v>3549</v>
      </c>
      <c r="O1562" s="1" t="n">
        <v>337658</v>
      </c>
      <c r="P1562" s="1" t="n">
        <v>95.37</v>
      </c>
      <c r="Q1562" s="1" t="s">
        <v>20</v>
      </c>
      <c r="R1562" s="1" t="s">
        <v>27</v>
      </c>
      <c r="S1562" s="1" t="s">
        <v>28</v>
      </c>
      <c r="T1562" s="1" t="s">
        <v>29</v>
      </c>
    </row>
    <row r="1563" customFormat="false" ht="18.7" hidden="false" customHeight="true" outlineLevel="0" collapsed="false">
      <c r="A1563" s="1" t="n">
        <v>1562</v>
      </c>
      <c r="B1563" s="6" t="str">
        <f aca="false">HYPERLINK("https://mncourtfraud.com/file/MCRO_27-CR-21-17008_Proposed Order or Document_2024-04-05_20240430082727.pdf","MCRO_27-CR-21-17008_Proposed Order or Document_2024-04-05_20240430082727.pdf")</f>
        <v>MCRO_27-CR-21-17008_Proposed Order or Document_2024-04-05_20240430082727.pdf</v>
      </c>
      <c r="C1563" s="1" t="n">
        <v>3</v>
      </c>
      <c r="D1563" s="1" t="n">
        <v>1</v>
      </c>
      <c r="E1563" s="1" t="n">
        <v>1</v>
      </c>
      <c r="F1563" s="3" t="s">
        <v>20</v>
      </c>
      <c r="G1563" s="3" t="s">
        <v>6450</v>
      </c>
      <c r="H1563" s="1" t="s">
        <v>22</v>
      </c>
      <c r="I1563" s="1" t="n">
        <v>20240430082727</v>
      </c>
      <c r="J1563" s="3" t="s">
        <v>6451</v>
      </c>
      <c r="K1563" s="3" t="s">
        <v>6452</v>
      </c>
      <c r="L1563" s="3" t="s">
        <v>6453</v>
      </c>
      <c r="M1563" s="3" t="n">
        <v>187704</v>
      </c>
      <c r="N1563" s="3" t="s">
        <v>6214</v>
      </c>
      <c r="O1563" s="1" t="n">
        <v>171318</v>
      </c>
      <c r="P1563" s="1" t="n">
        <v>91.27</v>
      </c>
      <c r="Q1563" s="1" t="s">
        <v>20</v>
      </c>
      <c r="R1563" s="1" t="s">
        <v>27</v>
      </c>
      <c r="S1563" s="1" t="s">
        <v>28</v>
      </c>
      <c r="T1563" s="1" t="s">
        <v>29</v>
      </c>
    </row>
    <row r="1564" customFormat="false" ht="18.7" hidden="false" customHeight="true" outlineLevel="0" collapsed="false">
      <c r="A1564" s="1" t="n">
        <v>1563</v>
      </c>
      <c r="B1564" s="6" t="str">
        <f aca="false">HYPERLINK("https://mncourtfraud.com/file/MCRO_27-CR-21-17008_Prospective Juror List_2022-12-05_20240430082740.pdf","MCRO_27-CR-21-17008_Prospective Juror List_2022-12-05_20240430082740.pdf")</f>
        <v>MCRO_27-CR-21-17008_Prospective Juror List_2022-12-05_20240430082740.pdf</v>
      </c>
      <c r="C1564" s="1" t="n">
        <v>4</v>
      </c>
      <c r="D1564" s="1" t="n">
        <v>1</v>
      </c>
      <c r="E1564" s="1" t="n">
        <v>1</v>
      </c>
      <c r="F1564" s="3" t="s">
        <v>20</v>
      </c>
      <c r="G1564" s="3" t="s">
        <v>6454</v>
      </c>
      <c r="H1564" s="1" t="s">
        <v>22</v>
      </c>
      <c r="I1564" s="1" t="n">
        <v>20240430082740</v>
      </c>
      <c r="J1564" s="3" t="s">
        <v>6455</v>
      </c>
      <c r="K1564" s="3" t="s">
        <v>6456</v>
      </c>
      <c r="L1564" s="3" t="s">
        <v>6457</v>
      </c>
      <c r="M1564" s="3" t="n">
        <v>127365</v>
      </c>
      <c r="N1564" s="3" t="s">
        <v>361</v>
      </c>
      <c r="O1564" s="1" t="n">
        <v>110979</v>
      </c>
      <c r="P1564" s="1" t="n">
        <v>87.13</v>
      </c>
      <c r="Q1564" s="1" t="s">
        <v>20</v>
      </c>
      <c r="R1564" s="1" t="s">
        <v>27</v>
      </c>
      <c r="S1564" s="1" t="s">
        <v>28</v>
      </c>
      <c r="T1564" s="1" t="s">
        <v>29</v>
      </c>
    </row>
    <row r="1565" customFormat="false" ht="18.7" hidden="false" customHeight="true" outlineLevel="0" collapsed="false">
      <c r="A1565" s="1" t="n">
        <v>1564</v>
      </c>
      <c r="B1565" s="6" t="str">
        <f aca="false">HYPERLINK("https://mncourtfraud.com/file/MCRO_27-CR-21-17008_Returned Mail_2021-10-20_20240430082751.pdf","MCRO_27-CR-21-17008_Returned Mail_2021-10-20_20240430082751.pdf")</f>
        <v>MCRO_27-CR-21-17008_Returned Mail_2021-10-20_20240430082751.pdf</v>
      </c>
      <c r="C1565" s="1" t="n">
        <v>4</v>
      </c>
      <c r="D1565" s="1" t="n">
        <v>1</v>
      </c>
      <c r="E1565" s="1" t="n">
        <v>1</v>
      </c>
      <c r="F1565" s="3" t="s">
        <v>20</v>
      </c>
      <c r="G1565" s="3" t="s">
        <v>6458</v>
      </c>
      <c r="H1565" s="1" t="s">
        <v>22</v>
      </c>
      <c r="I1565" s="1" t="n">
        <v>20240430082751</v>
      </c>
      <c r="J1565" s="3" t="s">
        <v>6459</v>
      </c>
      <c r="K1565" s="3" t="s">
        <v>6460</v>
      </c>
      <c r="L1565" s="3" t="s">
        <v>6461</v>
      </c>
      <c r="M1565" s="3" t="n">
        <v>201356</v>
      </c>
      <c r="N1565" s="3" t="s">
        <v>614</v>
      </c>
      <c r="O1565" s="1" t="n">
        <v>184970</v>
      </c>
      <c r="P1565" s="1" t="n">
        <v>91.86</v>
      </c>
      <c r="Q1565" s="1" t="s">
        <v>20</v>
      </c>
      <c r="R1565" s="1" t="s">
        <v>27</v>
      </c>
      <c r="S1565" s="1" t="s">
        <v>28</v>
      </c>
      <c r="T1565" s="1" t="s">
        <v>29</v>
      </c>
    </row>
    <row r="1566" customFormat="false" ht="18.7" hidden="false" customHeight="true" outlineLevel="0" collapsed="false">
      <c r="A1566" s="1" t="n">
        <v>1565</v>
      </c>
      <c r="B1566" s="6" t="str">
        <f aca="false">HYPERLINK("https://mncourtfraud.com/file/MCRO_27-CR-21-17008_Returned Mail_2022-12-27_20240430082739.pdf","MCRO_27-CR-21-17008_Returned Mail_2022-12-27_20240430082739.pdf")</f>
        <v>MCRO_27-CR-21-17008_Returned Mail_2022-12-27_20240430082739.pdf</v>
      </c>
      <c r="C1566" s="1" t="n">
        <v>4</v>
      </c>
      <c r="D1566" s="1" t="n">
        <v>1</v>
      </c>
      <c r="E1566" s="1" t="n">
        <v>1</v>
      </c>
      <c r="F1566" s="3" t="s">
        <v>20</v>
      </c>
      <c r="G1566" s="3" t="s">
        <v>6462</v>
      </c>
      <c r="H1566" s="1" t="s">
        <v>22</v>
      </c>
      <c r="I1566" s="1" t="n">
        <v>20240430082739</v>
      </c>
      <c r="J1566" s="3" t="s">
        <v>6463</v>
      </c>
      <c r="K1566" s="3" t="s">
        <v>6464</v>
      </c>
      <c r="L1566" s="3" t="s">
        <v>6465</v>
      </c>
      <c r="M1566" s="3" t="n">
        <v>229832</v>
      </c>
      <c r="N1566" s="3" t="s">
        <v>158</v>
      </c>
      <c r="O1566" s="1" t="n">
        <v>213446</v>
      </c>
      <c r="P1566" s="1" t="n">
        <v>92.87</v>
      </c>
      <c r="Q1566" s="1" t="s">
        <v>20</v>
      </c>
      <c r="R1566" s="1" t="s">
        <v>27</v>
      </c>
      <c r="S1566" s="1" t="s">
        <v>28</v>
      </c>
      <c r="T1566" s="1" t="s">
        <v>29</v>
      </c>
    </row>
    <row r="1567" customFormat="false" ht="18.7" hidden="false" customHeight="true" outlineLevel="0" collapsed="false">
      <c r="A1567" s="1" t="n">
        <v>1566</v>
      </c>
      <c r="B1567" s="6" t="str">
        <f aca="false">HYPERLINK("https://mncourtfraud.com/file/MCRO_27-CR-21-17008_Returned Mail_2024-03-13_20240430082729.pdf","MCRO_27-CR-21-17008_Returned Mail_2024-03-13_20240430082729.pdf")</f>
        <v>MCRO_27-CR-21-17008_Returned Mail_2024-03-13_20240430082729.pdf</v>
      </c>
      <c r="C1567" s="1" t="n">
        <v>4</v>
      </c>
      <c r="D1567" s="1" t="n">
        <v>1</v>
      </c>
      <c r="E1567" s="1" t="n">
        <v>1</v>
      </c>
      <c r="F1567" s="3" t="s">
        <v>20</v>
      </c>
      <c r="G1567" s="3" t="s">
        <v>6466</v>
      </c>
      <c r="H1567" s="1" t="s">
        <v>22</v>
      </c>
      <c r="I1567" s="1" t="n">
        <v>20240430082729</v>
      </c>
      <c r="J1567" s="3" t="s">
        <v>6467</v>
      </c>
      <c r="K1567" s="3" t="s">
        <v>6468</v>
      </c>
      <c r="L1567" s="3" t="s">
        <v>6469</v>
      </c>
      <c r="M1567" s="3" t="n">
        <v>260218</v>
      </c>
      <c r="N1567" s="3" t="s">
        <v>158</v>
      </c>
      <c r="O1567" s="1" t="n">
        <v>243832</v>
      </c>
      <c r="P1567" s="1" t="n">
        <v>93.7</v>
      </c>
      <c r="Q1567" s="1" t="s">
        <v>20</v>
      </c>
      <c r="R1567" s="1" t="s">
        <v>27</v>
      </c>
      <c r="S1567" s="1" t="s">
        <v>28</v>
      </c>
      <c r="T1567" s="1" t="s">
        <v>29</v>
      </c>
    </row>
    <row r="1568" customFormat="false" ht="18.7" hidden="false" customHeight="true" outlineLevel="0" collapsed="false">
      <c r="A1568" s="1" t="n">
        <v>1567</v>
      </c>
      <c r="B1568" s="6" t="str">
        <f aca="false">HYPERLINK("https://mncourtfraud.com/file/MCRO_27-CR-21-17008_Witness List_2022-10-10_20240430082744.pdf","MCRO_27-CR-21-17008_Witness List_2022-10-10_20240430082744.pdf")</f>
        <v>MCRO_27-CR-21-17008_Witness List_2022-10-10_20240430082744.pdf</v>
      </c>
      <c r="C1568" s="1" t="n">
        <v>3</v>
      </c>
      <c r="D1568" s="1" t="n">
        <v>1</v>
      </c>
      <c r="E1568" s="1" t="n">
        <v>1</v>
      </c>
      <c r="F1568" s="3" t="s">
        <v>20</v>
      </c>
      <c r="G1568" s="3" t="s">
        <v>6470</v>
      </c>
      <c r="H1568" s="1" t="s">
        <v>22</v>
      </c>
      <c r="I1568" s="1" t="n">
        <v>20240430082744</v>
      </c>
      <c r="J1568" s="3" t="s">
        <v>6471</v>
      </c>
      <c r="K1568" s="3" t="s">
        <v>6472</v>
      </c>
      <c r="L1568" s="3" t="s">
        <v>6473</v>
      </c>
      <c r="M1568" s="3" t="n">
        <v>158669</v>
      </c>
      <c r="N1568" s="3" t="s">
        <v>26</v>
      </c>
      <c r="O1568" s="1" t="n">
        <v>142283</v>
      </c>
      <c r="P1568" s="1" t="n">
        <v>89.67</v>
      </c>
      <c r="Q1568" s="1" t="s">
        <v>20</v>
      </c>
      <c r="R1568" s="1" t="s">
        <v>27</v>
      </c>
      <c r="S1568" s="1" t="s">
        <v>28</v>
      </c>
      <c r="T1568" s="1" t="s">
        <v>29</v>
      </c>
    </row>
    <row r="1569" customFormat="false" ht="18.7" hidden="false" customHeight="true" outlineLevel="0" collapsed="false">
      <c r="A1569" s="1" t="n">
        <v>1568</v>
      </c>
      <c r="B1569" s="6" t="str">
        <f aca="false">HYPERLINK("https://mncourtfraud.com/file/MCRO_27-CR-21-17008_Witness List_2023-01-20_20240430082738.pdf","MCRO_27-CR-21-17008_Witness List_2023-01-20_20240430082738.pdf")</f>
        <v>MCRO_27-CR-21-17008_Witness List_2023-01-20_20240430082738.pdf</v>
      </c>
      <c r="C1569" s="1" t="n">
        <v>3</v>
      </c>
      <c r="D1569" s="1" t="n">
        <v>1</v>
      </c>
      <c r="E1569" s="1" t="n">
        <v>1</v>
      </c>
      <c r="F1569" s="3" t="s">
        <v>20</v>
      </c>
      <c r="G1569" s="3" t="s">
        <v>6474</v>
      </c>
      <c r="H1569" s="1" t="s">
        <v>22</v>
      </c>
      <c r="I1569" s="1" t="n">
        <v>20240430082738</v>
      </c>
      <c r="J1569" s="3" t="s">
        <v>6475</v>
      </c>
      <c r="K1569" s="3" t="s">
        <v>6476</v>
      </c>
      <c r="L1569" s="3" t="s">
        <v>6477</v>
      </c>
      <c r="M1569" s="3" t="n">
        <v>144509</v>
      </c>
      <c r="N1569" s="3" t="s">
        <v>64</v>
      </c>
      <c r="O1569" s="1" t="n">
        <v>128123</v>
      </c>
      <c r="P1569" s="1" t="n">
        <v>88.66</v>
      </c>
      <c r="Q1569" s="1" t="s">
        <v>20</v>
      </c>
      <c r="R1569" s="1" t="s">
        <v>27</v>
      </c>
      <c r="S1569" s="1" t="s">
        <v>28</v>
      </c>
      <c r="T1569" s="1" t="s">
        <v>29</v>
      </c>
    </row>
    <row r="1570" customFormat="false" ht="18.7" hidden="false" customHeight="true" outlineLevel="0" collapsed="false">
      <c r="A1570" s="1" t="n">
        <v>1569</v>
      </c>
      <c r="B1570" s="6" t="str">
        <f aca="false">HYPERLINK("https://mncourtfraud.com/file/MCRO_27-CR-21-19552_Correspondence for Judicial Approval_2022-11-07_20240430082841.pdf","MCRO_27-CR-21-19552_Correspondence for Judicial Approval_2022-11-07_20240430082841.pdf")</f>
        <v>MCRO_27-CR-21-19552_Correspondence for Judicial Approval_2022-11-07_20240430082841.pdf</v>
      </c>
      <c r="C1570" s="1" t="n">
        <v>3</v>
      </c>
      <c r="D1570" s="1" t="n">
        <v>1</v>
      </c>
      <c r="E1570" s="1" t="n">
        <v>1</v>
      </c>
      <c r="F1570" s="3" t="s">
        <v>20</v>
      </c>
      <c r="G1570" s="3" t="s">
        <v>6478</v>
      </c>
      <c r="H1570" s="1" t="s">
        <v>22</v>
      </c>
      <c r="I1570" s="1" t="n">
        <v>20240430082841</v>
      </c>
      <c r="J1570" s="3" t="s">
        <v>6479</v>
      </c>
      <c r="K1570" s="3" t="s">
        <v>6480</v>
      </c>
      <c r="L1570" s="3" t="s">
        <v>6481</v>
      </c>
      <c r="M1570" s="3" t="n">
        <v>211261</v>
      </c>
      <c r="N1570" s="3" t="s">
        <v>629</v>
      </c>
      <c r="O1570" s="1" t="n">
        <v>194875</v>
      </c>
      <c r="P1570" s="1" t="n">
        <v>92.24</v>
      </c>
      <c r="Q1570" s="1" t="s">
        <v>20</v>
      </c>
      <c r="R1570" s="1" t="s">
        <v>27</v>
      </c>
      <c r="S1570" s="1" t="s">
        <v>28</v>
      </c>
      <c r="T1570" s="1" t="s">
        <v>29</v>
      </c>
    </row>
    <row r="1571" customFormat="false" ht="18.7" hidden="false" customHeight="true" outlineLevel="0" collapsed="false">
      <c r="A1571" s="1" t="n">
        <v>1570</v>
      </c>
      <c r="B1571" s="6" t="str">
        <f aca="false">HYPERLINK("https://mncourtfraud.com/file/MCRO_27-CR-21-19552_Demand or Request for Discovery_2021-12-27_20240430082849.pdf","MCRO_27-CR-21-19552_Demand or Request for Discovery_2021-12-27_20240430082849.pdf")</f>
        <v>MCRO_27-CR-21-19552_Demand or Request for Discovery_2021-12-27_20240430082849.pdf</v>
      </c>
      <c r="C1571" s="1" t="n">
        <v>3</v>
      </c>
      <c r="D1571" s="1" t="n">
        <v>1</v>
      </c>
      <c r="E1571" s="1" t="n">
        <v>1</v>
      </c>
      <c r="F1571" s="3" t="s">
        <v>20</v>
      </c>
      <c r="G1571" s="3" t="s">
        <v>6482</v>
      </c>
      <c r="H1571" s="1" t="s">
        <v>22</v>
      </c>
      <c r="I1571" s="1" t="n">
        <v>20240430082849</v>
      </c>
      <c r="J1571" s="3" t="s">
        <v>6483</v>
      </c>
      <c r="K1571" s="3" t="s">
        <v>6484</v>
      </c>
      <c r="L1571" s="3" t="s">
        <v>6485</v>
      </c>
      <c r="M1571" s="3" t="n">
        <v>618568</v>
      </c>
      <c r="N1571" s="3" t="s">
        <v>3699</v>
      </c>
      <c r="O1571" s="1" t="n">
        <v>602182</v>
      </c>
      <c r="P1571" s="1" t="n">
        <v>97.35</v>
      </c>
      <c r="Q1571" s="1" t="s">
        <v>20</v>
      </c>
      <c r="R1571" s="1" t="s">
        <v>27</v>
      </c>
      <c r="S1571" s="1" t="s">
        <v>28</v>
      </c>
      <c r="T1571" s="1" t="s">
        <v>29</v>
      </c>
    </row>
    <row r="1572" customFormat="false" ht="18.7" hidden="false" customHeight="true" outlineLevel="0" collapsed="false">
      <c r="A1572" s="1" t="n">
        <v>1571</v>
      </c>
      <c r="B1572" s="6" t="str">
        <f aca="false">HYPERLINK("https://mncourtfraud.com/file/MCRO_27-CR-21-19552_E-filed Comp-Summons_2021-10-20_20240430082853.pdf","MCRO_27-CR-21-19552_E-filed Comp-Summons_2021-10-20_20240430082853.pdf")</f>
        <v>MCRO_27-CR-21-19552_E-filed Comp-Summons_2021-10-20_20240430082853.pdf</v>
      </c>
      <c r="C1572" s="1" t="n">
        <v>4</v>
      </c>
      <c r="D1572" s="1" t="n">
        <v>2</v>
      </c>
      <c r="E1572" s="1" t="n">
        <v>2</v>
      </c>
      <c r="F1572" s="3" t="s">
        <v>20</v>
      </c>
      <c r="G1572" s="3" t="s">
        <v>6486</v>
      </c>
      <c r="H1572" s="1" t="s">
        <v>22</v>
      </c>
      <c r="I1572" s="1" t="n">
        <v>20240430082853</v>
      </c>
      <c r="J1572" s="3" t="s">
        <v>6487</v>
      </c>
      <c r="K1572" s="3" t="s">
        <v>6488</v>
      </c>
      <c r="L1572" s="3" t="s">
        <v>6489</v>
      </c>
      <c r="M1572" s="3" t="n">
        <v>505513</v>
      </c>
      <c r="N1572" s="3" t="s">
        <v>1619</v>
      </c>
      <c r="O1572" s="1" t="n">
        <v>489127</v>
      </c>
      <c r="P1572" s="1" t="n">
        <v>96.76</v>
      </c>
      <c r="Q1572" s="1" t="s">
        <v>20</v>
      </c>
      <c r="R1572" s="1" t="s">
        <v>27</v>
      </c>
      <c r="S1572" s="1" t="s">
        <v>28</v>
      </c>
      <c r="T1572" s="1" t="s">
        <v>29</v>
      </c>
    </row>
    <row r="1573" customFormat="false" ht="18.7" hidden="false" customHeight="true" outlineLevel="0" collapsed="false">
      <c r="A1573" s="1" t="n">
        <v>1572</v>
      </c>
      <c r="B1573" s="6" t="str">
        <f aca="false">HYPERLINK("https://mncourtfraud.com/file/MCRO_27-CR-21-19552_Finding of Incompetency and Order_2024-03-12_20240430082832.pdf","MCRO_27-CR-21-19552_Finding of Incompetency and Order_2024-03-12_20240430082832.pdf")</f>
        <v>MCRO_27-CR-21-19552_Finding of Incompetency and Order_2024-03-12_20240430082832.pdf</v>
      </c>
      <c r="C1573" s="1" t="n">
        <v>5</v>
      </c>
      <c r="D1573" s="1" t="n">
        <v>1</v>
      </c>
      <c r="E1573" s="1" t="n">
        <v>1</v>
      </c>
      <c r="F1573" s="3" t="s">
        <v>20</v>
      </c>
      <c r="G1573" s="3" t="s">
        <v>6490</v>
      </c>
      <c r="H1573" s="1" t="s">
        <v>22</v>
      </c>
      <c r="I1573" s="1" t="n">
        <v>20240430082832</v>
      </c>
      <c r="J1573" s="3" t="s">
        <v>6491</v>
      </c>
      <c r="K1573" s="3" t="s">
        <v>6492</v>
      </c>
      <c r="L1573" s="3" t="s">
        <v>6493</v>
      </c>
      <c r="M1573" s="3" t="n">
        <v>832563</v>
      </c>
      <c r="N1573" s="3" t="s">
        <v>1489</v>
      </c>
      <c r="O1573" s="1" t="n">
        <v>816177</v>
      </c>
      <c r="P1573" s="1" t="n">
        <v>98.03</v>
      </c>
      <c r="Q1573" s="1" t="s">
        <v>20</v>
      </c>
      <c r="R1573" s="1" t="s">
        <v>27</v>
      </c>
      <c r="S1573" s="1" t="s">
        <v>28</v>
      </c>
      <c r="T1573" s="1" t="s">
        <v>29</v>
      </c>
    </row>
    <row r="1574" customFormat="false" ht="18.7" hidden="false" customHeight="true" outlineLevel="0" collapsed="false">
      <c r="A1574" s="1" t="n">
        <v>1573</v>
      </c>
      <c r="B1574" s="6" t="str">
        <f aca="false">HYPERLINK("https://mncourtfraud.com/file/MCRO_27-CR-21-19552_Findings and Order_2022-03-08_20240430082847.pdf","MCRO_27-CR-21-19552_Findings and Order_2022-03-08_20240430082847.pdf")</f>
        <v>MCRO_27-CR-21-19552_Findings and Order_2022-03-08_20240430082847.pdf</v>
      </c>
      <c r="C1574" s="1" t="n">
        <v>5</v>
      </c>
      <c r="D1574" s="1" t="n">
        <v>1</v>
      </c>
      <c r="E1574" s="1" t="n">
        <v>1</v>
      </c>
      <c r="F1574" s="3" t="s">
        <v>20</v>
      </c>
      <c r="G1574" s="3" t="s">
        <v>6494</v>
      </c>
      <c r="H1574" s="1" t="s">
        <v>22</v>
      </c>
      <c r="I1574" s="1" t="n">
        <v>20240430082847</v>
      </c>
      <c r="J1574" s="3" t="s">
        <v>6495</v>
      </c>
      <c r="K1574" s="3" t="s">
        <v>6496</v>
      </c>
      <c r="L1574" s="3" t="s">
        <v>6497</v>
      </c>
      <c r="M1574" s="3" t="n">
        <v>340925</v>
      </c>
      <c r="N1574" s="3" t="s">
        <v>1494</v>
      </c>
      <c r="O1574" s="1" t="n">
        <v>324539</v>
      </c>
      <c r="P1574" s="1" t="n">
        <v>95.19</v>
      </c>
      <c r="Q1574" s="1" t="s">
        <v>20</v>
      </c>
      <c r="R1574" s="1" t="s">
        <v>27</v>
      </c>
      <c r="S1574" s="1" t="s">
        <v>28</v>
      </c>
      <c r="T1574" s="1" t="s">
        <v>29</v>
      </c>
    </row>
    <row r="1575" customFormat="false" ht="18.7" hidden="false" customHeight="true" outlineLevel="0" collapsed="false">
      <c r="A1575" s="1" t="n">
        <v>1574</v>
      </c>
      <c r="B1575" s="6" t="str">
        <f aca="false">HYPERLINK("https://mncourtfraud.com/file/MCRO_27-CR-21-19552_Notice of Appearance_2022-03-08_20240430082846.pdf","MCRO_27-CR-21-19552_Notice of Appearance_2022-03-08_20240430082846.pdf")</f>
        <v>MCRO_27-CR-21-19552_Notice of Appearance_2022-03-08_20240430082846.pdf</v>
      </c>
      <c r="C1575" s="1" t="n">
        <v>4</v>
      </c>
      <c r="D1575" s="1" t="n">
        <v>1</v>
      </c>
      <c r="E1575" s="1" t="n">
        <v>1</v>
      </c>
      <c r="F1575" s="3" t="s">
        <v>20</v>
      </c>
      <c r="G1575" s="3" t="s">
        <v>6498</v>
      </c>
      <c r="H1575" s="1" t="s">
        <v>22</v>
      </c>
      <c r="I1575" s="1" t="n">
        <v>20240430082846</v>
      </c>
      <c r="J1575" s="3" t="s">
        <v>6499</v>
      </c>
      <c r="K1575" s="3" t="s">
        <v>6500</v>
      </c>
      <c r="L1575" s="3" t="s">
        <v>2057</v>
      </c>
      <c r="M1575" s="3" t="n">
        <v>816220</v>
      </c>
      <c r="N1575" s="3" t="s">
        <v>486</v>
      </c>
      <c r="O1575" s="1" t="n">
        <v>799834</v>
      </c>
      <c r="P1575" s="1" t="n">
        <v>97.99</v>
      </c>
      <c r="Q1575" s="1" t="s">
        <v>20</v>
      </c>
      <c r="R1575" s="1" t="s">
        <v>27</v>
      </c>
      <c r="S1575" s="1" t="s">
        <v>28</v>
      </c>
      <c r="T1575" s="1" t="s">
        <v>29</v>
      </c>
    </row>
    <row r="1576" customFormat="false" ht="18.7" hidden="false" customHeight="true" outlineLevel="0" collapsed="false">
      <c r="A1576" s="1" t="n">
        <v>1575</v>
      </c>
      <c r="B1576" s="6" t="str">
        <f aca="false">HYPERLINK("https://mncourtfraud.com/file/MCRO_27-CR-21-19552_Notice of Case Reassignment_2022-04-01_20240430082843.pdf","MCRO_27-CR-21-19552_Notice of Case Reassignment_2022-04-01_20240430082843.pdf")</f>
        <v>MCRO_27-CR-21-19552_Notice of Case Reassignment_2022-04-01_20240430082843.pdf</v>
      </c>
      <c r="C1576" s="1" t="n">
        <v>4</v>
      </c>
      <c r="D1576" s="1" t="n">
        <v>1</v>
      </c>
      <c r="E1576" s="1" t="n">
        <v>1</v>
      </c>
      <c r="F1576" s="3" t="s">
        <v>20</v>
      </c>
      <c r="G1576" s="3" t="s">
        <v>6501</v>
      </c>
      <c r="H1576" s="1" t="s">
        <v>22</v>
      </c>
      <c r="I1576" s="1" t="n">
        <v>20240430082843</v>
      </c>
      <c r="J1576" s="3" t="s">
        <v>6502</v>
      </c>
      <c r="K1576" s="3" t="s">
        <v>6503</v>
      </c>
      <c r="L1576" s="3" t="s">
        <v>6504</v>
      </c>
      <c r="M1576" s="3" t="n">
        <v>97761</v>
      </c>
      <c r="N1576" s="3" t="s">
        <v>456</v>
      </c>
      <c r="O1576" s="1" t="n">
        <v>81375</v>
      </c>
      <c r="P1576" s="1" t="n">
        <v>83.24</v>
      </c>
      <c r="Q1576" s="1" t="s">
        <v>20</v>
      </c>
      <c r="R1576" s="1" t="s">
        <v>27</v>
      </c>
      <c r="S1576" s="1" t="s">
        <v>28</v>
      </c>
      <c r="T1576" s="1" t="s">
        <v>29</v>
      </c>
    </row>
    <row r="1577" customFormat="false" ht="18.7" hidden="false" customHeight="true" outlineLevel="0" collapsed="false">
      <c r="A1577" s="1" t="n">
        <v>1576</v>
      </c>
      <c r="B1577" s="6" t="str">
        <f aca="false">HYPERLINK("https://mncourtfraud.com/file/MCRO_27-CR-21-19552_Notice of Case Reassignment_2023-01-13_20240430082837.pdf","MCRO_27-CR-21-19552_Notice of Case Reassignment_2023-01-13_20240430082837.pdf")</f>
        <v>MCRO_27-CR-21-19552_Notice of Case Reassignment_2023-01-13_20240430082837.pdf</v>
      </c>
      <c r="C1577" s="1" t="n">
        <v>4</v>
      </c>
      <c r="D1577" s="1" t="n">
        <v>1</v>
      </c>
      <c r="E1577" s="1" t="n">
        <v>1</v>
      </c>
      <c r="F1577" s="3" t="s">
        <v>20</v>
      </c>
      <c r="G1577" s="3" t="s">
        <v>6505</v>
      </c>
      <c r="H1577" s="1" t="s">
        <v>22</v>
      </c>
      <c r="I1577" s="1" t="n">
        <v>20240430082837</v>
      </c>
      <c r="J1577" s="3" t="s">
        <v>6506</v>
      </c>
      <c r="K1577" s="3" t="s">
        <v>6507</v>
      </c>
      <c r="L1577" s="3" t="s">
        <v>6508</v>
      </c>
      <c r="M1577" s="3" t="n">
        <v>310176</v>
      </c>
      <c r="N1577" s="3" t="s">
        <v>158</v>
      </c>
      <c r="O1577" s="1" t="n">
        <v>293790</v>
      </c>
      <c r="P1577" s="1" t="n">
        <v>94.72</v>
      </c>
      <c r="Q1577" s="1" t="s">
        <v>20</v>
      </c>
      <c r="R1577" s="1" t="s">
        <v>27</v>
      </c>
      <c r="S1577" s="1" t="s">
        <v>28</v>
      </c>
      <c r="T1577" s="1" t="s">
        <v>29</v>
      </c>
    </row>
    <row r="1578" customFormat="false" ht="18.7" hidden="false" customHeight="true" outlineLevel="0" collapsed="false">
      <c r="A1578" s="1" t="n">
        <v>1577</v>
      </c>
      <c r="B1578" s="6" t="str">
        <f aca="false">HYPERLINK("https://mncourtfraud.com/file/MCRO_27-CR-21-19552_Notice of Case Reassignment_2024-01-12_20240430082834.pdf","MCRO_27-CR-21-19552_Notice of Case Reassignment_2024-01-12_20240430082834.pdf")</f>
        <v>MCRO_27-CR-21-19552_Notice of Case Reassignment_2024-01-12_20240430082834.pdf</v>
      </c>
      <c r="C1578" s="1" t="n">
        <v>4</v>
      </c>
      <c r="D1578" s="1" t="n">
        <v>1</v>
      </c>
      <c r="E1578" s="1" t="n">
        <v>1</v>
      </c>
      <c r="F1578" s="3" t="s">
        <v>20</v>
      </c>
      <c r="G1578" s="3" t="s">
        <v>6509</v>
      </c>
      <c r="H1578" s="1" t="s">
        <v>22</v>
      </c>
      <c r="I1578" s="1" t="n">
        <v>20240430082834</v>
      </c>
      <c r="J1578" s="3" t="s">
        <v>6510</v>
      </c>
      <c r="K1578" s="3" t="s">
        <v>6511</v>
      </c>
      <c r="L1578" s="3" t="s">
        <v>6512</v>
      </c>
      <c r="M1578" s="3" t="n">
        <v>294041</v>
      </c>
      <c r="N1578" s="3" t="s">
        <v>158</v>
      </c>
      <c r="O1578" s="1" t="n">
        <v>277655</v>
      </c>
      <c r="P1578" s="1" t="n">
        <v>94.43</v>
      </c>
      <c r="Q1578" s="1" t="s">
        <v>20</v>
      </c>
      <c r="R1578" s="1" t="s">
        <v>27</v>
      </c>
      <c r="S1578" s="1" t="s">
        <v>28</v>
      </c>
      <c r="T1578" s="1" t="s">
        <v>29</v>
      </c>
    </row>
    <row r="1579" customFormat="false" ht="18.7" hidden="false" customHeight="true" outlineLevel="0" collapsed="false">
      <c r="A1579" s="1" t="n">
        <v>1578</v>
      </c>
      <c r="B1579" s="6" t="str">
        <f aca="false">HYPERLINK("https://mncourtfraud.com/file/MCRO_27-CR-21-19552_Notice of Hearing_2024-03-12_20240430082829.pdf","MCRO_27-CR-21-19552_Notice of Hearing_2024-03-12_20240430082829.pdf")</f>
        <v>MCRO_27-CR-21-19552_Notice of Hearing_2024-03-12_20240430082829.pdf</v>
      </c>
      <c r="C1579" s="1" t="n">
        <v>4</v>
      </c>
      <c r="D1579" s="1" t="n">
        <v>1</v>
      </c>
      <c r="E1579" s="1" t="n">
        <v>1</v>
      </c>
      <c r="F1579" s="3" t="s">
        <v>20</v>
      </c>
      <c r="G1579" s="3" t="s">
        <v>6513</v>
      </c>
      <c r="H1579" s="1" t="s">
        <v>22</v>
      </c>
      <c r="I1579" s="1" t="n">
        <v>20240430082829</v>
      </c>
      <c r="J1579" s="3" t="s">
        <v>6514</v>
      </c>
      <c r="K1579" s="3" t="s">
        <v>6515</v>
      </c>
      <c r="L1579" s="3" t="s">
        <v>2092</v>
      </c>
      <c r="M1579" s="3" t="n">
        <v>255845</v>
      </c>
      <c r="N1579" s="3" t="s">
        <v>74</v>
      </c>
      <c r="O1579" s="1" t="n">
        <v>239459</v>
      </c>
      <c r="P1579" s="1" t="n">
        <v>93.6</v>
      </c>
      <c r="Q1579" s="1" t="s">
        <v>20</v>
      </c>
      <c r="R1579" s="1" t="s">
        <v>27</v>
      </c>
      <c r="S1579" s="1" t="s">
        <v>28</v>
      </c>
      <c r="T1579" s="1" t="s">
        <v>29</v>
      </c>
    </row>
    <row r="1580" customFormat="false" ht="18.7" hidden="false" customHeight="true" outlineLevel="0" collapsed="false">
      <c r="A1580" s="1" t="n">
        <v>1579</v>
      </c>
      <c r="B1580" s="6" t="str">
        <f aca="false">HYPERLINK("https://mncourtfraud.com/file/MCRO_27-CR-21-19552_Notice of Remote Hearing with Instructions_2021-10-20_20240430082852.pdf","MCRO_27-CR-21-19552_Notice of Remote Hearing with Instructions_2021-10-20_20240430082852.pdf")</f>
        <v>MCRO_27-CR-21-19552_Notice of Remote Hearing with Instructions_2021-10-20_20240430082852.pdf</v>
      </c>
      <c r="C1580" s="1" t="n">
        <v>5</v>
      </c>
      <c r="D1580" s="1" t="n">
        <v>1</v>
      </c>
      <c r="E1580" s="1" t="n">
        <v>1</v>
      </c>
      <c r="F1580" s="3" t="s">
        <v>20</v>
      </c>
      <c r="G1580" s="3" t="s">
        <v>6516</v>
      </c>
      <c r="H1580" s="1" t="s">
        <v>22</v>
      </c>
      <c r="I1580" s="1" t="n">
        <v>20240430082852</v>
      </c>
      <c r="J1580" s="3" t="s">
        <v>6517</v>
      </c>
      <c r="K1580" s="3" t="s">
        <v>6518</v>
      </c>
      <c r="L1580" s="3" t="s">
        <v>6519</v>
      </c>
      <c r="M1580" s="3" t="n">
        <v>862350</v>
      </c>
      <c r="N1580" s="3" t="s">
        <v>2852</v>
      </c>
      <c r="O1580" s="1" t="n">
        <v>845964</v>
      </c>
      <c r="P1580" s="1" t="n">
        <v>98.1</v>
      </c>
      <c r="Q1580" s="1" t="s">
        <v>20</v>
      </c>
      <c r="R1580" s="1" t="s">
        <v>27</v>
      </c>
      <c r="S1580" s="1" t="s">
        <v>28</v>
      </c>
      <c r="T1580" s="1" t="s">
        <v>29</v>
      </c>
    </row>
    <row r="1581" customFormat="false" ht="18.7" hidden="false" customHeight="true" outlineLevel="0" collapsed="false">
      <c r="A1581" s="1" t="n">
        <v>1580</v>
      </c>
      <c r="B1581" s="6" t="str">
        <f aca="false">HYPERLINK("https://mncourtfraud.com/file/MCRO_27-CR-21-19552_Notice of Remote Hearing with Instructions_2023-08-29_20240430082836.pdf","MCRO_27-CR-21-19552_Notice of Remote Hearing with Instructions_2023-08-29_20240430082836.pdf")</f>
        <v>MCRO_27-CR-21-19552_Notice of Remote Hearing with Instructions_2023-08-29_20240430082836.pdf</v>
      </c>
      <c r="C1581" s="1" t="n">
        <v>5</v>
      </c>
      <c r="D1581" s="1" t="n">
        <v>1</v>
      </c>
      <c r="E1581" s="1" t="n">
        <v>1</v>
      </c>
      <c r="F1581" s="3" t="s">
        <v>20</v>
      </c>
      <c r="G1581" s="3" t="s">
        <v>6520</v>
      </c>
      <c r="H1581" s="1" t="s">
        <v>22</v>
      </c>
      <c r="I1581" s="1" t="n">
        <v>20240430082836</v>
      </c>
      <c r="J1581" s="3" t="s">
        <v>6521</v>
      </c>
      <c r="K1581" s="3" t="s">
        <v>6522</v>
      </c>
      <c r="L1581" s="3" t="s">
        <v>6523</v>
      </c>
      <c r="M1581" s="3" t="n">
        <v>844620</v>
      </c>
      <c r="N1581" s="3" t="s">
        <v>1579</v>
      </c>
      <c r="O1581" s="1" t="n">
        <v>828234</v>
      </c>
      <c r="P1581" s="1" t="n">
        <v>98.06</v>
      </c>
      <c r="Q1581" s="1" t="s">
        <v>20</v>
      </c>
      <c r="R1581" s="1" t="s">
        <v>27</v>
      </c>
      <c r="S1581" s="1" t="s">
        <v>28</v>
      </c>
      <c r="T1581" s="1" t="s">
        <v>29</v>
      </c>
    </row>
    <row r="1582" customFormat="false" ht="18.7" hidden="false" customHeight="true" outlineLevel="0" collapsed="false">
      <c r="A1582" s="1" t="n">
        <v>1581</v>
      </c>
      <c r="B1582" s="6" t="str">
        <f aca="false">HYPERLINK("https://mncourtfraud.com/file/MCRO_27-CR-21-19552_Notice of Remote Hearing with Instructions_2024-03-05_20240430082833.pdf","MCRO_27-CR-21-19552_Notice of Remote Hearing with Instructions_2024-03-05_20240430082833.pdf")</f>
        <v>MCRO_27-CR-21-19552_Notice of Remote Hearing with Instructions_2024-03-05_20240430082833.pdf</v>
      </c>
      <c r="C1582" s="1" t="n">
        <v>4</v>
      </c>
      <c r="D1582" s="1" t="n">
        <v>1</v>
      </c>
      <c r="E1582" s="1" t="n">
        <v>1</v>
      </c>
      <c r="F1582" s="3" t="s">
        <v>20</v>
      </c>
      <c r="G1582" s="3" t="s">
        <v>6524</v>
      </c>
      <c r="H1582" s="1" t="s">
        <v>22</v>
      </c>
      <c r="I1582" s="1" t="n">
        <v>20240430082833</v>
      </c>
      <c r="J1582" s="3" t="s">
        <v>6525</v>
      </c>
      <c r="K1582" s="3" t="s">
        <v>6526</v>
      </c>
      <c r="L1582" s="3" t="s">
        <v>3747</v>
      </c>
      <c r="M1582" s="3" t="n">
        <v>255666</v>
      </c>
      <c r="N1582" s="3" t="s">
        <v>74</v>
      </c>
      <c r="O1582" s="1" t="n">
        <v>239280</v>
      </c>
      <c r="P1582" s="1" t="n">
        <v>93.59</v>
      </c>
      <c r="Q1582" s="1" t="s">
        <v>20</v>
      </c>
      <c r="R1582" s="1" t="s">
        <v>27</v>
      </c>
      <c r="S1582" s="1" t="s">
        <v>28</v>
      </c>
      <c r="T1582" s="1" t="s">
        <v>29</v>
      </c>
    </row>
    <row r="1583" customFormat="false" ht="18.7" hidden="false" customHeight="true" outlineLevel="0" collapsed="false">
      <c r="A1583" s="1" t="n">
        <v>1582</v>
      </c>
      <c r="B1583" s="6" t="str">
        <f aca="false">HYPERLINK("https://mncourtfraud.com/file/MCRO_27-CR-21-19552_Notice of Remote Hearing with Instructions_2024-03-12_20240430082830.pdf","MCRO_27-CR-21-19552_Notice of Remote Hearing with Instructions_2024-03-12_20240430082830.pdf")</f>
        <v>MCRO_27-CR-21-19552_Notice of Remote Hearing with Instructions_2024-03-12_20240430082830.pdf</v>
      </c>
      <c r="C1583" s="1" t="n">
        <v>4</v>
      </c>
      <c r="D1583" s="1" t="n">
        <v>1</v>
      </c>
      <c r="E1583" s="1" t="n">
        <v>1</v>
      </c>
      <c r="F1583" s="3" t="s">
        <v>20</v>
      </c>
      <c r="G1583" s="3" t="s">
        <v>6527</v>
      </c>
      <c r="H1583" s="1" t="s">
        <v>22</v>
      </c>
      <c r="I1583" s="1" t="n">
        <v>20240430082830</v>
      </c>
      <c r="J1583" s="3" t="s">
        <v>6528</v>
      </c>
      <c r="K1583" s="3" t="s">
        <v>6529</v>
      </c>
      <c r="L1583" s="3" t="s">
        <v>6530</v>
      </c>
      <c r="M1583" s="3" t="n">
        <v>255641</v>
      </c>
      <c r="N1583" s="3" t="s">
        <v>74</v>
      </c>
      <c r="O1583" s="1" t="n">
        <v>239255</v>
      </c>
      <c r="P1583" s="1" t="n">
        <v>93.59</v>
      </c>
      <c r="Q1583" s="1" t="s">
        <v>20</v>
      </c>
      <c r="R1583" s="1" t="s">
        <v>27</v>
      </c>
      <c r="S1583" s="1" t="s">
        <v>28</v>
      </c>
      <c r="T1583" s="1" t="s">
        <v>29</v>
      </c>
    </row>
    <row r="1584" customFormat="false" ht="18.7" hidden="false" customHeight="true" outlineLevel="0" collapsed="false">
      <c r="A1584" s="1" t="n">
        <v>1583</v>
      </c>
      <c r="B1584" s="6" t="str">
        <f aca="false">HYPERLINK("https://mncourtfraud.com/file/MCRO_27-CR-21-19552_Order-Evaluation for Competency to Proceed (Rule 20.01)_2022-06-14_20240430082842.pdf","MCRO_27-CR-21-19552_Order-Evaluation for Competency to Proceed (Rule 20.01)_2022-06-14_20240430082842.pdf")</f>
        <v>MCRO_27-CR-21-19552_Order-Evaluation for Competency to Proceed (Rule 20.01)_2022-06-14_20240430082842.pdf</v>
      </c>
      <c r="C1584" s="1" t="n">
        <v>6</v>
      </c>
      <c r="D1584" s="1" t="n">
        <v>1</v>
      </c>
      <c r="E1584" s="1" t="n">
        <v>1</v>
      </c>
      <c r="F1584" s="3" t="s">
        <v>20</v>
      </c>
      <c r="G1584" s="3" t="s">
        <v>6531</v>
      </c>
      <c r="H1584" s="1" t="s">
        <v>22</v>
      </c>
      <c r="I1584" s="1" t="n">
        <v>20240430082842</v>
      </c>
      <c r="J1584" s="3" t="s">
        <v>6532</v>
      </c>
      <c r="K1584" s="3" t="s">
        <v>6533</v>
      </c>
      <c r="L1584" s="3" t="s">
        <v>1613</v>
      </c>
      <c r="M1584" s="3" t="n">
        <v>829223</v>
      </c>
      <c r="N1584" s="3" t="s">
        <v>1614</v>
      </c>
      <c r="O1584" s="1" t="n">
        <v>812837</v>
      </c>
      <c r="P1584" s="1" t="n">
        <v>98.02</v>
      </c>
      <c r="Q1584" s="1" t="s">
        <v>20</v>
      </c>
      <c r="R1584" s="1" t="s">
        <v>27</v>
      </c>
      <c r="S1584" s="1" t="s">
        <v>28</v>
      </c>
      <c r="T1584" s="1" t="s">
        <v>29</v>
      </c>
    </row>
    <row r="1585" customFormat="false" ht="18.7" hidden="false" customHeight="true" outlineLevel="0" collapsed="false">
      <c r="A1585" s="1" t="n">
        <v>1584</v>
      </c>
      <c r="B1585" s="6" t="str">
        <f aca="false">HYPERLINK("https://mncourtfraud.com/file/MCRO_27-CR-21-19552_Order-Evaluation for Competency to Proceed (Rule 20.01)_2022-12-27_20240430082839.pdf","MCRO_27-CR-21-19552_Order-Evaluation for Competency to Proceed (Rule 20.01)_2022-12-27_20240430082839.pdf")</f>
        <v>MCRO_27-CR-21-19552_Order-Evaluation for Competency to Proceed (Rule 20.01)_2022-12-27_20240430082839.pdf</v>
      </c>
      <c r="C1585" s="1" t="n">
        <v>6</v>
      </c>
      <c r="D1585" s="1" t="n">
        <v>1</v>
      </c>
      <c r="E1585" s="1" t="n">
        <v>1</v>
      </c>
      <c r="F1585" s="3" t="s">
        <v>20</v>
      </c>
      <c r="G1585" s="3" t="s">
        <v>6534</v>
      </c>
      <c r="H1585" s="1" t="s">
        <v>22</v>
      </c>
      <c r="I1585" s="1" t="n">
        <v>20240430082839</v>
      </c>
      <c r="J1585" s="3" t="s">
        <v>6535</v>
      </c>
      <c r="K1585" s="3" t="s">
        <v>6536</v>
      </c>
      <c r="L1585" s="3" t="s">
        <v>6537</v>
      </c>
      <c r="M1585" s="3" t="n">
        <v>823502</v>
      </c>
      <c r="N1585" s="3" t="s">
        <v>1619</v>
      </c>
      <c r="O1585" s="1" t="n">
        <v>807116</v>
      </c>
      <c r="P1585" s="1" t="n">
        <v>98.01</v>
      </c>
      <c r="Q1585" s="1" t="s">
        <v>20</v>
      </c>
      <c r="R1585" s="1" t="s">
        <v>27</v>
      </c>
      <c r="S1585" s="1" t="s">
        <v>28</v>
      </c>
      <c r="T1585" s="1" t="s">
        <v>29</v>
      </c>
    </row>
    <row r="1586" customFormat="false" ht="18.7" hidden="false" customHeight="true" outlineLevel="0" collapsed="false">
      <c r="A1586" s="1" t="n">
        <v>1585</v>
      </c>
      <c r="B1586" s="6" t="str">
        <f aca="false">HYPERLINK("https://mncourtfraud.com/file/MCRO_27-CR-21-19552_Order-Evaluation for Competency to Proceed (Rule 20.01)_2023-01-11_20240430082838.pdf","MCRO_27-CR-21-19552_Order-Evaluation for Competency to Proceed (Rule 20.01)_2023-01-11_20240430082838.pdf")</f>
        <v>MCRO_27-CR-21-19552_Order-Evaluation for Competency to Proceed (Rule 20.01)_2023-01-11_20240430082838.pdf</v>
      </c>
      <c r="C1586" s="1" t="n">
        <v>6</v>
      </c>
      <c r="D1586" s="1" t="n">
        <v>2</v>
      </c>
      <c r="E1586" s="1" t="n">
        <v>2</v>
      </c>
      <c r="F1586" s="3" t="s">
        <v>27</v>
      </c>
      <c r="G1586" s="3" t="s">
        <v>6538</v>
      </c>
      <c r="H1586" s="1" t="s">
        <v>22</v>
      </c>
      <c r="I1586" s="1" t="n">
        <v>20240430082838</v>
      </c>
      <c r="J1586" s="3" t="s">
        <v>6539</v>
      </c>
      <c r="K1586" s="3" t="s">
        <v>6540</v>
      </c>
      <c r="L1586" s="3" t="s">
        <v>6541</v>
      </c>
      <c r="M1586" s="3" t="n">
        <v>913098</v>
      </c>
      <c r="N1586" s="3" t="s">
        <v>1624</v>
      </c>
      <c r="O1586" s="1" t="n">
        <v>896712</v>
      </c>
      <c r="P1586" s="1" t="n">
        <v>98.21</v>
      </c>
      <c r="Q1586" s="1" t="s">
        <v>20</v>
      </c>
      <c r="R1586" s="1" t="s">
        <v>27</v>
      </c>
      <c r="S1586" s="1" t="s">
        <v>28</v>
      </c>
      <c r="T1586" s="1" t="s">
        <v>29</v>
      </c>
    </row>
    <row r="1587" customFormat="false" ht="18.7" hidden="false" customHeight="true" outlineLevel="0" collapsed="false">
      <c r="A1587" s="1" t="n">
        <v>1586</v>
      </c>
      <c r="B1587" s="6" t="str">
        <f aca="false">HYPERLINK("https://mncourtfraud.com/file/MCRO_27-CR-21-19552_Order-Evaluation for Competency to Proceed (Rule 20.01)_2023-12-22_20240430082835.pdf","MCRO_27-CR-21-19552_Order-Evaluation for Competency to Proceed (Rule 20.01)_2023-12-22_20240430082835.pdf")</f>
        <v>MCRO_27-CR-21-19552_Order-Evaluation for Competency to Proceed (Rule 20.01)_2023-12-22_20240430082835.pdf</v>
      </c>
      <c r="C1587" s="1" t="n">
        <v>5</v>
      </c>
      <c r="D1587" s="1" t="n">
        <v>1</v>
      </c>
      <c r="E1587" s="1" t="n">
        <v>1</v>
      </c>
      <c r="F1587" s="3" t="s">
        <v>20</v>
      </c>
      <c r="G1587" s="3" t="s">
        <v>6542</v>
      </c>
      <c r="H1587" s="1" t="s">
        <v>22</v>
      </c>
      <c r="I1587" s="1" t="n">
        <v>20240430082835</v>
      </c>
      <c r="J1587" s="3" t="s">
        <v>6543</v>
      </c>
      <c r="K1587" s="3" t="s">
        <v>6544</v>
      </c>
      <c r="L1587" s="3" t="s">
        <v>6545</v>
      </c>
      <c r="M1587" s="3" t="n">
        <v>761667</v>
      </c>
      <c r="N1587" s="3" t="s">
        <v>1091</v>
      </c>
      <c r="O1587" s="1" t="n">
        <v>745281</v>
      </c>
      <c r="P1587" s="1" t="n">
        <v>97.85</v>
      </c>
      <c r="Q1587" s="1" t="s">
        <v>20</v>
      </c>
      <c r="R1587" s="1" t="s">
        <v>27</v>
      </c>
      <c r="S1587" s="1" t="s">
        <v>28</v>
      </c>
      <c r="T1587" s="1" t="s">
        <v>29</v>
      </c>
    </row>
    <row r="1588" customFormat="false" ht="18.7" hidden="false" customHeight="true" outlineLevel="0" collapsed="false">
      <c r="A1588" s="1" t="n">
        <v>1587</v>
      </c>
      <c r="B1588" s="6" t="str">
        <f aca="false">HYPERLINK("https://mncourtfraud.com/file/MCRO_27-CR-21-19552_Order for Conditional Release_2021-12-20_20240430082850.pdf","MCRO_27-CR-21-19552_Order for Conditional Release_2021-12-20_20240430082850.pdf")</f>
        <v>MCRO_27-CR-21-19552_Order for Conditional Release_2021-12-20_20240430082850.pdf</v>
      </c>
      <c r="C1588" s="1" t="n">
        <v>4</v>
      </c>
      <c r="D1588" s="1" t="n">
        <v>1</v>
      </c>
      <c r="E1588" s="1" t="n">
        <v>1</v>
      </c>
      <c r="F1588" s="3" t="s">
        <v>20</v>
      </c>
      <c r="G1588" s="3" t="s">
        <v>6546</v>
      </c>
      <c r="H1588" s="1" t="s">
        <v>22</v>
      </c>
      <c r="I1588" s="1" t="n">
        <v>20240430082850</v>
      </c>
      <c r="J1588" s="3" t="s">
        <v>6547</v>
      </c>
      <c r="K1588" s="3" t="s">
        <v>6548</v>
      </c>
      <c r="L1588" s="3" t="s">
        <v>6549</v>
      </c>
      <c r="M1588" s="3" t="n">
        <v>158217</v>
      </c>
      <c r="N1588" s="3" t="s">
        <v>1065</v>
      </c>
      <c r="O1588" s="1" t="n">
        <v>141831</v>
      </c>
      <c r="P1588" s="1" t="n">
        <v>89.64</v>
      </c>
      <c r="Q1588" s="1" t="s">
        <v>20</v>
      </c>
      <c r="R1588" s="1" t="s">
        <v>27</v>
      </c>
      <c r="S1588" s="1" t="s">
        <v>28</v>
      </c>
      <c r="T1588" s="1" t="s">
        <v>29</v>
      </c>
    </row>
    <row r="1589" customFormat="false" ht="18.7" hidden="false" customHeight="true" outlineLevel="0" collapsed="false">
      <c r="A1589" s="1" t="n">
        <v>1588</v>
      </c>
      <c r="B1589" s="6" t="str">
        <f aca="false">HYPERLINK("https://mncourtfraud.com/file/MCRO_27-CR-21-19552_Order for Conditional Release_2022-02-16_20240430082848.pdf","MCRO_27-CR-21-19552_Order for Conditional Release_2022-02-16_20240430082848.pdf")</f>
        <v>MCRO_27-CR-21-19552_Order for Conditional Release_2022-02-16_20240430082848.pdf</v>
      </c>
      <c r="C1589" s="1" t="n">
        <v>10</v>
      </c>
      <c r="D1589" s="1" t="n">
        <v>2</v>
      </c>
      <c r="E1589" s="1" t="n">
        <v>2</v>
      </c>
      <c r="F1589" s="3" t="s">
        <v>20</v>
      </c>
      <c r="G1589" s="3" t="s">
        <v>6550</v>
      </c>
      <c r="H1589" s="1" t="s">
        <v>22</v>
      </c>
      <c r="I1589" s="1" t="n">
        <v>20240430082848</v>
      </c>
      <c r="J1589" s="3" t="s">
        <v>6551</v>
      </c>
      <c r="K1589" s="3" t="s">
        <v>6552</v>
      </c>
      <c r="L1589" s="3" t="s">
        <v>1644</v>
      </c>
      <c r="M1589" s="3" t="n">
        <v>1167055</v>
      </c>
      <c r="N1589" s="3" t="s">
        <v>1645</v>
      </c>
      <c r="O1589" s="1" t="n">
        <v>1150669</v>
      </c>
      <c r="P1589" s="1" t="n">
        <v>98.6</v>
      </c>
      <c r="Q1589" s="1" t="s">
        <v>20</v>
      </c>
      <c r="R1589" s="1" t="s">
        <v>27</v>
      </c>
      <c r="S1589" s="1" t="s">
        <v>28</v>
      </c>
      <c r="T1589" s="1" t="s">
        <v>29</v>
      </c>
    </row>
    <row r="1590" customFormat="false" ht="18.7" hidden="false" customHeight="true" outlineLevel="0" collapsed="false">
      <c r="A1590" s="1" t="n">
        <v>1589</v>
      </c>
      <c r="B1590" s="6" t="str">
        <f aca="false">HYPERLINK("https://mncourtfraud.com/file/MCRO_27-CR-21-19552_Order for Conditional Release_2022-03-11_20240430082844.pdf","MCRO_27-CR-21-19552_Order for Conditional Release_2022-03-11_20240430082844.pdf")</f>
        <v>MCRO_27-CR-21-19552_Order for Conditional Release_2022-03-11_20240430082844.pdf</v>
      </c>
      <c r="C1590" s="1" t="n">
        <v>3</v>
      </c>
      <c r="D1590" s="1" t="n">
        <v>1</v>
      </c>
      <c r="E1590" s="1" t="n">
        <v>1</v>
      </c>
      <c r="F1590" s="3" t="s">
        <v>20</v>
      </c>
      <c r="G1590" s="3" t="s">
        <v>6553</v>
      </c>
      <c r="H1590" s="1" t="s">
        <v>22</v>
      </c>
      <c r="I1590" s="1" t="n">
        <v>20240430082844</v>
      </c>
      <c r="J1590" s="3" t="s">
        <v>6554</v>
      </c>
      <c r="K1590" s="3" t="s">
        <v>6555</v>
      </c>
      <c r="L1590" s="3" t="s">
        <v>3782</v>
      </c>
      <c r="M1590" s="3" t="n">
        <v>194380</v>
      </c>
      <c r="N1590" s="3" t="s">
        <v>1316</v>
      </c>
      <c r="O1590" s="1" t="n">
        <v>177994</v>
      </c>
      <c r="P1590" s="1" t="n">
        <v>91.57</v>
      </c>
      <c r="Q1590" s="1" t="s">
        <v>20</v>
      </c>
      <c r="R1590" s="1" t="s">
        <v>27</v>
      </c>
      <c r="S1590" s="1" t="s">
        <v>28</v>
      </c>
      <c r="T1590" s="1" t="s">
        <v>29</v>
      </c>
    </row>
    <row r="1591" customFormat="false" ht="18.7" hidden="false" customHeight="true" outlineLevel="0" collapsed="false">
      <c r="A1591" s="1" t="n">
        <v>1590</v>
      </c>
      <c r="B1591" s="6" t="str">
        <f aca="false">HYPERLINK("https://mncourtfraud.com/file/MCRO_27-CR-21-19552_Proposed Order or Document_2022-11-07_20240430082840.pdf","MCRO_27-CR-21-19552_Proposed Order or Document_2022-11-07_20240430082840.pdf")</f>
        <v>MCRO_27-CR-21-19552_Proposed Order or Document_2022-11-07_20240430082840.pdf</v>
      </c>
      <c r="C1591" s="1" t="n">
        <v>3</v>
      </c>
      <c r="D1591" s="1" t="n">
        <v>1</v>
      </c>
      <c r="E1591" s="1" t="n">
        <v>1</v>
      </c>
      <c r="F1591" s="3" t="s">
        <v>20</v>
      </c>
      <c r="G1591" s="3" t="s">
        <v>6556</v>
      </c>
      <c r="H1591" s="1" t="s">
        <v>22</v>
      </c>
      <c r="I1591" s="1" t="n">
        <v>20240430082840</v>
      </c>
      <c r="J1591" s="3" t="s">
        <v>6557</v>
      </c>
      <c r="K1591" s="3" t="s">
        <v>6558</v>
      </c>
      <c r="L1591" s="3" t="s">
        <v>2172</v>
      </c>
      <c r="M1591" s="3" t="n">
        <v>178720</v>
      </c>
      <c r="N1591" s="3" t="s">
        <v>1673</v>
      </c>
      <c r="O1591" s="1" t="n">
        <v>162334</v>
      </c>
      <c r="P1591" s="1" t="n">
        <v>90.83</v>
      </c>
      <c r="Q1591" s="1" t="s">
        <v>20</v>
      </c>
      <c r="R1591" s="1" t="s">
        <v>27</v>
      </c>
      <c r="S1591" s="1" t="s">
        <v>28</v>
      </c>
      <c r="T1591" s="1" t="s">
        <v>29</v>
      </c>
    </row>
    <row r="1592" customFormat="false" ht="18.7" hidden="false" customHeight="true" outlineLevel="0" collapsed="false">
      <c r="A1592" s="1" t="n">
        <v>1591</v>
      </c>
      <c r="B1592" s="6" t="str">
        <f aca="false">HYPERLINK("https://mncourtfraud.com/file/MCRO_27-CR-21-19552_Returned Mail_2021-11-10_20240430082851.pdf","MCRO_27-CR-21-19552_Returned Mail_2021-11-10_20240430082851.pdf")</f>
        <v>MCRO_27-CR-21-19552_Returned Mail_2021-11-10_20240430082851.pdf</v>
      </c>
      <c r="C1592" s="1" t="n">
        <v>4</v>
      </c>
      <c r="D1592" s="1" t="n">
        <v>1</v>
      </c>
      <c r="E1592" s="1" t="n">
        <v>1</v>
      </c>
      <c r="F1592" s="3" t="s">
        <v>20</v>
      </c>
      <c r="G1592" s="3" t="s">
        <v>6559</v>
      </c>
      <c r="H1592" s="1" t="s">
        <v>22</v>
      </c>
      <c r="I1592" s="1" t="n">
        <v>20240430082851</v>
      </c>
      <c r="J1592" s="3" t="s">
        <v>6560</v>
      </c>
      <c r="K1592" s="3" t="s">
        <v>6561</v>
      </c>
      <c r="L1592" s="3" t="s">
        <v>6562</v>
      </c>
      <c r="M1592" s="3" t="n">
        <v>407286</v>
      </c>
      <c r="N1592" s="3" t="s">
        <v>456</v>
      </c>
      <c r="O1592" s="1" t="n">
        <v>390900</v>
      </c>
      <c r="P1592" s="1" t="n">
        <v>95.98</v>
      </c>
      <c r="Q1592" s="1" t="s">
        <v>20</v>
      </c>
      <c r="R1592" s="1" t="s">
        <v>27</v>
      </c>
      <c r="S1592" s="1" t="s">
        <v>28</v>
      </c>
      <c r="T1592" s="1" t="s">
        <v>29</v>
      </c>
    </row>
    <row r="1593" customFormat="false" ht="18.7" hidden="false" customHeight="true" outlineLevel="0" collapsed="false">
      <c r="A1593" s="1" t="n">
        <v>1592</v>
      </c>
      <c r="B1593" s="6" t="str">
        <f aca="false">HYPERLINK("https://mncourtfraud.com/file/MCRO_27-CR-21-19552_Returned Mail_2024-03-19_20240430082828.pdf","MCRO_27-CR-21-19552_Returned Mail_2024-03-19_20240430082828.pdf")</f>
        <v>MCRO_27-CR-21-19552_Returned Mail_2024-03-19_20240430082828.pdf</v>
      </c>
      <c r="C1593" s="1" t="n">
        <v>4</v>
      </c>
      <c r="D1593" s="1" t="n">
        <v>1</v>
      </c>
      <c r="E1593" s="1" t="n">
        <v>1</v>
      </c>
      <c r="F1593" s="3" t="s">
        <v>20</v>
      </c>
      <c r="G1593" s="3" t="s">
        <v>6563</v>
      </c>
      <c r="H1593" s="1" t="s">
        <v>22</v>
      </c>
      <c r="I1593" s="1" t="n">
        <v>20240430082828</v>
      </c>
      <c r="J1593" s="3" t="s">
        <v>6564</v>
      </c>
      <c r="K1593" s="3" t="s">
        <v>6565</v>
      </c>
      <c r="L1593" s="3" t="s">
        <v>6566</v>
      </c>
      <c r="M1593" s="3" t="n">
        <v>87375</v>
      </c>
      <c r="N1593" s="3" t="s">
        <v>435</v>
      </c>
      <c r="O1593" s="1" t="n">
        <v>70989</v>
      </c>
      <c r="P1593" s="1" t="n">
        <v>81.25</v>
      </c>
      <c r="Q1593" s="1" t="s">
        <v>20</v>
      </c>
      <c r="R1593" s="1" t="s">
        <v>27</v>
      </c>
      <c r="S1593" s="1" t="s">
        <v>28</v>
      </c>
      <c r="T1593" s="1" t="s">
        <v>29</v>
      </c>
    </row>
    <row r="1594" customFormat="false" ht="18.7" hidden="false" customHeight="true" outlineLevel="0" collapsed="false">
      <c r="A1594" s="1" t="n">
        <v>1593</v>
      </c>
      <c r="B1594" s="6" t="str">
        <f aca="false">HYPERLINK("https://mncourtfraud.com/file/MCRO_27-CR-21-19723_Demand or Request for Discovery_2021-10-27_20240430082958.pdf","MCRO_27-CR-21-19723_Demand or Request for Discovery_2021-10-27_20240430082958.pdf")</f>
        <v>MCRO_27-CR-21-19723_Demand or Request for Discovery_2021-10-27_20240430082958.pdf</v>
      </c>
      <c r="C1594" s="1" t="n">
        <v>3</v>
      </c>
      <c r="D1594" s="1" t="n">
        <v>1</v>
      </c>
      <c r="E1594" s="1" t="n">
        <v>1</v>
      </c>
      <c r="F1594" s="3" t="s">
        <v>20</v>
      </c>
      <c r="G1594" s="3" t="s">
        <v>6567</v>
      </c>
      <c r="H1594" s="1" t="s">
        <v>22</v>
      </c>
      <c r="I1594" s="1" t="n">
        <v>20240430082958</v>
      </c>
      <c r="J1594" s="3" t="s">
        <v>6568</v>
      </c>
      <c r="K1594" s="3" t="s">
        <v>6569</v>
      </c>
      <c r="L1594" s="3" t="s">
        <v>6570</v>
      </c>
      <c r="M1594" s="3" t="n">
        <v>543712</v>
      </c>
      <c r="N1594" s="3" t="s">
        <v>6571</v>
      </c>
      <c r="O1594" s="1" t="n">
        <v>527326</v>
      </c>
      <c r="P1594" s="1" t="n">
        <v>96.99</v>
      </c>
      <c r="Q1594" s="1" t="s">
        <v>20</v>
      </c>
      <c r="R1594" s="1" t="s">
        <v>27</v>
      </c>
      <c r="S1594" s="1" t="s">
        <v>28</v>
      </c>
      <c r="T1594" s="1" t="s">
        <v>29</v>
      </c>
    </row>
    <row r="1595" customFormat="false" ht="18.7" hidden="false" customHeight="true" outlineLevel="0" collapsed="false">
      <c r="A1595" s="1" t="n">
        <v>1594</v>
      </c>
      <c r="B1595" s="6" t="str">
        <f aca="false">HYPERLINK("https://mncourtfraud.com/file/MCRO_27-CR-21-19723_E-filed Comp-Order for Detention_2021-10-22_20240430083005.pdf","MCRO_27-CR-21-19723_E-filed Comp-Order for Detention_2021-10-22_20240430083005.pdf")</f>
        <v>MCRO_27-CR-21-19723_E-filed Comp-Order for Detention_2021-10-22_20240430083005.pdf</v>
      </c>
      <c r="C1595" s="1" t="n">
        <v>4</v>
      </c>
      <c r="D1595" s="1" t="n">
        <v>2</v>
      </c>
      <c r="E1595" s="1" t="n">
        <v>2</v>
      </c>
      <c r="F1595" s="3" t="s">
        <v>20</v>
      </c>
      <c r="G1595" s="3" t="s">
        <v>6572</v>
      </c>
      <c r="H1595" s="1" t="s">
        <v>22</v>
      </c>
      <c r="I1595" s="1" t="n">
        <v>20240430083005</v>
      </c>
      <c r="J1595" s="3" t="s">
        <v>6573</v>
      </c>
      <c r="K1595" s="3" t="s">
        <v>6574</v>
      </c>
      <c r="L1595" s="3" t="s">
        <v>6575</v>
      </c>
      <c r="M1595" s="3" t="n">
        <v>502804</v>
      </c>
      <c r="N1595" s="3" t="s">
        <v>564</v>
      </c>
      <c r="O1595" s="1" t="n">
        <v>486418</v>
      </c>
      <c r="P1595" s="1" t="n">
        <v>96.74</v>
      </c>
      <c r="Q1595" s="1" t="s">
        <v>20</v>
      </c>
      <c r="R1595" s="1" t="s">
        <v>27</v>
      </c>
      <c r="S1595" s="1" t="s">
        <v>28</v>
      </c>
      <c r="T1595" s="1" t="s">
        <v>29</v>
      </c>
    </row>
    <row r="1596" customFormat="false" ht="18.7" hidden="false" customHeight="true" outlineLevel="0" collapsed="false">
      <c r="A1596" s="1" t="n">
        <v>1595</v>
      </c>
      <c r="B1596" s="6" t="str">
        <f aca="false">HYPERLINK("https://mncourtfraud.com/file/MCRO_27-CR-21-19723_Finding of Incompetency and Order_2023-07-12_20240430082933.pdf","MCRO_27-CR-21-19723_Finding of Incompetency and Order_2023-07-12_20240430082933.pdf")</f>
        <v>MCRO_27-CR-21-19723_Finding of Incompetency and Order_2023-07-12_20240430082933.pdf</v>
      </c>
      <c r="C1596" s="1" t="n">
        <v>9</v>
      </c>
      <c r="D1596" s="1" t="n">
        <v>3</v>
      </c>
      <c r="E1596" s="1" t="n">
        <v>3</v>
      </c>
      <c r="F1596" s="3" t="s">
        <v>27</v>
      </c>
      <c r="G1596" s="3" t="s">
        <v>6576</v>
      </c>
      <c r="H1596" s="1" t="s">
        <v>22</v>
      </c>
      <c r="I1596" s="1" t="n">
        <v>20240430082933</v>
      </c>
      <c r="J1596" s="3" t="s">
        <v>6577</v>
      </c>
      <c r="K1596" s="3" t="s">
        <v>6578</v>
      </c>
      <c r="L1596" s="3" t="s">
        <v>6579</v>
      </c>
      <c r="M1596" s="3" t="n">
        <v>927759</v>
      </c>
      <c r="N1596" s="3" t="s">
        <v>6172</v>
      </c>
      <c r="O1596" s="1" t="n">
        <v>911373</v>
      </c>
      <c r="P1596" s="1" t="n">
        <v>98.23</v>
      </c>
      <c r="Q1596" s="1" t="s">
        <v>20</v>
      </c>
      <c r="R1596" s="1" t="s">
        <v>27</v>
      </c>
      <c r="S1596" s="1" t="s">
        <v>28</v>
      </c>
      <c r="T1596" s="1" t="s">
        <v>29</v>
      </c>
    </row>
    <row r="1597" customFormat="false" ht="18.7" hidden="false" customHeight="true" outlineLevel="0" collapsed="false">
      <c r="A1597" s="1" t="n">
        <v>1596</v>
      </c>
      <c r="B1597" s="6" t="str">
        <f aca="false">HYPERLINK("https://mncourtfraud.com/file/MCRO_27-CR-21-19723_Findings and Order_2021-10-26_20240430083000.pdf","MCRO_27-CR-21-19723_Findings and Order_2021-10-26_20240430083000.pdf")</f>
        <v>MCRO_27-CR-21-19723_Findings and Order_2021-10-26_20240430083000.pdf</v>
      </c>
      <c r="C1597" s="1" t="n">
        <v>6</v>
      </c>
      <c r="D1597" s="1" t="n">
        <v>1</v>
      </c>
      <c r="E1597" s="1" t="n">
        <v>1</v>
      </c>
      <c r="F1597" s="3" t="s">
        <v>20</v>
      </c>
      <c r="G1597" s="3" t="s">
        <v>6580</v>
      </c>
      <c r="H1597" s="1" t="s">
        <v>22</v>
      </c>
      <c r="I1597" s="1" t="n">
        <v>20240430083000</v>
      </c>
      <c r="J1597" s="3" t="s">
        <v>6581</v>
      </c>
      <c r="K1597" s="3" t="s">
        <v>6582</v>
      </c>
      <c r="L1597" s="3" t="s">
        <v>6583</v>
      </c>
      <c r="M1597" s="3" t="n">
        <v>292761</v>
      </c>
      <c r="N1597" s="3" t="s">
        <v>385</v>
      </c>
      <c r="O1597" s="1" t="n">
        <v>276375</v>
      </c>
      <c r="P1597" s="1" t="n">
        <v>94.4</v>
      </c>
      <c r="Q1597" s="1" t="s">
        <v>20</v>
      </c>
      <c r="R1597" s="1" t="s">
        <v>27</v>
      </c>
      <c r="S1597" s="1" t="s">
        <v>28</v>
      </c>
      <c r="T1597" s="1" t="s">
        <v>29</v>
      </c>
    </row>
    <row r="1598" customFormat="false" ht="18.7" hidden="false" customHeight="true" outlineLevel="0" collapsed="false">
      <c r="A1598" s="1" t="n">
        <v>1597</v>
      </c>
      <c r="B1598" s="6" t="str">
        <f aca="false">HYPERLINK("https://mncourtfraud.com/file/MCRO_27-CR-21-19723_Findings and Order_2022-08-16_20240430082946.pdf","MCRO_27-CR-21-19723_Findings and Order_2022-08-16_20240430082946.pdf")</f>
        <v>MCRO_27-CR-21-19723_Findings and Order_2022-08-16_20240430082946.pdf</v>
      </c>
      <c r="C1598" s="1" t="n">
        <v>4</v>
      </c>
      <c r="D1598" s="1" t="n">
        <v>2</v>
      </c>
      <c r="E1598" s="1" t="n">
        <v>2</v>
      </c>
      <c r="F1598" s="3" t="s">
        <v>20</v>
      </c>
      <c r="G1598" s="3" t="s">
        <v>6584</v>
      </c>
      <c r="H1598" s="1" t="s">
        <v>22</v>
      </c>
      <c r="I1598" s="1" t="n">
        <v>20240430082946</v>
      </c>
      <c r="J1598" s="3" t="s">
        <v>6585</v>
      </c>
      <c r="K1598" s="3" t="s">
        <v>6586</v>
      </c>
      <c r="L1598" s="3" t="s">
        <v>6587</v>
      </c>
      <c r="M1598" s="3" t="n">
        <v>328768</v>
      </c>
      <c r="N1598" s="3" t="s">
        <v>6588</v>
      </c>
      <c r="O1598" s="1" t="n">
        <v>312382</v>
      </c>
      <c r="P1598" s="1" t="n">
        <v>95.02</v>
      </c>
      <c r="Q1598" s="1" t="s">
        <v>20</v>
      </c>
      <c r="R1598" s="1" t="s">
        <v>27</v>
      </c>
      <c r="S1598" s="1" t="s">
        <v>28</v>
      </c>
      <c r="T1598" s="1" t="s">
        <v>29</v>
      </c>
    </row>
    <row r="1599" customFormat="false" ht="18.7" hidden="false" customHeight="true" outlineLevel="0" collapsed="false">
      <c r="A1599" s="1" t="n">
        <v>1598</v>
      </c>
      <c r="B1599" s="6" t="str">
        <f aca="false">HYPERLINK("https://mncourtfraud.com/file/MCRO_27-CR-21-19723_Notice of Hearing_2021-10-26_20240430082959.pdf","MCRO_27-CR-21-19723_Notice of Hearing_2021-10-26_20240430082959.pdf")</f>
        <v>MCRO_27-CR-21-19723_Notice of Hearing_2021-10-26_20240430082959.pdf</v>
      </c>
      <c r="C1599" s="1" t="n">
        <v>4</v>
      </c>
      <c r="D1599" s="1" t="n">
        <v>1</v>
      </c>
      <c r="E1599" s="1" t="n">
        <v>1</v>
      </c>
      <c r="F1599" s="3" t="s">
        <v>20</v>
      </c>
      <c r="G1599" s="3" t="s">
        <v>6589</v>
      </c>
      <c r="H1599" s="1" t="s">
        <v>22</v>
      </c>
      <c r="I1599" s="1" t="n">
        <v>20240430082959</v>
      </c>
      <c r="J1599" s="3" t="s">
        <v>6590</v>
      </c>
      <c r="K1599" s="3" t="s">
        <v>6591</v>
      </c>
      <c r="L1599" s="3" t="s">
        <v>6592</v>
      </c>
      <c r="M1599" s="3" t="n">
        <v>95474</v>
      </c>
      <c r="N1599" s="3" t="s">
        <v>614</v>
      </c>
      <c r="O1599" s="1" t="n">
        <v>79088</v>
      </c>
      <c r="P1599" s="1" t="n">
        <v>82.84</v>
      </c>
      <c r="Q1599" s="1" t="s">
        <v>20</v>
      </c>
      <c r="R1599" s="1" t="s">
        <v>27</v>
      </c>
      <c r="S1599" s="1" t="s">
        <v>28</v>
      </c>
      <c r="T1599" s="1" t="s">
        <v>29</v>
      </c>
    </row>
    <row r="1600" customFormat="false" ht="18.7" hidden="false" customHeight="true" outlineLevel="0" collapsed="false">
      <c r="A1600" s="1" t="n">
        <v>1599</v>
      </c>
      <c r="B1600" s="6" t="str">
        <f aca="false">HYPERLINK("https://mncourtfraud.com/file/MCRO_27-CR-21-19723_Notice of Hearing_2024-03-11_20240430082928.pdf","MCRO_27-CR-21-19723_Notice of Hearing_2024-03-11_20240430082928.pdf")</f>
        <v>MCRO_27-CR-21-19723_Notice of Hearing_2024-03-11_20240430082928.pdf</v>
      </c>
      <c r="C1600" s="1" t="n">
        <v>4</v>
      </c>
      <c r="D1600" s="1" t="n">
        <v>1</v>
      </c>
      <c r="E1600" s="1" t="n">
        <v>1</v>
      </c>
      <c r="F1600" s="3" t="s">
        <v>20</v>
      </c>
      <c r="G1600" s="3" t="s">
        <v>6593</v>
      </c>
      <c r="H1600" s="1" t="s">
        <v>22</v>
      </c>
      <c r="I1600" s="1" t="n">
        <v>20240430082928</v>
      </c>
      <c r="J1600" s="3" t="s">
        <v>6594</v>
      </c>
      <c r="K1600" s="3" t="s">
        <v>6595</v>
      </c>
      <c r="L1600" s="3" t="s">
        <v>6596</v>
      </c>
      <c r="M1600" s="3" t="n">
        <v>459962</v>
      </c>
      <c r="N1600" s="3" t="s">
        <v>158</v>
      </c>
      <c r="O1600" s="1" t="n">
        <v>443576</v>
      </c>
      <c r="P1600" s="1" t="n">
        <v>96.44</v>
      </c>
      <c r="Q1600" s="1" t="s">
        <v>20</v>
      </c>
      <c r="R1600" s="1" t="s">
        <v>27</v>
      </c>
      <c r="S1600" s="1" t="s">
        <v>28</v>
      </c>
      <c r="T1600" s="1" t="s">
        <v>29</v>
      </c>
    </row>
    <row r="1601" customFormat="false" ht="18.7" hidden="false" customHeight="true" outlineLevel="0" collapsed="false">
      <c r="A1601" s="1" t="n">
        <v>1600</v>
      </c>
      <c r="B1601" s="6" t="str">
        <f aca="false">HYPERLINK("https://mncourtfraud.com/file/MCRO_27-CR-21-19723_Notice of Remote Hearing with Instructions_2021-10-25_20240430083001.pdf","MCRO_27-CR-21-19723_Notice of Remote Hearing with Instructions_2021-10-25_20240430083001.pdf")</f>
        <v>MCRO_27-CR-21-19723_Notice of Remote Hearing with Instructions_2021-10-25_20240430083001.pdf</v>
      </c>
      <c r="C1601" s="1" t="n">
        <v>4</v>
      </c>
      <c r="D1601" s="1" t="n">
        <v>1</v>
      </c>
      <c r="E1601" s="1" t="n">
        <v>1</v>
      </c>
      <c r="F1601" s="3" t="s">
        <v>20</v>
      </c>
      <c r="G1601" s="3" t="s">
        <v>6597</v>
      </c>
      <c r="H1601" s="1" t="s">
        <v>22</v>
      </c>
      <c r="I1601" s="1" t="n">
        <v>20240430083001</v>
      </c>
      <c r="J1601" s="3" t="s">
        <v>6598</v>
      </c>
      <c r="K1601" s="3" t="s">
        <v>6599</v>
      </c>
      <c r="L1601" s="3" t="s">
        <v>6600</v>
      </c>
      <c r="M1601" s="3" t="n">
        <v>160316</v>
      </c>
      <c r="N1601" s="3" t="s">
        <v>1065</v>
      </c>
      <c r="O1601" s="1" t="n">
        <v>143930</v>
      </c>
      <c r="P1601" s="1" t="n">
        <v>89.78</v>
      </c>
      <c r="Q1601" s="1" t="s">
        <v>20</v>
      </c>
      <c r="R1601" s="1" t="s">
        <v>27</v>
      </c>
      <c r="S1601" s="1" t="s">
        <v>28</v>
      </c>
      <c r="T1601" s="1" t="s">
        <v>29</v>
      </c>
    </row>
    <row r="1602" customFormat="false" ht="18.7" hidden="false" customHeight="true" outlineLevel="0" collapsed="false">
      <c r="A1602" s="1" t="n">
        <v>1601</v>
      </c>
      <c r="B1602" s="6" t="str">
        <f aca="false">HYPERLINK("https://mncourtfraud.com/file/MCRO_27-CR-21-19723_Notice of Remote Hearing with Instructions_2021-10-25_20240430083003.pdf","MCRO_27-CR-21-19723_Notice of Remote Hearing with Instructions_2021-10-25_20240430083003.pdf")</f>
        <v>MCRO_27-CR-21-19723_Notice of Remote Hearing with Instructions_2021-10-25_20240430083003.pdf</v>
      </c>
      <c r="C1602" s="1" t="n">
        <v>4</v>
      </c>
      <c r="D1602" s="1" t="n">
        <v>1</v>
      </c>
      <c r="E1602" s="1" t="n">
        <v>1</v>
      </c>
      <c r="F1602" s="3" t="s">
        <v>20</v>
      </c>
      <c r="G1602" s="3" t="s">
        <v>6601</v>
      </c>
      <c r="H1602" s="1" t="s">
        <v>22</v>
      </c>
      <c r="I1602" s="1" t="n">
        <v>20240430083003</v>
      </c>
      <c r="J1602" s="3" t="s">
        <v>6602</v>
      </c>
      <c r="K1602" s="3" t="s">
        <v>6603</v>
      </c>
      <c r="L1602" s="3" t="s">
        <v>6604</v>
      </c>
      <c r="M1602" s="3" t="n">
        <v>160780</v>
      </c>
      <c r="N1602" s="3" t="s">
        <v>1065</v>
      </c>
      <c r="O1602" s="1" t="n">
        <v>144394</v>
      </c>
      <c r="P1602" s="1" t="n">
        <v>89.81</v>
      </c>
      <c r="Q1602" s="1" t="s">
        <v>20</v>
      </c>
      <c r="R1602" s="1" t="s">
        <v>27</v>
      </c>
      <c r="S1602" s="1" t="s">
        <v>28</v>
      </c>
      <c r="T1602" s="1" t="s">
        <v>29</v>
      </c>
    </row>
    <row r="1603" customFormat="false" ht="18.7" hidden="false" customHeight="true" outlineLevel="0" collapsed="false">
      <c r="A1603" s="1" t="n">
        <v>1602</v>
      </c>
      <c r="B1603" s="6" t="str">
        <f aca="false">HYPERLINK("https://mncourtfraud.com/file/MCRO_27-CR-21-19723_Notice of Remote Hearing with Instructions_2022-07-11_20240430082950.pdf","MCRO_27-CR-21-19723_Notice of Remote Hearing with Instructions_2022-07-11_20240430082950.pdf")</f>
        <v>MCRO_27-CR-21-19723_Notice of Remote Hearing with Instructions_2022-07-11_20240430082950.pdf</v>
      </c>
      <c r="C1603" s="1" t="n">
        <v>4</v>
      </c>
      <c r="D1603" s="1" t="n">
        <v>1</v>
      </c>
      <c r="E1603" s="1" t="n">
        <v>1</v>
      </c>
      <c r="F1603" s="3" t="s">
        <v>20</v>
      </c>
      <c r="G1603" s="3" t="s">
        <v>6605</v>
      </c>
      <c r="H1603" s="1" t="s">
        <v>22</v>
      </c>
      <c r="I1603" s="1" t="n">
        <v>20240430082950</v>
      </c>
      <c r="J1603" s="3" t="s">
        <v>6606</v>
      </c>
      <c r="K1603" s="3" t="s">
        <v>6607</v>
      </c>
      <c r="L1603" s="3" t="s">
        <v>6608</v>
      </c>
      <c r="M1603" s="3" t="n">
        <v>164336</v>
      </c>
      <c r="N1603" s="3" t="s">
        <v>1065</v>
      </c>
      <c r="O1603" s="1" t="n">
        <v>147950</v>
      </c>
      <c r="P1603" s="1" t="n">
        <v>90.03</v>
      </c>
      <c r="Q1603" s="1" t="s">
        <v>20</v>
      </c>
      <c r="R1603" s="1" t="s">
        <v>27</v>
      </c>
      <c r="S1603" s="1" t="s">
        <v>28</v>
      </c>
      <c r="T1603" s="1" t="s">
        <v>29</v>
      </c>
    </row>
    <row r="1604" customFormat="false" ht="18.7" hidden="false" customHeight="true" outlineLevel="0" collapsed="false">
      <c r="A1604" s="1" t="n">
        <v>1603</v>
      </c>
      <c r="B1604" s="6" t="str">
        <f aca="false">HYPERLINK("https://mncourtfraud.com/file/MCRO_27-CR-21-19723_Notice of Remote Hearing with Instructions_2022-07-11_20240430082951.pdf","MCRO_27-CR-21-19723_Notice of Remote Hearing with Instructions_2022-07-11_20240430082951.pdf")</f>
        <v>MCRO_27-CR-21-19723_Notice of Remote Hearing with Instructions_2022-07-11_20240430082951.pdf</v>
      </c>
      <c r="C1604" s="1" t="n">
        <v>4</v>
      </c>
      <c r="D1604" s="1" t="n">
        <v>1</v>
      </c>
      <c r="E1604" s="1" t="n">
        <v>1</v>
      </c>
      <c r="F1604" s="3" t="s">
        <v>20</v>
      </c>
      <c r="G1604" s="3" t="s">
        <v>6609</v>
      </c>
      <c r="H1604" s="1" t="s">
        <v>22</v>
      </c>
      <c r="I1604" s="1" t="n">
        <v>20240430082951</v>
      </c>
      <c r="J1604" s="3" t="s">
        <v>6610</v>
      </c>
      <c r="K1604" s="3" t="s">
        <v>6611</v>
      </c>
      <c r="L1604" s="3" t="s">
        <v>6612</v>
      </c>
      <c r="M1604" s="3" t="n">
        <v>162912</v>
      </c>
      <c r="N1604" s="3" t="s">
        <v>1065</v>
      </c>
      <c r="O1604" s="1" t="n">
        <v>146526</v>
      </c>
      <c r="P1604" s="1" t="n">
        <v>89.94</v>
      </c>
      <c r="Q1604" s="1" t="s">
        <v>20</v>
      </c>
      <c r="R1604" s="1" t="s">
        <v>27</v>
      </c>
      <c r="S1604" s="1" t="s">
        <v>28</v>
      </c>
      <c r="T1604" s="1" t="s">
        <v>29</v>
      </c>
    </row>
    <row r="1605" customFormat="false" ht="18.7" hidden="false" customHeight="true" outlineLevel="0" collapsed="false">
      <c r="A1605" s="1" t="n">
        <v>1604</v>
      </c>
      <c r="B1605" s="6" t="str">
        <f aca="false">HYPERLINK("https://mncourtfraud.com/file/MCRO_27-CR-21-19723_Notice of Remote Hearing with Instructions_2023-07-12_20240430082932.pdf","MCRO_27-CR-21-19723_Notice of Remote Hearing with Instructions_2023-07-12_20240430082932.pdf")</f>
        <v>MCRO_27-CR-21-19723_Notice of Remote Hearing with Instructions_2023-07-12_20240430082932.pdf</v>
      </c>
      <c r="C1605" s="1" t="n">
        <v>4</v>
      </c>
      <c r="D1605" s="1" t="n">
        <v>1</v>
      </c>
      <c r="E1605" s="1" t="n">
        <v>1</v>
      </c>
      <c r="F1605" s="3" t="s">
        <v>20</v>
      </c>
      <c r="G1605" s="3" t="s">
        <v>6613</v>
      </c>
      <c r="H1605" s="1" t="s">
        <v>22</v>
      </c>
      <c r="I1605" s="1" t="n">
        <v>20240430082932</v>
      </c>
      <c r="J1605" s="3" t="s">
        <v>6614</v>
      </c>
      <c r="K1605" s="3" t="s">
        <v>6615</v>
      </c>
      <c r="L1605" s="3" t="s">
        <v>6616</v>
      </c>
      <c r="M1605" s="3" t="n">
        <v>261085</v>
      </c>
      <c r="N1605" s="3" t="s">
        <v>936</v>
      </c>
      <c r="O1605" s="1" t="n">
        <v>244699</v>
      </c>
      <c r="P1605" s="1" t="n">
        <v>93.72</v>
      </c>
      <c r="Q1605" s="1" t="s">
        <v>20</v>
      </c>
      <c r="R1605" s="1" t="s">
        <v>27</v>
      </c>
      <c r="S1605" s="1" t="s">
        <v>28</v>
      </c>
      <c r="T1605" s="1" t="s">
        <v>29</v>
      </c>
    </row>
    <row r="1606" customFormat="false" ht="18.7" hidden="false" customHeight="true" outlineLevel="0" collapsed="false">
      <c r="A1606" s="1" t="n">
        <v>1605</v>
      </c>
      <c r="B1606" s="6" t="str">
        <f aca="false">HYPERLINK("https://mncourtfraud.com/file/MCRO_27-CR-21-19723_Notice of Remote Hearing with Instructions_2024-03-11_20240430082926.pdf","MCRO_27-CR-21-19723_Notice of Remote Hearing with Instructions_2024-03-11_20240430082926.pdf")</f>
        <v>MCRO_27-CR-21-19723_Notice of Remote Hearing with Instructions_2024-03-11_20240430082926.pdf</v>
      </c>
      <c r="C1606" s="1" t="n">
        <v>4</v>
      </c>
      <c r="D1606" s="1" t="n">
        <v>1</v>
      </c>
      <c r="E1606" s="1" t="n">
        <v>1</v>
      </c>
      <c r="F1606" s="3" t="s">
        <v>20</v>
      </c>
      <c r="G1606" s="3" t="s">
        <v>6617</v>
      </c>
      <c r="H1606" s="1" t="s">
        <v>22</v>
      </c>
      <c r="I1606" s="1" t="n">
        <v>20240430082926</v>
      </c>
      <c r="J1606" s="3" t="s">
        <v>6618</v>
      </c>
      <c r="K1606" s="3" t="s">
        <v>6619</v>
      </c>
      <c r="L1606" s="3" t="s">
        <v>6620</v>
      </c>
      <c r="M1606" s="3" t="n">
        <v>816260</v>
      </c>
      <c r="N1606" s="3" t="s">
        <v>1128</v>
      </c>
      <c r="O1606" s="1" t="n">
        <v>799874</v>
      </c>
      <c r="P1606" s="1" t="n">
        <v>97.99</v>
      </c>
      <c r="Q1606" s="1" t="s">
        <v>20</v>
      </c>
      <c r="R1606" s="1" t="s">
        <v>27</v>
      </c>
      <c r="S1606" s="1" t="s">
        <v>28</v>
      </c>
      <c r="T1606" s="1" t="s">
        <v>29</v>
      </c>
    </row>
    <row r="1607" customFormat="false" ht="18.7" hidden="false" customHeight="true" outlineLevel="0" collapsed="false">
      <c r="A1607" s="1" t="n">
        <v>1606</v>
      </c>
      <c r="B1607" s="6" t="str">
        <f aca="false">HYPERLINK("https://mncourtfraud.com/file/MCRO_27-CR-21-19723_Order-Evaluation for Competency to Proceed (Rule 20.01)_2021-10-25_20240430083004.pdf","MCRO_27-CR-21-19723_Order-Evaluation for Competency to Proceed (Rule 20.01)_2021-10-25_20240430083004.pdf")</f>
        <v>MCRO_27-CR-21-19723_Order-Evaluation for Competency to Proceed (Rule 20.01)_2021-10-25_20240430083004.pdf</v>
      </c>
      <c r="C1607" s="1" t="n">
        <v>4</v>
      </c>
      <c r="D1607" s="1" t="n">
        <v>1</v>
      </c>
      <c r="E1607" s="1" t="n">
        <v>1</v>
      </c>
      <c r="F1607" s="3" t="s">
        <v>20</v>
      </c>
      <c r="G1607" s="3" t="s">
        <v>6621</v>
      </c>
      <c r="H1607" s="1" t="s">
        <v>22</v>
      </c>
      <c r="I1607" s="1" t="n">
        <v>20240430083004</v>
      </c>
      <c r="J1607" s="3" t="s">
        <v>6622</v>
      </c>
      <c r="K1607" s="3" t="s">
        <v>6623</v>
      </c>
      <c r="L1607" s="3" t="s">
        <v>6624</v>
      </c>
      <c r="M1607" s="3" t="n">
        <v>1064814</v>
      </c>
      <c r="N1607" s="3" t="s">
        <v>1065</v>
      </c>
      <c r="O1607" s="1" t="n">
        <v>1048428</v>
      </c>
      <c r="P1607" s="1" t="n">
        <v>98.46</v>
      </c>
      <c r="Q1607" s="1" t="s">
        <v>20</v>
      </c>
      <c r="R1607" s="1" t="s">
        <v>27</v>
      </c>
      <c r="S1607" s="1" t="s">
        <v>28</v>
      </c>
      <c r="T1607" s="1" t="s">
        <v>29</v>
      </c>
    </row>
    <row r="1608" customFormat="false" ht="18.7" hidden="false" customHeight="true" outlineLevel="0" collapsed="false">
      <c r="A1608" s="1" t="n">
        <v>1607</v>
      </c>
      <c r="B1608" s="6" t="str">
        <f aca="false">HYPERLINK("https://mncourtfraud.com/file/MCRO_27-CR-21-19723_Order-Evaluation for Competency to Proceed (Rule 20.01)_2022-02-09_20240430082956.pdf","MCRO_27-CR-21-19723_Order-Evaluation for Competency to Proceed (Rule 20.01)_2022-02-09_20240430082956.pdf")</f>
        <v>MCRO_27-CR-21-19723_Order-Evaluation for Competency to Proceed (Rule 20.01)_2022-02-09_20240430082956.pdf</v>
      </c>
      <c r="C1608" s="1" t="n">
        <v>3</v>
      </c>
      <c r="D1608" s="1" t="n">
        <v>1</v>
      </c>
      <c r="E1608" s="1" t="n">
        <v>1</v>
      </c>
      <c r="F1608" s="3" t="s">
        <v>20</v>
      </c>
      <c r="G1608" s="3" t="s">
        <v>6625</v>
      </c>
      <c r="H1608" s="1" t="s">
        <v>22</v>
      </c>
      <c r="I1608" s="1" t="n">
        <v>20240430082956</v>
      </c>
      <c r="J1608" s="3" t="s">
        <v>6626</v>
      </c>
      <c r="K1608" s="3" t="s">
        <v>6627</v>
      </c>
      <c r="L1608" s="3" t="s">
        <v>6628</v>
      </c>
      <c r="M1608" s="3" t="n">
        <v>256987</v>
      </c>
      <c r="N1608" s="3" t="s">
        <v>79</v>
      </c>
      <c r="O1608" s="1" t="n">
        <v>240601</v>
      </c>
      <c r="P1608" s="1" t="n">
        <v>93.62</v>
      </c>
      <c r="Q1608" s="1" t="s">
        <v>20</v>
      </c>
      <c r="R1608" s="1" t="s">
        <v>27</v>
      </c>
      <c r="S1608" s="1" t="s">
        <v>28</v>
      </c>
      <c r="T1608" s="1" t="s">
        <v>29</v>
      </c>
    </row>
    <row r="1609" customFormat="false" ht="18.7" hidden="false" customHeight="true" outlineLevel="0" collapsed="false">
      <c r="A1609" s="1" t="n">
        <v>1608</v>
      </c>
      <c r="B1609" s="6" t="str">
        <f aca="false">HYPERLINK("https://mncourtfraud.com/file/MCRO_27-CR-21-19723_Order-Evaluation for Competency to Proceed (Rule 20.01)_2022-05-16_20240430082955.pdf","MCRO_27-CR-21-19723_Order-Evaluation for Competency to Proceed (Rule 20.01)_2022-05-16_20240430082955.pdf")</f>
        <v>MCRO_27-CR-21-19723_Order-Evaluation for Competency to Proceed (Rule 20.01)_2022-05-16_20240430082955.pdf</v>
      </c>
      <c r="C1609" s="1" t="n">
        <v>5</v>
      </c>
      <c r="D1609" s="1" t="n">
        <v>1</v>
      </c>
      <c r="E1609" s="1" t="n">
        <v>1</v>
      </c>
      <c r="F1609" s="3" t="s">
        <v>20</v>
      </c>
      <c r="G1609" s="3" t="s">
        <v>6629</v>
      </c>
      <c r="H1609" s="1" t="s">
        <v>22</v>
      </c>
      <c r="I1609" s="1" t="n">
        <v>20240430082955</v>
      </c>
      <c r="J1609" s="3" t="s">
        <v>6630</v>
      </c>
      <c r="K1609" s="3" t="s">
        <v>6631</v>
      </c>
      <c r="L1609" s="3" t="s">
        <v>6632</v>
      </c>
      <c r="M1609" s="3" t="n">
        <v>949912</v>
      </c>
      <c r="N1609" s="3" t="s">
        <v>99</v>
      </c>
      <c r="O1609" s="1" t="n">
        <v>933526</v>
      </c>
      <c r="P1609" s="1" t="n">
        <v>98.27</v>
      </c>
      <c r="Q1609" s="1" t="s">
        <v>20</v>
      </c>
      <c r="R1609" s="1" t="s">
        <v>27</v>
      </c>
      <c r="S1609" s="1" t="s">
        <v>28</v>
      </c>
      <c r="T1609" s="1" t="s">
        <v>29</v>
      </c>
    </row>
    <row r="1610" customFormat="false" ht="18.7" hidden="false" customHeight="true" outlineLevel="0" collapsed="false">
      <c r="A1610" s="1" t="n">
        <v>1609</v>
      </c>
      <c r="B1610" s="6" t="str">
        <f aca="false">HYPERLINK("https://mncourtfraud.com/file/MCRO_27-CR-21-19723_Order-Evaluation for Competency to Proceed (Rule 20.01)_2022-07-11_20240430082953.pdf","MCRO_27-CR-21-19723_Order-Evaluation for Competency to Proceed (Rule 20.01)_2022-07-11_20240430082953.pdf")</f>
        <v>MCRO_27-CR-21-19723_Order-Evaluation for Competency to Proceed (Rule 20.01)_2022-07-11_20240430082953.pdf</v>
      </c>
      <c r="C1610" s="1" t="n">
        <v>4</v>
      </c>
      <c r="D1610" s="1" t="n">
        <v>1</v>
      </c>
      <c r="E1610" s="1" t="n">
        <v>1</v>
      </c>
      <c r="F1610" s="3" t="s">
        <v>20</v>
      </c>
      <c r="G1610" s="3" t="s">
        <v>6633</v>
      </c>
      <c r="H1610" s="1" t="s">
        <v>22</v>
      </c>
      <c r="I1610" s="1" t="n">
        <v>20240430082953</v>
      </c>
      <c r="J1610" s="3" t="s">
        <v>6634</v>
      </c>
      <c r="K1610" s="3" t="s">
        <v>6635</v>
      </c>
      <c r="L1610" s="3" t="s">
        <v>6636</v>
      </c>
      <c r="M1610" s="3" t="n">
        <v>197677</v>
      </c>
      <c r="N1610" s="3" t="s">
        <v>2813</v>
      </c>
      <c r="O1610" s="1" t="n">
        <v>181291</v>
      </c>
      <c r="P1610" s="1" t="n">
        <v>91.71</v>
      </c>
      <c r="Q1610" s="1" t="s">
        <v>20</v>
      </c>
      <c r="R1610" s="1" t="s">
        <v>27</v>
      </c>
      <c r="S1610" s="1" t="s">
        <v>28</v>
      </c>
      <c r="T1610" s="1" t="s">
        <v>29</v>
      </c>
    </row>
    <row r="1611" customFormat="false" ht="18.7" hidden="false" customHeight="true" outlineLevel="0" collapsed="false">
      <c r="A1611" s="1" t="n">
        <v>1610</v>
      </c>
      <c r="B1611" s="6" t="str">
        <f aca="false">HYPERLINK("https://mncourtfraud.com/file/MCRO_27-CR-21-19723_Order-Evaluation for Competency to Proceed (Rule 20.01)_2022-07-28_20240430082949.pdf","MCRO_27-CR-21-19723_Order-Evaluation for Competency to Proceed (Rule 20.01)_2022-07-28_20240430082949.pdf")</f>
        <v>MCRO_27-CR-21-19723_Order-Evaluation for Competency to Proceed (Rule 20.01)_2022-07-28_20240430082949.pdf</v>
      </c>
      <c r="C1611" s="1" t="n">
        <v>4</v>
      </c>
      <c r="D1611" s="1" t="n">
        <v>1</v>
      </c>
      <c r="E1611" s="1" t="n">
        <v>1</v>
      </c>
      <c r="F1611" s="3" t="s">
        <v>20</v>
      </c>
      <c r="G1611" s="3" t="s">
        <v>6637</v>
      </c>
      <c r="H1611" s="1" t="s">
        <v>22</v>
      </c>
      <c r="I1611" s="1" t="n">
        <v>20240430082949</v>
      </c>
      <c r="J1611" s="3" t="s">
        <v>6638</v>
      </c>
      <c r="K1611" s="3" t="s">
        <v>6639</v>
      </c>
      <c r="L1611" s="3" t="s">
        <v>6640</v>
      </c>
      <c r="M1611" s="3" t="n">
        <v>310237</v>
      </c>
      <c r="N1611" s="3" t="s">
        <v>6293</v>
      </c>
      <c r="O1611" s="1" t="n">
        <v>293851</v>
      </c>
      <c r="P1611" s="1" t="n">
        <v>94.72</v>
      </c>
      <c r="Q1611" s="1" t="s">
        <v>20</v>
      </c>
      <c r="R1611" s="1" t="s">
        <v>27</v>
      </c>
      <c r="S1611" s="1" t="s">
        <v>28</v>
      </c>
      <c r="T1611" s="1" t="s">
        <v>29</v>
      </c>
    </row>
    <row r="1612" customFormat="false" ht="18.7" hidden="false" customHeight="true" outlineLevel="0" collapsed="false">
      <c r="A1612" s="1" t="n">
        <v>1611</v>
      </c>
      <c r="B1612" s="6" t="str">
        <f aca="false">HYPERLINK("https://mncourtfraud.com/file/MCRO_27-CR-21-19723_Order-Evaluation for Competency to Proceed (Rule 20.01)_2022-12-09_20240430082942.pdf","MCRO_27-CR-21-19723_Order-Evaluation for Competency to Proceed (Rule 20.01)_2022-12-09_20240430082942.pdf")</f>
        <v>MCRO_27-CR-21-19723_Order-Evaluation for Competency to Proceed (Rule 20.01)_2022-12-09_20240430082942.pdf</v>
      </c>
      <c r="C1612" s="1" t="n">
        <v>3</v>
      </c>
      <c r="D1612" s="1" t="n">
        <v>1</v>
      </c>
      <c r="E1612" s="1" t="n">
        <v>1</v>
      </c>
      <c r="F1612" s="3" t="s">
        <v>20</v>
      </c>
      <c r="G1612" s="3" t="s">
        <v>6641</v>
      </c>
      <c r="H1612" s="1" t="s">
        <v>22</v>
      </c>
      <c r="I1612" s="1" t="n">
        <v>20240430082942</v>
      </c>
      <c r="J1612" s="3" t="s">
        <v>6642</v>
      </c>
      <c r="K1612" s="3" t="s">
        <v>6643</v>
      </c>
      <c r="L1612" s="3" t="s">
        <v>6644</v>
      </c>
      <c r="M1612" s="3" t="n">
        <v>811138</v>
      </c>
      <c r="N1612" s="3" t="s">
        <v>2520</v>
      </c>
      <c r="O1612" s="1" t="n">
        <v>794752</v>
      </c>
      <c r="P1612" s="1" t="n">
        <v>97.98</v>
      </c>
      <c r="Q1612" s="1" t="s">
        <v>20</v>
      </c>
      <c r="R1612" s="1" t="s">
        <v>27</v>
      </c>
      <c r="S1612" s="1" t="s">
        <v>28</v>
      </c>
      <c r="T1612" s="1" t="s">
        <v>29</v>
      </c>
    </row>
    <row r="1613" customFormat="false" ht="18.7" hidden="false" customHeight="true" outlineLevel="0" collapsed="false">
      <c r="A1613" s="1" t="n">
        <v>1612</v>
      </c>
      <c r="B1613" s="6" t="str">
        <f aca="false">HYPERLINK("https://mncourtfraud.com/file/MCRO_27-CR-21-19723_Order-Evaluation for Competency to Proceed (Rule 20.01)_2023-03-13_20240430082940.pdf","MCRO_27-CR-21-19723_Order-Evaluation for Competency to Proceed (Rule 20.01)_2023-03-13_20240430082940.pdf")</f>
        <v>MCRO_27-CR-21-19723_Order-Evaluation for Competency to Proceed (Rule 20.01)_2023-03-13_20240430082940.pdf</v>
      </c>
      <c r="C1613" s="1" t="n">
        <v>4</v>
      </c>
      <c r="D1613" s="1" t="n">
        <v>1</v>
      </c>
      <c r="E1613" s="1" t="n">
        <v>1</v>
      </c>
      <c r="F1613" s="3" t="s">
        <v>20</v>
      </c>
      <c r="G1613" s="3" t="s">
        <v>6645</v>
      </c>
      <c r="H1613" s="1" t="s">
        <v>22</v>
      </c>
      <c r="I1613" s="1" t="n">
        <v>20240430082940</v>
      </c>
      <c r="J1613" s="3" t="s">
        <v>6646</v>
      </c>
      <c r="K1613" s="3" t="s">
        <v>6647</v>
      </c>
      <c r="L1613" s="3" t="s">
        <v>6648</v>
      </c>
      <c r="M1613" s="3" t="n">
        <v>1063350</v>
      </c>
      <c r="N1613" s="3" t="s">
        <v>1128</v>
      </c>
      <c r="O1613" s="1" t="n">
        <v>1046964</v>
      </c>
      <c r="P1613" s="1" t="n">
        <v>98.46</v>
      </c>
      <c r="Q1613" s="1" t="s">
        <v>20</v>
      </c>
      <c r="R1613" s="1" t="s">
        <v>27</v>
      </c>
      <c r="S1613" s="1" t="s">
        <v>28</v>
      </c>
      <c r="T1613" s="1" t="s">
        <v>29</v>
      </c>
    </row>
    <row r="1614" customFormat="false" ht="18.7" hidden="false" customHeight="true" outlineLevel="0" collapsed="false">
      <c r="A1614" s="1" t="n">
        <v>1613</v>
      </c>
      <c r="B1614" s="6" t="str">
        <f aca="false">HYPERLINK("https://mncourtfraud.com/file/MCRO_27-CR-21-19723_Order-Evaluation for Competency to Proceed (Rule 20.01)_2023-06-08_20240430082936.pdf","MCRO_27-CR-21-19723_Order-Evaluation for Competency to Proceed (Rule 20.01)_2023-06-08_20240430082936.pdf")</f>
        <v>MCRO_27-CR-21-19723_Order-Evaluation for Competency to Proceed (Rule 20.01)_2023-06-08_20240430082936.pdf</v>
      </c>
      <c r="C1614" s="1" t="n">
        <v>4</v>
      </c>
      <c r="D1614" s="1" t="n">
        <v>1</v>
      </c>
      <c r="E1614" s="1" t="n">
        <v>1</v>
      </c>
      <c r="F1614" s="3" t="s">
        <v>20</v>
      </c>
      <c r="G1614" s="3" t="s">
        <v>6649</v>
      </c>
      <c r="H1614" s="1" t="s">
        <v>22</v>
      </c>
      <c r="I1614" s="1" t="n">
        <v>20240430082936</v>
      </c>
      <c r="J1614" s="3" t="s">
        <v>6650</v>
      </c>
      <c r="K1614" s="3" t="s">
        <v>6651</v>
      </c>
      <c r="L1614" s="3" t="s">
        <v>6652</v>
      </c>
      <c r="M1614" s="3" t="n">
        <v>1037544</v>
      </c>
      <c r="N1614" s="3" t="s">
        <v>1128</v>
      </c>
      <c r="O1614" s="1" t="n">
        <v>1021158</v>
      </c>
      <c r="P1614" s="1" t="n">
        <v>98.42</v>
      </c>
      <c r="Q1614" s="1" t="s">
        <v>20</v>
      </c>
      <c r="R1614" s="1" t="s">
        <v>27</v>
      </c>
      <c r="S1614" s="1" t="s">
        <v>28</v>
      </c>
      <c r="T1614" s="1" t="s">
        <v>29</v>
      </c>
    </row>
    <row r="1615" customFormat="false" ht="18.7" hidden="false" customHeight="true" outlineLevel="0" collapsed="false">
      <c r="A1615" s="1" t="n">
        <v>1614</v>
      </c>
      <c r="B1615" s="6" t="str">
        <f aca="false">HYPERLINK("https://mncourtfraud.com/file/MCRO_27-CR-21-19723_Order-Evaluation for Competency to Proceed (Rule 20.01)_2023-11-08_20240430082931.pdf","MCRO_27-CR-21-19723_Order-Evaluation for Competency to Proceed (Rule 20.01)_2023-11-08_20240430082931.pdf")</f>
        <v>MCRO_27-CR-21-19723_Order-Evaluation for Competency to Proceed (Rule 20.01)_2023-11-08_20240430082931.pdf</v>
      </c>
      <c r="C1615" s="1" t="n">
        <v>6</v>
      </c>
      <c r="D1615" s="1" t="n">
        <v>2</v>
      </c>
      <c r="E1615" s="1" t="n">
        <v>2</v>
      </c>
      <c r="F1615" s="3" t="s">
        <v>20</v>
      </c>
      <c r="G1615" s="3" t="s">
        <v>6653</v>
      </c>
      <c r="H1615" s="1" t="s">
        <v>22</v>
      </c>
      <c r="I1615" s="1" t="n">
        <v>20240430082931</v>
      </c>
      <c r="J1615" s="3" t="s">
        <v>6654</v>
      </c>
      <c r="K1615" s="3" t="s">
        <v>6655</v>
      </c>
      <c r="L1615" s="3" t="s">
        <v>6656</v>
      </c>
      <c r="M1615" s="3" t="n">
        <v>870067</v>
      </c>
      <c r="N1615" s="3" t="s">
        <v>4399</v>
      </c>
      <c r="O1615" s="1" t="n">
        <v>853681</v>
      </c>
      <c r="P1615" s="1" t="n">
        <v>98.12</v>
      </c>
      <c r="Q1615" s="1" t="s">
        <v>20</v>
      </c>
      <c r="R1615" s="1" t="s">
        <v>27</v>
      </c>
      <c r="S1615" s="1" t="s">
        <v>28</v>
      </c>
      <c r="T1615" s="1" t="s">
        <v>29</v>
      </c>
    </row>
    <row r="1616" customFormat="false" ht="18.7" hidden="false" customHeight="true" outlineLevel="0" collapsed="false">
      <c r="A1616" s="1" t="n">
        <v>1615</v>
      </c>
      <c r="B1616" s="6" t="str">
        <f aca="false">HYPERLINK("https://mncourtfraud.com/file/MCRO_27-CR-21-19723_Order-Evaluation for Competency to Proceed (Rule 20.01)_2024-03-11_20240430082929.pdf","MCRO_27-CR-21-19723_Order-Evaluation for Competency to Proceed (Rule 20.01)_2024-03-11_20240430082929.pdf")</f>
        <v>MCRO_27-CR-21-19723_Order-Evaluation for Competency to Proceed (Rule 20.01)_2024-03-11_20240430082929.pdf</v>
      </c>
      <c r="C1616" s="1" t="n">
        <v>4</v>
      </c>
      <c r="D1616" s="1" t="n">
        <v>1</v>
      </c>
      <c r="E1616" s="1" t="n">
        <v>1</v>
      </c>
      <c r="F1616" s="3" t="s">
        <v>20</v>
      </c>
      <c r="G1616" s="3" t="s">
        <v>6657</v>
      </c>
      <c r="H1616" s="1" t="s">
        <v>22</v>
      </c>
      <c r="I1616" s="1" t="n">
        <v>20240430082929</v>
      </c>
      <c r="J1616" s="3" t="s">
        <v>6658</v>
      </c>
      <c r="K1616" s="3" t="s">
        <v>6659</v>
      </c>
      <c r="L1616" s="3" t="s">
        <v>6660</v>
      </c>
      <c r="M1616" s="3" t="n">
        <v>144112</v>
      </c>
      <c r="N1616" s="3" t="s">
        <v>1159</v>
      </c>
      <c r="O1616" s="1" t="n">
        <v>127726</v>
      </c>
      <c r="P1616" s="1" t="n">
        <v>88.63</v>
      </c>
      <c r="Q1616" s="1" t="s">
        <v>20</v>
      </c>
      <c r="R1616" s="1" t="s">
        <v>27</v>
      </c>
      <c r="S1616" s="1" t="s">
        <v>28</v>
      </c>
      <c r="T1616" s="1" t="s">
        <v>29</v>
      </c>
    </row>
    <row r="1617" customFormat="false" ht="18.7" hidden="false" customHeight="true" outlineLevel="0" collapsed="false">
      <c r="A1617" s="1" t="n">
        <v>1616</v>
      </c>
      <c r="B1617" s="6" t="str">
        <f aca="false">HYPERLINK("https://mncourtfraud.com/file/MCRO_27-CR-21-19723_Order for Conditional Release_2021-10-25_20240430083002.pdf","MCRO_27-CR-21-19723_Order for Conditional Release_2021-10-25_20240430083002.pdf")</f>
        <v>MCRO_27-CR-21-19723_Order for Conditional Release_2021-10-25_20240430083002.pdf</v>
      </c>
      <c r="C1617" s="1" t="n">
        <v>4</v>
      </c>
      <c r="D1617" s="1" t="n">
        <v>1</v>
      </c>
      <c r="E1617" s="1" t="n">
        <v>1</v>
      </c>
      <c r="F1617" s="3" t="s">
        <v>20</v>
      </c>
      <c r="G1617" s="3" t="s">
        <v>6661</v>
      </c>
      <c r="H1617" s="1" t="s">
        <v>22</v>
      </c>
      <c r="I1617" s="1" t="n">
        <v>20240430083002</v>
      </c>
      <c r="J1617" s="3" t="s">
        <v>6662</v>
      </c>
      <c r="K1617" s="3" t="s">
        <v>6663</v>
      </c>
      <c r="L1617" s="3" t="s">
        <v>6664</v>
      </c>
      <c r="M1617" s="3" t="n">
        <v>131280</v>
      </c>
      <c r="N1617" s="3" t="s">
        <v>456</v>
      </c>
      <c r="O1617" s="1" t="n">
        <v>114894</v>
      </c>
      <c r="P1617" s="1" t="n">
        <v>87.52</v>
      </c>
      <c r="Q1617" s="1" t="s">
        <v>20</v>
      </c>
      <c r="R1617" s="1" t="s">
        <v>27</v>
      </c>
      <c r="S1617" s="1" t="s">
        <v>28</v>
      </c>
      <c r="T1617" s="1" t="s">
        <v>29</v>
      </c>
    </row>
    <row r="1618" customFormat="false" ht="18.7" hidden="false" customHeight="true" outlineLevel="0" collapsed="false">
      <c r="A1618" s="1" t="n">
        <v>1617</v>
      </c>
      <c r="B1618" s="6" t="str">
        <f aca="false">HYPERLINK("https://mncourtfraud.com/file/MCRO_27-CR-21-19723_Order for Conditional Release_2021-12-01_20240430082957.pdf","MCRO_27-CR-21-19723_Order for Conditional Release_2021-12-01_20240430082957.pdf")</f>
        <v>MCRO_27-CR-21-19723_Order for Conditional Release_2021-12-01_20240430082957.pdf</v>
      </c>
      <c r="C1618" s="1" t="n">
        <v>3</v>
      </c>
      <c r="D1618" s="1" t="n">
        <v>1</v>
      </c>
      <c r="E1618" s="1" t="n">
        <v>1</v>
      </c>
      <c r="F1618" s="3" t="s">
        <v>20</v>
      </c>
      <c r="G1618" s="3" t="s">
        <v>6665</v>
      </c>
      <c r="H1618" s="1" t="s">
        <v>22</v>
      </c>
      <c r="I1618" s="1" t="n">
        <v>20240430082957</v>
      </c>
      <c r="J1618" s="3" t="s">
        <v>6666</v>
      </c>
      <c r="K1618" s="3" t="s">
        <v>6667</v>
      </c>
      <c r="L1618" s="3" t="s">
        <v>6668</v>
      </c>
      <c r="M1618" s="3" t="n">
        <v>195992</v>
      </c>
      <c r="N1618" s="3" t="s">
        <v>54</v>
      </c>
      <c r="O1618" s="1" t="n">
        <v>179606</v>
      </c>
      <c r="P1618" s="1" t="n">
        <v>91.64</v>
      </c>
      <c r="Q1618" s="1" t="s">
        <v>20</v>
      </c>
      <c r="R1618" s="1" t="s">
        <v>27</v>
      </c>
      <c r="S1618" s="1" t="s">
        <v>28</v>
      </c>
      <c r="T1618" s="1" t="s">
        <v>29</v>
      </c>
    </row>
    <row r="1619" customFormat="false" ht="18.7" hidden="false" customHeight="true" outlineLevel="0" collapsed="false">
      <c r="A1619" s="1" t="n">
        <v>1618</v>
      </c>
      <c r="B1619" s="6" t="str">
        <f aca="false">HYPERLINK("https://mncourtfraud.com/file/MCRO_27-CR-21-19723_Order for Conditional Release_2022-07-11_20240430082952.pdf","MCRO_27-CR-21-19723_Order for Conditional Release_2022-07-11_20240430082952.pdf")</f>
        <v>MCRO_27-CR-21-19723_Order for Conditional Release_2022-07-11_20240430082952.pdf</v>
      </c>
      <c r="C1619" s="1" t="n">
        <v>4</v>
      </c>
      <c r="D1619" s="1" t="n">
        <v>1</v>
      </c>
      <c r="E1619" s="1" t="n">
        <v>1</v>
      </c>
      <c r="F1619" s="3" t="s">
        <v>20</v>
      </c>
      <c r="G1619" s="3" t="s">
        <v>6669</v>
      </c>
      <c r="H1619" s="1" t="s">
        <v>22</v>
      </c>
      <c r="I1619" s="1" t="n">
        <v>20240430082952</v>
      </c>
      <c r="J1619" s="3" t="s">
        <v>6670</v>
      </c>
      <c r="K1619" s="3" t="s">
        <v>6671</v>
      </c>
      <c r="L1619" s="3" t="s">
        <v>6672</v>
      </c>
      <c r="M1619" s="3" t="n">
        <v>149759</v>
      </c>
      <c r="N1619" s="3" t="s">
        <v>128</v>
      </c>
      <c r="O1619" s="1" t="n">
        <v>133373</v>
      </c>
      <c r="P1619" s="1" t="n">
        <v>89.06</v>
      </c>
      <c r="Q1619" s="1" t="s">
        <v>20</v>
      </c>
      <c r="R1619" s="1" t="s">
        <v>27</v>
      </c>
      <c r="S1619" s="1" t="s">
        <v>28</v>
      </c>
      <c r="T1619" s="1" t="s">
        <v>29</v>
      </c>
    </row>
    <row r="1620" customFormat="false" ht="18.7" hidden="false" customHeight="true" outlineLevel="0" collapsed="false">
      <c r="A1620" s="1" t="n">
        <v>1619</v>
      </c>
      <c r="B1620" s="6" t="str">
        <f aca="false">HYPERLINK("https://mncourtfraud.com/file/MCRO_27-CR-21-19723_Order for Conditional Release_2022-11-04_20240430082945.pdf","MCRO_27-CR-21-19723_Order for Conditional Release_2022-11-04_20240430082945.pdf")</f>
        <v>MCRO_27-CR-21-19723_Order for Conditional Release_2022-11-04_20240430082945.pdf</v>
      </c>
      <c r="C1620" s="1" t="n">
        <v>5</v>
      </c>
      <c r="D1620" s="1" t="n">
        <v>1</v>
      </c>
      <c r="E1620" s="1" t="n">
        <v>1</v>
      </c>
      <c r="F1620" s="3" t="s">
        <v>20</v>
      </c>
      <c r="G1620" s="3" t="s">
        <v>6673</v>
      </c>
      <c r="H1620" s="1" t="s">
        <v>22</v>
      </c>
      <c r="I1620" s="1" t="n">
        <v>20240430082945</v>
      </c>
      <c r="J1620" s="3" t="s">
        <v>6674</v>
      </c>
      <c r="K1620" s="3" t="s">
        <v>6675</v>
      </c>
      <c r="L1620" s="3" t="s">
        <v>6676</v>
      </c>
      <c r="M1620" s="3" t="n">
        <v>790737</v>
      </c>
      <c r="N1620" s="3" t="s">
        <v>968</v>
      </c>
      <c r="O1620" s="1" t="n">
        <v>774351</v>
      </c>
      <c r="P1620" s="1" t="n">
        <v>97.93</v>
      </c>
      <c r="Q1620" s="1" t="s">
        <v>20</v>
      </c>
      <c r="R1620" s="1" t="s">
        <v>27</v>
      </c>
      <c r="S1620" s="1" t="s">
        <v>28</v>
      </c>
      <c r="T1620" s="1" t="s">
        <v>29</v>
      </c>
    </row>
    <row r="1621" customFormat="false" ht="18.7" hidden="false" customHeight="true" outlineLevel="0" collapsed="false">
      <c r="A1621" s="1" t="n">
        <v>1620</v>
      </c>
      <c r="B1621" s="6" t="str">
        <f aca="false">HYPERLINK("https://mncourtfraud.com/file/MCRO_27-CR-21-19723_Order for Conditional Release_2023-03-13_20240430082941.pdf","MCRO_27-CR-21-19723_Order for Conditional Release_2023-03-13_20240430082941.pdf")</f>
        <v>MCRO_27-CR-21-19723_Order for Conditional Release_2023-03-13_20240430082941.pdf</v>
      </c>
      <c r="C1621" s="1" t="n">
        <v>4</v>
      </c>
      <c r="D1621" s="1" t="n">
        <v>1</v>
      </c>
      <c r="E1621" s="1" t="n">
        <v>1</v>
      </c>
      <c r="F1621" s="3" t="s">
        <v>20</v>
      </c>
      <c r="G1621" s="3" t="s">
        <v>6677</v>
      </c>
      <c r="H1621" s="1" t="s">
        <v>22</v>
      </c>
      <c r="I1621" s="1" t="n">
        <v>20240430082941</v>
      </c>
      <c r="J1621" s="3" t="s">
        <v>6678</v>
      </c>
      <c r="K1621" s="3" t="s">
        <v>6679</v>
      </c>
      <c r="L1621" s="3" t="s">
        <v>6680</v>
      </c>
      <c r="M1621" s="3" t="n">
        <v>866661</v>
      </c>
      <c r="N1621" s="3" t="s">
        <v>158</v>
      </c>
      <c r="O1621" s="1" t="n">
        <v>850275</v>
      </c>
      <c r="P1621" s="1" t="n">
        <v>98.11</v>
      </c>
      <c r="Q1621" s="1" t="s">
        <v>20</v>
      </c>
      <c r="R1621" s="1" t="s">
        <v>27</v>
      </c>
      <c r="S1621" s="1" t="s">
        <v>28</v>
      </c>
      <c r="T1621" s="1" t="s">
        <v>29</v>
      </c>
    </row>
    <row r="1622" customFormat="false" ht="18.7" hidden="false" customHeight="true" outlineLevel="0" collapsed="false">
      <c r="A1622" s="1" t="n">
        <v>1621</v>
      </c>
      <c r="B1622" s="6" t="str">
        <f aca="false">HYPERLINK("https://mncourtfraud.com/file/MCRO_27-CR-21-19723_Order for Conditional Release_2023-06-08_20240430082936.pdf","MCRO_27-CR-21-19723_Order for Conditional Release_2023-06-08_20240430082936.pdf")</f>
        <v>MCRO_27-CR-21-19723_Order for Conditional Release_2023-06-08_20240430082936.pdf</v>
      </c>
      <c r="C1622" s="1" t="n">
        <v>4</v>
      </c>
      <c r="D1622" s="1" t="n">
        <v>1</v>
      </c>
      <c r="E1622" s="1" t="n">
        <v>1</v>
      </c>
      <c r="F1622" s="3" t="s">
        <v>20</v>
      </c>
      <c r="G1622" s="3" t="s">
        <v>6681</v>
      </c>
      <c r="H1622" s="1" t="s">
        <v>22</v>
      </c>
      <c r="I1622" s="1" t="n">
        <v>20240430082936</v>
      </c>
      <c r="J1622" s="3" t="s">
        <v>6682</v>
      </c>
      <c r="K1622" s="3" t="s">
        <v>6683</v>
      </c>
      <c r="L1622" s="3" t="s">
        <v>6684</v>
      </c>
      <c r="M1622" s="3" t="n">
        <v>901021</v>
      </c>
      <c r="N1622" s="3" t="s">
        <v>158</v>
      </c>
      <c r="O1622" s="1" t="n">
        <v>884635</v>
      </c>
      <c r="P1622" s="1" t="n">
        <v>98.18</v>
      </c>
      <c r="Q1622" s="1" t="s">
        <v>20</v>
      </c>
      <c r="R1622" s="1" t="s">
        <v>27</v>
      </c>
      <c r="S1622" s="1" t="s">
        <v>28</v>
      </c>
      <c r="T1622" s="1" t="s">
        <v>29</v>
      </c>
    </row>
    <row r="1623" customFormat="false" ht="18.7" hidden="false" customHeight="true" outlineLevel="0" collapsed="false">
      <c r="A1623" s="1" t="n">
        <v>1622</v>
      </c>
      <c r="B1623" s="6" t="str">
        <f aca="false">HYPERLINK("https://mncourtfraud.com/file/MCRO_27-CR-21-19723_Order for Conditional Release_2023-06-23_20240430082934.pdf","MCRO_27-CR-21-19723_Order for Conditional Release_2023-06-23_20240430082934.pdf")</f>
        <v>MCRO_27-CR-21-19723_Order for Conditional Release_2023-06-23_20240430082934.pdf</v>
      </c>
      <c r="C1623" s="1" t="n">
        <v>3</v>
      </c>
      <c r="D1623" s="1" t="n">
        <v>1</v>
      </c>
      <c r="E1623" s="1" t="n">
        <v>1</v>
      </c>
      <c r="F1623" s="3" t="s">
        <v>20</v>
      </c>
      <c r="G1623" s="3" t="s">
        <v>6685</v>
      </c>
      <c r="H1623" s="1" t="s">
        <v>22</v>
      </c>
      <c r="I1623" s="1" t="n">
        <v>20240430082934</v>
      </c>
      <c r="J1623" s="3" t="s">
        <v>6686</v>
      </c>
      <c r="K1623" s="3" t="s">
        <v>6687</v>
      </c>
      <c r="L1623" s="3" t="s">
        <v>6688</v>
      </c>
      <c r="M1623" s="3" t="n">
        <v>672435</v>
      </c>
      <c r="N1623" s="3" t="s">
        <v>1330</v>
      </c>
      <c r="O1623" s="1" t="n">
        <v>656049</v>
      </c>
      <c r="P1623" s="1" t="n">
        <v>97.56</v>
      </c>
      <c r="Q1623" s="1" t="s">
        <v>20</v>
      </c>
      <c r="R1623" s="1" t="s">
        <v>27</v>
      </c>
      <c r="S1623" s="1" t="s">
        <v>28</v>
      </c>
      <c r="T1623" s="1" t="s">
        <v>29</v>
      </c>
    </row>
    <row r="1624" customFormat="false" ht="18.7" hidden="false" customHeight="true" outlineLevel="0" collapsed="false">
      <c r="A1624" s="1" t="n">
        <v>1623</v>
      </c>
      <c r="B1624" s="6" t="str">
        <f aca="false">HYPERLINK("https://mncourtfraud.com/file/MCRO_27-CR-21-19723_Order for Conditional Release_2024-03-11_20240430082927.pdf","MCRO_27-CR-21-19723_Order for Conditional Release_2024-03-11_20240430082927.pdf")</f>
        <v>MCRO_27-CR-21-19723_Order for Conditional Release_2024-03-11_20240430082927.pdf</v>
      </c>
      <c r="C1624" s="1" t="n">
        <v>4</v>
      </c>
      <c r="D1624" s="1" t="n">
        <v>1</v>
      </c>
      <c r="E1624" s="1" t="n">
        <v>1</v>
      </c>
      <c r="F1624" s="3" t="s">
        <v>20</v>
      </c>
      <c r="G1624" s="3" t="s">
        <v>6689</v>
      </c>
      <c r="H1624" s="1" t="s">
        <v>22</v>
      </c>
      <c r="I1624" s="1" t="n">
        <v>20240430082927</v>
      </c>
      <c r="J1624" s="3" t="s">
        <v>6690</v>
      </c>
      <c r="K1624" s="3" t="s">
        <v>6691</v>
      </c>
      <c r="L1624" s="3" t="s">
        <v>6692</v>
      </c>
      <c r="M1624" s="3" t="n">
        <v>123961</v>
      </c>
      <c r="N1624" s="3" t="s">
        <v>435</v>
      </c>
      <c r="O1624" s="1" t="n">
        <v>107575</v>
      </c>
      <c r="P1624" s="1" t="n">
        <v>86.78</v>
      </c>
      <c r="Q1624" s="1" t="s">
        <v>20</v>
      </c>
      <c r="R1624" s="1" t="s">
        <v>27</v>
      </c>
      <c r="S1624" s="1" t="s">
        <v>28</v>
      </c>
      <c r="T1624" s="1" t="s">
        <v>29</v>
      </c>
    </row>
    <row r="1625" customFormat="false" ht="18.7" hidden="false" customHeight="true" outlineLevel="0" collapsed="false">
      <c r="A1625" s="1" t="n">
        <v>1624</v>
      </c>
      <c r="B1625" s="6" t="str">
        <f aca="false">HYPERLINK("https://mncourtfraud.com/file/MCRO_27-CR-21-19723_Order-Other_2022-11-04_20240430082944.pdf","MCRO_27-CR-21-19723_Order-Other_2022-11-04_20240430082944.pdf")</f>
        <v>MCRO_27-CR-21-19723_Order-Other_2022-11-04_20240430082944.pdf</v>
      </c>
      <c r="C1625" s="1" t="n">
        <v>5</v>
      </c>
      <c r="D1625" s="1" t="n">
        <v>1</v>
      </c>
      <c r="E1625" s="1" t="n">
        <v>1</v>
      </c>
      <c r="F1625" s="3" t="s">
        <v>20</v>
      </c>
      <c r="G1625" s="3" t="s">
        <v>6693</v>
      </c>
      <c r="H1625" s="1" t="s">
        <v>22</v>
      </c>
      <c r="I1625" s="1" t="n">
        <v>20240430082944</v>
      </c>
      <c r="J1625" s="3" t="s">
        <v>6694</v>
      </c>
      <c r="K1625" s="3" t="s">
        <v>6695</v>
      </c>
      <c r="L1625" s="3" t="s">
        <v>6696</v>
      </c>
      <c r="M1625" s="3" t="n">
        <v>810649</v>
      </c>
      <c r="N1625" s="3" t="s">
        <v>6697</v>
      </c>
      <c r="O1625" s="1" t="n">
        <v>794263</v>
      </c>
      <c r="P1625" s="1" t="n">
        <v>97.98</v>
      </c>
      <c r="Q1625" s="1" t="s">
        <v>20</v>
      </c>
      <c r="R1625" s="1" t="s">
        <v>27</v>
      </c>
      <c r="S1625" s="1" t="s">
        <v>28</v>
      </c>
      <c r="T1625" s="1" t="s">
        <v>29</v>
      </c>
    </row>
    <row r="1626" customFormat="false" ht="18.7" hidden="false" customHeight="true" outlineLevel="0" collapsed="false">
      <c r="A1626" s="1" t="n">
        <v>1625</v>
      </c>
      <c r="B1626" s="6" t="str">
        <f aca="false">HYPERLINK("https://mncourtfraud.com/file/MCRO_27-CR-21-19723_Order Revoking Interim Conditions of Release_2023-05-10_20240430082937.pdf","MCRO_27-CR-21-19723_Order Revoking Interim Conditions of Release_2023-05-10_20240430082937.pdf")</f>
        <v>MCRO_27-CR-21-19723_Order Revoking Interim Conditions of Release_2023-05-10_20240430082937.pdf</v>
      </c>
      <c r="C1626" s="1" t="n">
        <v>5</v>
      </c>
      <c r="D1626" s="1" t="n">
        <v>4</v>
      </c>
      <c r="E1626" s="1" t="n">
        <v>4</v>
      </c>
      <c r="F1626" s="3" t="s">
        <v>20</v>
      </c>
      <c r="G1626" s="3" t="s">
        <v>6698</v>
      </c>
      <c r="H1626" s="1" t="s">
        <v>22</v>
      </c>
      <c r="I1626" s="1" t="n">
        <v>20240430082937</v>
      </c>
      <c r="J1626" s="3" t="s">
        <v>6699</v>
      </c>
      <c r="K1626" s="3" t="s">
        <v>6700</v>
      </c>
      <c r="L1626" s="3" t="s">
        <v>6701</v>
      </c>
      <c r="M1626" s="3" t="n">
        <v>396580</v>
      </c>
      <c r="N1626" s="3" t="s">
        <v>1145</v>
      </c>
      <c r="O1626" s="1" t="n">
        <v>380194</v>
      </c>
      <c r="P1626" s="1" t="n">
        <v>95.87</v>
      </c>
      <c r="Q1626" s="1" t="s">
        <v>20</v>
      </c>
      <c r="R1626" s="1" t="s">
        <v>27</v>
      </c>
      <c r="S1626" s="1" t="s">
        <v>28</v>
      </c>
      <c r="T1626" s="1" t="s">
        <v>29</v>
      </c>
    </row>
    <row r="1627" customFormat="false" ht="18.7" hidden="false" customHeight="true" outlineLevel="0" collapsed="false">
      <c r="A1627" s="1" t="n">
        <v>1626</v>
      </c>
      <c r="B1627" s="6" t="str">
        <f aca="false">HYPERLINK("https://mncourtfraud.com/file/MCRO_27-CR-21-19723_Probation Violation Order for Detention_2022-08-08_20240430082948.pdf","MCRO_27-CR-21-19723_Probation Violation Order for Detention_2022-08-08_20240430082948.pdf")</f>
        <v>MCRO_27-CR-21-19723_Probation Violation Order for Detention_2022-08-08_20240430082948.pdf</v>
      </c>
      <c r="C1627" s="1" t="n">
        <v>5</v>
      </c>
      <c r="D1627" s="1" t="n">
        <v>3</v>
      </c>
      <c r="E1627" s="1" t="n">
        <v>3</v>
      </c>
      <c r="F1627" s="3" t="s">
        <v>20</v>
      </c>
      <c r="G1627" s="3" t="s">
        <v>6702</v>
      </c>
      <c r="H1627" s="1" t="s">
        <v>22</v>
      </c>
      <c r="I1627" s="1" t="n">
        <v>20240430082948</v>
      </c>
      <c r="J1627" s="3" t="s">
        <v>6703</v>
      </c>
      <c r="K1627" s="3" t="s">
        <v>6704</v>
      </c>
      <c r="L1627" s="3" t="s">
        <v>6705</v>
      </c>
      <c r="M1627" s="3" t="n">
        <v>344642</v>
      </c>
      <c r="N1627" s="3" t="s">
        <v>167</v>
      </c>
      <c r="O1627" s="1" t="n">
        <v>328256</v>
      </c>
      <c r="P1627" s="1" t="n">
        <v>95.25</v>
      </c>
      <c r="Q1627" s="1" t="s">
        <v>20</v>
      </c>
      <c r="R1627" s="1" t="s">
        <v>27</v>
      </c>
      <c r="S1627" s="1" t="s">
        <v>28</v>
      </c>
      <c r="T1627" s="1" t="s">
        <v>29</v>
      </c>
    </row>
    <row r="1628" customFormat="false" ht="18.7" hidden="false" customHeight="true" outlineLevel="0" collapsed="false">
      <c r="A1628" s="1" t="n">
        <v>1627</v>
      </c>
      <c r="B1628" s="6" t="str">
        <f aca="false">HYPERLINK("https://mncourtfraud.com/file/MCRO_27-CR-21-19723_Proposed Order or Document_2022-08-08_20240430082947.pdf","MCRO_27-CR-21-19723_Proposed Order or Document_2022-08-08_20240430082947.pdf")</f>
        <v>MCRO_27-CR-21-19723_Proposed Order or Document_2022-08-08_20240430082947.pdf</v>
      </c>
      <c r="C1628" s="1" t="n">
        <v>3</v>
      </c>
      <c r="D1628" s="1" t="n">
        <v>1</v>
      </c>
      <c r="E1628" s="1" t="n">
        <v>1</v>
      </c>
      <c r="F1628" s="3" t="s">
        <v>20</v>
      </c>
      <c r="G1628" s="3" t="s">
        <v>6706</v>
      </c>
      <c r="H1628" s="1" t="s">
        <v>22</v>
      </c>
      <c r="I1628" s="1" t="n">
        <v>20240430082947</v>
      </c>
      <c r="J1628" s="3" t="s">
        <v>6707</v>
      </c>
      <c r="K1628" s="3" t="s">
        <v>6708</v>
      </c>
      <c r="L1628" s="3" t="s">
        <v>6709</v>
      </c>
      <c r="M1628" s="3" t="n">
        <v>172205</v>
      </c>
      <c r="N1628" s="3" t="s">
        <v>1512</v>
      </c>
      <c r="O1628" s="1" t="n">
        <v>155819</v>
      </c>
      <c r="P1628" s="1" t="n">
        <v>90.48</v>
      </c>
      <c r="Q1628" s="1" t="s">
        <v>20</v>
      </c>
      <c r="R1628" s="1" t="s">
        <v>27</v>
      </c>
      <c r="S1628" s="1" t="s">
        <v>28</v>
      </c>
      <c r="T1628" s="1" t="s">
        <v>29</v>
      </c>
    </row>
    <row r="1629" customFormat="false" ht="18.7" hidden="false" customHeight="true" outlineLevel="0" collapsed="false">
      <c r="A1629" s="1" t="n">
        <v>1628</v>
      </c>
      <c r="B1629" s="6" t="str">
        <f aca="false">HYPERLINK("https://mncourtfraud.com/file/MCRO_27-CR-21-19723_Proposed Order or Document_2022-12-05_20240430082943.pdf","MCRO_27-CR-21-19723_Proposed Order or Document_2022-12-05_20240430082943.pdf")</f>
        <v>MCRO_27-CR-21-19723_Proposed Order or Document_2022-12-05_20240430082943.pdf</v>
      </c>
      <c r="C1629" s="1" t="n">
        <v>3</v>
      </c>
      <c r="D1629" s="1" t="n">
        <v>1</v>
      </c>
      <c r="E1629" s="1" t="n">
        <v>1</v>
      </c>
      <c r="F1629" s="3" t="s">
        <v>20</v>
      </c>
      <c r="G1629" s="3" t="s">
        <v>6710</v>
      </c>
      <c r="H1629" s="1" t="s">
        <v>22</v>
      </c>
      <c r="I1629" s="1" t="n">
        <v>20240430082943</v>
      </c>
      <c r="J1629" s="3" t="s">
        <v>6711</v>
      </c>
      <c r="K1629" s="3" t="s">
        <v>6712</v>
      </c>
      <c r="L1629" s="3" t="s">
        <v>6713</v>
      </c>
      <c r="M1629" s="3" t="n">
        <v>178955</v>
      </c>
      <c r="N1629" s="3" t="s">
        <v>1115</v>
      </c>
      <c r="O1629" s="1" t="n">
        <v>162569</v>
      </c>
      <c r="P1629" s="1" t="n">
        <v>90.84</v>
      </c>
      <c r="Q1629" s="1" t="s">
        <v>20</v>
      </c>
      <c r="R1629" s="1" t="s">
        <v>27</v>
      </c>
      <c r="S1629" s="1" t="s">
        <v>28</v>
      </c>
      <c r="T1629" s="1" t="s">
        <v>29</v>
      </c>
    </row>
    <row r="1630" customFormat="false" ht="18.7" hidden="false" customHeight="true" outlineLevel="0" collapsed="false">
      <c r="A1630" s="1" t="n">
        <v>1629</v>
      </c>
      <c r="B1630" s="6" t="str">
        <f aca="false">HYPERLINK("https://mncourtfraud.com/file/MCRO_27-CR-21-19723_Proposed Order or Document_2023-05-10_20240430082938.pdf","MCRO_27-CR-21-19723_Proposed Order or Document_2023-05-10_20240430082938.pdf")</f>
        <v>MCRO_27-CR-21-19723_Proposed Order or Document_2023-05-10_20240430082938.pdf</v>
      </c>
      <c r="C1630" s="1" t="n">
        <v>4</v>
      </c>
      <c r="D1630" s="1" t="n">
        <v>1</v>
      </c>
      <c r="E1630" s="1" t="n">
        <v>1</v>
      </c>
      <c r="F1630" s="3" t="s">
        <v>20</v>
      </c>
      <c r="G1630" s="3" t="s">
        <v>6714</v>
      </c>
      <c r="H1630" s="1" t="s">
        <v>22</v>
      </c>
      <c r="I1630" s="1" t="n">
        <v>20240430082938</v>
      </c>
      <c r="J1630" s="3" t="s">
        <v>6715</v>
      </c>
      <c r="K1630" s="3" t="s">
        <v>6716</v>
      </c>
      <c r="L1630" s="3" t="s">
        <v>6717</v>
      </c>
      <c r="M1630" s="3" t="n">
        <v>212538</v>
      </c>
      <c r="N1630" s="3" t="s">
        <v>251</v>
      </c>
      <c r="O1630" s="1" t="n">
        <v>196152</v>
      </c>
      <c r="P1630" s="1" t="n">
        <v>92.29</v>
      </c>
      <c r="Q1630" s="1" t="s">
        <v>20</v>
      </c>
      <c r="R1630" s="1" t="s">
        <v>27</v>
      </c>
      <c r="S1630" s="1" t="s">
        <v>28</v>
      </c>
      <c r="T1630" s="1" t="s">
        <v>29</v>
      </c>
    </row>
    <row r="1631" customFormat="false" ht="18.7" hidden="false" customHeight="true" outlineLevel="0" collapsed="false">
      <c r="A1631" s="1" t="n">
        <v>1630</v>
      </c>
      <c r="B1631" s="6" t="str">
        <f aca="false">HYPERLINK("https://mncourtfraud.com/file/MCRO_27-CR-21-19723_Returned Mail_2024-04-02_20240430082925.pdf","MCRO_27-CR-21-19723_Returned Mail_2024-04-02_20240430082925.pdf")</f>
        <v>MCRO_27-CR-21-19723_Returned Mail_2024-04-02_20240430082925.pdf</v>
      </c>
      <c r="C1631" s="1" t="n">
        <v>4</v>
      </c>
      <c r="D1631" s="1" t="n">
        <v>1</v>
      </c>
      <c r="E1631" s="1" t="n">
        <v>1</v>
      </c>
      <c r="F1631" s="3" t="s">
        <v>20</v>
      </c>
      <c r="G1631" s="3" t="s">
        <v>6718</v>
      </c>
      <c r="H1631" s="1" t="s">
        <v>22</v>
      </c>
      <c r="I1631" s="1" t="n">
        <v>20240430082925</v>
      </c>
      <c r="J1631" s="3" t="s">
        <v>6719</v>
      </c>
      <c r="K1631" s="3" t="s">
        <v>6720</v>
      </c>
      <c r="L1631" s="3" t="s">
        <v>6721</v>
      </c>
      <c r="M1631" s="3" t="n">
        <v>285561</v>
      </c>
      <c r="N1631" s="3" t="s">
        <v>158</v>
      </c>
      <c r="O1631" s="1" t="n">
        <v>269175</v>
      </c>
      <c r="P1631" s="1" t="n">
        <v>94.26</v>
      </c>
      <c r="Q1631" s="1" t="s">
        <v>20</v>
      </c>
      <c r="R1631" s="1" t="s">
        <v>27</v>
      </c>
      <c r="S1631" s="1" t="s">
        <v>28</v>
      </c>
      <c r="T1631" s="1" t="s">
        <v>29</v>
      </c>
    </row>
    <row r="1632" customFormat="false" ht="18.7" hidden="false" customHeight="true" outlineLevel="0" collapsed="false">
      <c r="A1632" s="1" t="n">
        <v>1631</v>
      </c>
      <c r="B1632" s="6" t="str">
        <f aca="false">HYPERLINK("https://mncourtfraud.com/file/MCRO_27-CR-21-1977_Demand or Request for Discovery_2021-04-07_20240430075626.pdf","MCRO_27-CR-21-1977_Demand or Request for Discovery_2021-04-07_20240430075626.pdf")</f>
        <v>MCRO_27-CR-21-1977_Demand or Request for Discovery_2021-04-07_20240430075626.pdf</v>
      </c>
      <c r="C1632" s="1" t="n">
        <v>3</v>
      </c>
      <c r="D1632" s="1" t="n">
        <v>1</v>
      </c>
      <c r="E1632" s="1" t="n">
        <v>1</v>
      </c>
      <c r="F1632" s="3" t="s">
        <v>20</v>
      </c>
      <c r="G1632" s="3" t="s">
        <v>6722</v>
      </c>
      <c r="H1632" s="1" t="s">
        <v>22</v>
      </c>
      <c r="I1632" s="1" t="n">
        <v>20240430075626</v>
      </c>
      <c r="J1632" s="3" t="s">
        <v>6723</v>
      </c>
      <c r="K1632" s="3" t="s">
        <v>6724</v>
      </c>
      <c r="L1632" s="3" t="s">
        <v>6725</v>
      </c>
      <c r="M1632" s="3" t="n">
        <v>413537</v>
      </c>
      <c r="N1632" s="3" t="s">
        <v>6726</v>
      </c>
      <c r="O1632" s="1" t="n">
        <v>397151</v>
      </c>
      <c r="P1632" s="1" t="n">
        <v>96.04</v>
      </c>
      <c r="Q1632" s="1" t="s">
        <v>20</v>
      </c>
      <c r="R1632" s="1" t="s">
        <v>27</v>
      </c>
      <c r="S1632" s="1" t="s">
        <v>28</v>
      </c>
      <c r="T1632" s="1" t="s">
        <v>29</v>
      </c>
    </row>
    <row r="1633" customFormat="false" ht="18.7" hidden="false" customHeight="true" outlineLevel="0" collapsed="false">
      <c r="A1633" s="1" t="n">
        <v>1632</v>
      </c>
      <c r="B1633" s="6" t="str">
        <f aca="false">HYPERLINK("https://mncourtfraud.com/file/MCRO_27-CR-21-1977_E-filed Comp-Summons_2021-01-29_20240430075633.pdf","MCRO_27-CR-21-1977_E-filed Comp-Summons_2021-01-29_20240430075633.pdf")</f>
        <v>MCRO_27-CR-21-1977_E-filed Comp-Summons_2021-01-29_20240430075633.pdf</v>
      </c>
      <c r="C1633" s="1" t="n">
        <v>4</v>
      </c>
      <c r="D1633" s="1" t="n">
        <v>2</v>
      </c>
      <c r="E1633" s="1" t="n">
        <v>2</v>
      </c>
      <c r="F1633" s="3" t="s">
        <v>20</v>
      </c>
      <c r="G1633" s="3" t="s">
        <v>6727</v>
      </c>
      <c r="H1633" s="1" t="s">
        <v>22</v>
      </c>
      <c r="I1633" s="1" t="n">
        <v>20240430075633</v>
      </c>
      <c r="J1633" s="3" t="s">
        <v>6728</v>
      </c>
      <c r="K1633" s="3" t="s">
        <v>6729</v>
      </c>
      <c r="L1633" s="3" t="s">
        <v>6730</v>
      </c>
      <c r="M1633" s="3" t="n">
        <v>498390</v>
      </c>
      <c r="N1633" s="3" t="s">
        <v>5604</v>
      </c>
      <c r="O1633" s="1" t="n">
        <v>482004</v>
      </c>
      <c r="P1633" s="1" t="n">
        <v>96.71</v>
      </c>
      <c r="Q1633" s="1" t="s">
        <v>20</v>
      </c>
      <c r="R1633" s="1" t="s">
        <v>27</v>
      </c>
      <c r="S1633" s="1" t="s">
        <v>28</v>
      </c>
      <c r="T1633" s="1" t="s">
        <v>29</v>
      </c>
    </row>
    <row r="1634" customFormat="false" ht="18.7" hidden="false" customHeight="true" outlineLevel="0" collapsed="false">
      <c r="A1634" s="1" t="n">
        <v>1633</v>
      </c>
      <c r="B1634" s="6" t="str">
        <f aca="false">HYPERLINK("https://mncourtfraud.com/file/MCRO_27-CR-21-1977_Findings of Fact, Conclusions of Law and Order_2022-10-27_20240430075604.pdf","MCRO_27-CR-21-1977_Findings of Fact, Conclusions of Law and Order_2022-10-27_20240430075604.pdf")</f>
        <v>MCRO_27-CR-21-1977_Findings of Fact, Conclusions of Law and Order_2022-10-27_20240430075604.pdf</v>
      </c>
      <c r="C1634" s="1" t="n">
        <v>4</v>
      </c>
      <c r="D1634" s="1" t="n">
        <v>1</v>
      </c>
      <c r="E1634" s="1" t="n">
        <v>1</v>
      </c>
      <c r="F1634" s="3" t="s">
        <v>20</v>
      </c>
      <c r="G1634" s="3" t="s">
        <v>6731</v>
      </c>
      <c r="H1634" s="1" t="s">
        <v>22</v>
      </c>
      <c r="I1634" s="1" t="n">
        <v>20240430075604</v>
      </c>
      <c r="J1634" s="3" t="s">
        <v>6732</v>
      </c>
      <c r="K1634" s="3" t="s">
        <v>6733</v>
      </c>
      <c r="L1634" s="3" t="s">
        <v>6734</v>
      </c>
      <c r="M1634" s="3" t="n">
        <v>351971</v>
      </c>
      <c r="N1634" s="3" t="s">
        <v>619</v>
      </c>
      <c r="O1634" s="1" t="n">
        <v>335585</v>
      </c>
      <c r="P1634" s="1" t="n">
        <v>95.34</v>
      </c>
      <c r="Q1634" s="1" t="s">
        <v>20</v>
      </c>
      <c r="R1634" s="1" t="s">
        <v>27</v>
      </c>
      <c r="S1634" s="1" t="s">
        <v>28</v>
      </c>
      <c r="T1634" s="1" t="s">
        <v>29</v>
      </c>
    </row>
    <row r="1635" customFormat="false" ht="18.7" hidden="false" customHeight="true" outlineLevel="0" collapsed="false">
      <c r="A1635" s="1" t="n">
        <v>1634</v>
      </c>
      <c r="B1635" s="6" t="str">
        <f aca="false">HYPERLINK("https://mncourtfraud.com/file/MCRO_27-CR-21-1977_Law Enforcement Bail Bond Receipt_2022-03-22_20240430075616.pdf","MCRO_27-CR-21-1977_Law Enforcement Bail Bond Receipt_2022-03-22_20240430075616.pdf")</f>
        <v>MCRO_27-CR-21-1977_Law Enforcement Bail Bond Receipt_2022-03-22_20240430075616.pdf</v>
      </c>
      <c r="C1635" s="1" t="n">
        <v>4</v>
      </c>
      <c r="D1635" s="1" t="n">
        <v>1</v>
      </c>
      <c r="E1635" s="1" t="n">
        <v>1</v>
      </c>
      <c r="F1635" s="3" t="s">
        <v>20</v>
      </c>
      <c r="G1635" s="3" t="s">
        <v>6735</v>
      </c>
      <c r="H1635" s="1" t="s">
        <v>22</v>
      </c>
      <c r="I1635" s="1" t="n">
        <v>20240430075616</v>
      </c>
      <c r="J1635" s="3" t="s">
        <v>6736</v>
      </c>
      <c r="K1635" s="3" t="s">
        <v>6737</v>
      </c>
      <c r="L1635" s="3" t="s">
        <v>6738</v>
      </c>
      <c r="M1635" s="3" t="n">
        <v>518081</v>
      </c>
      <c r="N1635" s="3" t="s">
        <v>456</v>
      </c>
      <c r="O1635" s="1" t="n">
        <v>501695</v>
      </c>
      <c r="P1635" s="1" t="n">
        <v>96.84</v>
      </c>
      <c r="Q1635" s="1" t="s">
        <v>20</v>
      </c>
      <c r="R1635" s="1" t="s">
        <v>27</v>
      </c>
      <c r="S1635" s="1" t="s">
        <v>28</v>
      </c>
      <c r="T1635" s="1" t="s">
        <v>29</v>
      </c>
    </row>
    <row r="1636" customFormat="false" ht="18.7" hidden="false" customHeight="true" outlineLevel="0" collapsed="false">
      <c r="A1636" s="1" t="n">
        <v>1635</v>
      </c>
      <c r="B1636" s="6" t="str">
        <f aca="false">HYPERLINK("https://mncourtfraud.com/file/MCRO_27-CR-21-1977_Law Enforcement Notice of Release and Appearance_2022-02-10_20240430075619.pdf","MCRO_27-CR-21-1977_Law Enforcement Notice of Release and Appearance_2022-02-10_20240430075619.pdf")</f>
        <v>MCRO_27-CR-21-1977_Law Enforcement Notice of Release and Appearance_2022-02-10_20240430075619.pdf</v>
      </c>
      <c r="C1636" s="1" t="n">
        <v>4</v>
      </c>
      <c r="D1636" s="1" t="n">
        <v>1</v>
      </c>
      <c r="E1636" s="1" t="n">
        <v>1</v>
      </c>
      <c r="F1636" s="3" t="s">
        <v>20</v>
      </c>
      <c r="G1636" s="3" t="s">
        <v>6739</v>
      </c>
      <c r="H1636" s="1" t="s">
        <v>22</v>
      </c>
      <c r="I1636" s="1" t="n">
        <v>20240430075619</v>
      </c>
      <c r="J1636" s="3" t="s">
        <v>6740</v>
      </c>
      <c r="K1636" s="3" t="s">
        <v>6741</v>
      </c>
      <c r="L1636" s="3" t="s">
        <v>6742</v>
      </c>
      <c r="M1636" s="3" t="n">
        <v>167034</v>
      </c>
      <c r="N1636" s="3" t="s">
        <v>1065</v>
      </c>
      <c r="O1636" s="1" t="n">
        <v>150648</v>
      </c>
      <c r="P1636" s="1" t="n">
        <v>90.19</v>
      </c>
      <c r="Q1636" s="1" t="s">
        <v>20</v>
      </c>
      <c r="R1636" s="1" t="s">
        <v>27</v>
      </c>
      <c r="S1636" s="1" t="s">
        <v>28</v>
      </c>
      <c r="T1636" s="1" t="s">
        <v>29</v>
      </c>
    </row>
    <row r="1637" customFormat="false" ht="18.7" hidden="false" customHeight="true" outlineLevel="0" collapsed="false">
      <c r="A1637" s="1" t="n">
        <v>1636</v>
      </c>
      <c r="B1637" s="6" t="str">
        <f aca="false">HYPERLINK("https://mncourtfraud.com/file/MCRO_27-CR-21-1977_Non-Cash Bond Posted_2022-03-22_20240430075617.pdf","MCRO_27-CR-21-1977_Non-Cash Bond Posted_2022-03-22_20240430075617.pdf")</f>
        <v>MCRO_27-CR-21-1977_Non-Cash Bond Posted_2022-03-22_20240430075617.pdf</v>
      </c>
      <c r="C1637" s="1" t="n">
        <v>4</v>
      </c>
      <c r="D1637" s="1" t="n">
        <v>1</v>
      </c>
      <c r="E1637" s="1" t="n">
        <v>1</v>
      </c>
      <c r="F1637" s="3" t="s">
        <v>20</v>
      </c>
      <c r="G1637" s="3" t="s">
        <v>6743</v>
      </c>
      <c r="H1637" s="1" t="s">
        <v>22</v>
      </c>
      <c r="I1637" s="1" t="n">
        <v>20240430075617</v>
      </c>
      <c r="J1637" s="3" t="s">
        <v>6744</v>
      </c>
      <c r="K1637" s="3" t="s">
        <v>6745</v>
      </c>
      <c r="L1637" s="3" t="s">
        <v>6746</v>
      </c>
      <c r="M1637" s="3" t="n">
        <v>1456979</v>
      </c>
      <c r="N1637" s="3" t="s">
        <v>1065</v>
      </c>
      <c r="O1637" s="1" t="n">
        <v>1440593</v>
      </c>
      <c r="P1637" s="1" t="n">
        <v>98.88</v>
      </c>
      <c r="Q1637" s="1" t="s">
        <v>20</v>
      </c>
      <c r="R1637" s="1" t="s">
        <v>27</v>
      </c>
      <c r="S1637" s="1" t="s">
        <v>28</v>
      </c>
      <c r="T1637" s="1" t="s">
        <v>29</v>
      </c>
    </row>
    <row r="1638" customFormat="false" ht="18.7" hidden="false" customHeight="true" outlineLevel="0" collapsed="false">
      <c r="A1638" s="1" t="n">
        <v>1637</v>
      </c>
      <c r="B1638" s="6" t="str">
        <f aca="false">HYPERLINK("https://mncourtfraud.com/file/MCRO_27-CR-21-1977_Notice of Case Reassignment_2022-01-28_20240430075621.pdf","MCRO_27-CR-21-1977_Notice of Case Reassignment_2022-01-28_20240430075621.pdf")</f>
        <v>MCRO_27-CR-21-1977_Notice of Case Reassignment_2022-01-28_20240430075621.pdf</v>
      </c>
      <c r="C1638" s="1" t="n">
        <v>4</v>
      </c>
      <c r="D1638" s="1" t="n">
        <v>1</v>
      </c>
      <c r="E1638" s="1" t="n">
        <v>1</v>
      </c>
      <c r="F1638" s="3" t="s">
        <v>20</v>
      </c>
      <c r="G1638" s="3" t="s">
        <v>6747</v>
      </c>
      <c r="H1638" s="1" t="s">
        <v>22</v>
      </c>
      <c r="I1638" s="1" t="n">
        <v>20240430075621</v>
      </c>
      <c r="J1638" s="3" t="s">
        <v>6748</v>
      </c>
      <c r="K1638" s="3" t="s">
        <v>6749</v>
      </c>
      <c r="L1638" s="3" t="s">
        <v>6750</v>
      </c>
      <c r="M1638" s="3" t="n">
        <v>92152</v>
      </c>
      <c r="N1638" s="3" t="s">
        <v>456</v>
      </c>
      <c r="O1638" s="1" t="n">
        <v>75766</v>
      </c>
      <c r="P1638" s="1" t="n">
        <v>82.22</v>
      </c>
      <c r="Q1638" s="1" t="s">
        <v>20</v>
      </c>
      <c r="R1638" s="1" t="s">
        <v>27</v>
      </c>
      <c r="S1638" s="1" t="s">
        <v>28</v>
      </c>
      <c r="T1638" s="1" t="s">
        <v>29</v>
      </c>
    </row>
    <row r="1639" customFormat="false" ht="18.7" hidden="false" customHeight="true" outlineLevel="0" collapsed="false">
      <c r="A1639" s="1" t="n">
        <v>1638</v>
      </c>
      <c r="B1639" s="6" t="str">
        <f aca="false">HYPERLINK("https://mncourtfraud.com/file/MCRO_27-CR-21-1977_Notice of Hearing_2022-09-06_20240430075608.pdf","MCRO_27-CR-21-1977_Notice of Hearing_2022-09-06_20240430075608.pdf")</f>
        <v>MCRO_27-CR-21-1977_Notice of Hearing_2022-09-06_20240430075608.pdf</v>
      </c>
      <c r="C1639" s="1" t="n">
        <v>4</v>
      </c>
      <c r="D1639" s="1" t="n">
        <v>1</v>
      </c>
      <c r="E1639" s="1" t="n">
        <v>1</v>
      </c>
      <c r="F1639" s="3" t="s">
        <v>20</v>
      </c>
      <c r="G1639" s="3" t="s">
        <v>6751</v>
      </c>
      <c r="H1639" s="1" t="s">
        <v>22</v>
      </c>
      <c r="I1639" s="1" t="n">
        <v>20240430075608</v>
      </c>
      <c r="J1639" s="3" t="s">
        <v>6752</v>
      </c>
      <c r="K1639" s="3" t="s">
        <v>6753</v>
      </c>
      <c r="L1639" s="3" t="s">
        <v>6754</v>
      </c>
      <c r="M1639" s="3" t="n">
        <v>696238</v>
      </c>
      <c r="N1639" s="3" t="s">
        <v>1330</v>
      </c>
      <c r="O1639" s="1" t="n">
        <v>679852</v>
      </c>
      <c r="P1639" s="1" t="n">
        <v>97.65</v>
      </c>
      <c r="Q1639" s="1" t="s">
        <v>20</v>
      </c>
      <c r="R1639" s="1" t="s">
        <v>27</v>
      </c>
      <c r="S1639" s="1" t="s">
        <v>28</v>
      </c>
      <c r="T1639" s="1" t="s">
        <v>29</v>
      </c>
    </row>
    <row r="1640" customFormat="false" ht="18.7" hidden="false" customHeight="true" outlineLevel="0" collapsed="false">
      <c r="A1640" s="1" t="n">
        <v>1639</v>
      </c>
      <c r="B1640" s="6" t="str">
        <f aca="false">HYPERLINK("https://mncourtfraud.com/file/MCRO_27-CR-21-1977_Notice of Hearing_2022-09-23_20240430075606.pdf","MCRO_27-CR-21-1977_Notice of Hearing_2022-09-23_20240430075606.pdf")</f>
        <v>MCRO_27-CR-21-1977_Notice of Hearing_2022-09-23_20240430075606.pdf</v>
      </c>
      <c r="C1640" s="1" t="n">
        <v>4</v>
      </c>
      <c r="D1640" s="1" t="n">
        <v>1</v>
      </c>
      <c r="E1640" s="1" t="n">
        <v>1</v>
      </c>
      <c r="F1640" s="3" t="s">
        <v>20</v>
      </c>
      <c r="G1640" s="3" t="s">
        <v>6755</v>
      </c>
      <c r="H1640" s="1" t="s">
        <v>22</v>
      </c>
      <c r="I1640" s="1" t="n">
        <v>20240430075606</v>
      </c>
      <c r="J1640" s="3" t="s">
        <v>6756</v>
      </c>
      <c r="K1640" s="3" t="s">
        <v>6757</v>
      </c>
      <c r="L1640" s="3" t="s">
        <v>6758</v>
      </c>
      <c r="M1640" s="3" t="n">
        <v>779393</v>
      </c>
      <c r="N1640" s="3" t="s">
        <v>1574</v>
      </c>
      <c r="O1640" s="1" t="n">
        <v>763007</v>
      </c>
      <c r="P1640" s="1" t="n">
        <v>97.9</v>
      </c>
      <c r="Q1640" s="1" t="s">
        <v>20</v>
      </c>
      <c r="R1640" s="1" t="s">
        <v>27</v>
      </c>
      <c r="S1640" s="1" t="s">
        <v>28</v>
      </c>
      <c r="T1640" s="1" t="s">
        <v>29</v>
      </c>
    </row>
    <row r="1641" customFormat="false" ht="18.7" hidden="false" customHeight="true" outlineLevel="0" collapsed="false">
      <c r="A1641" s="1" t="n">
        <v>1640</v>
      </c>
      <c r="B1641" s="6" t="str">
        <f aca="false">HYPERLINK("https://mncourtfraud.com/file/MCRO_27-CR-21-1977_Notice of Hearing_2022-10-26_20240430075605.pdf","MCRO_27-CR-21-1977_Notice of Hearing_2022-10-26_20240430075605.pdf")</f>
        <v>MCRO_27-CR-21-1977_Notice of Hearing_2022-10-26_20240430075605.pdf</v>
      </c>
      <c r="C1641" s="1" t="n">
        <v>4</v>
      </c>
      <c r="D1641" s="1" t="n">
        <v>1</v>
      </c>
      <c r="E1641" s="1" t="n">
        <v>1</v>
      </c>
      <c r="F1641" s="3" t="s">
        <v>20</v>
      </c>
      <c r="G1641" s="3" t="s">
        <v>6759</v>
      </c>
      <c r="H1641" s="1" t="s">
        <v>22</v>
      </c>
      <c r="I1641" s="1" t="n">
        <v>20240430075605</v>
      </c>
      <c r="J1641" s="3" t="s">
        <v>6760</v>
      </c>
      <c r="K1641" s="3" t="s">
        <v>6761</v>
      </c>
      <c r="L1641" s="3" t="s">
        <v>4626</v>
      </c>
      <c r="M1641" s="3" t="n">
        <v>807373</v>
      </c>
      <c r="N1641" s="3" t="s">
        <v>89</v>
      </c>
      <c r="O1641" s="1" t="n">
        <v>790987</v>
      </c>
      <c r="P1641" s="1" t="n">
        <v>97.97</v>
      </c>
      <c r="Q1641" s="1" t="s">
        <v>20</v>
      </c>
      <c r="R1641" s="1" t="s">
        <v>27</v>
      </c>
      <c r="S1641" s="1" t="s">
        <v>28</v>
      </c>
      <c r="T1641" s="1" t="s">
        <v>29</v>
      </c>
    </row>
    <row r="1642" customFormat="false" ht="18.7" hidden="false" customHeight="true" outlineLevel="0" collapsed="false">
      <c r="A1642" s="1" t="n">
        <v>1641</v>
      </c>
      <c r="B1642" s="6" t="str">
        <f aca="false">HYPERLINK("https://mncourtfraud.com/file/MCRO_27-CR-21-1977_Notice of Hearing_2023-03-23_20240430075601.pdf","MCRO_27-CR-21-1977_Notice of Hearing_2023-03-23_20240430075601.pdf")</f>
        <v>MCRO_27-CR-21-1977_Notice of Hearing_2023-03-23_20240430075601.pdf</v>
      </c>
      <c r="C1642" s="1" t="n">
        <v>4</v>
      </c>
      <c r="D1642" s="1" t="n">
        <v>1</v>
      </c>
      <c r="E1642" s="1" t="n">
        <v>1</v>
      </c>
      <c r="F1642" s="3" t="s">
        <v>20</v>
      </c>
      <c r="G1642" s="3" t="s">
        <v>6762</v>
      </c>
      <c r="H1642" s="1" t="s">
        <v>22</v>
      </c>
      <c r="I1642" s="1" t="n">
        <v>20240430075601</v>
      </c>
      <c r="J1642" s="3" t="s">
        <v>6763</v>
      </c>
      <c r="K1642" s="3" t="s">
        <v>6764</v>
      </c>
      <c r="L1642" s="3" t="s">
        <v>6765</v>
      </c>
      <c r="M1642" s="3" t="n">
        <v>730182</v>
      </c>
      <c r="N1642" s="3" t="s">
        <v>913</v>
      </c>
      <c r="O1642" s="1" t="n">
        <v>713796</v>
      </c>
      <c r="P1642" s="1" t="n">
        <v>97.76</v>
      </c>
      <c r="Q1642" s="1" t="s">
        <v>20</v>
      </c>
      <c r="R1642" s="1" t="s">
        <v>27</v>
      </c>
      <c r="S1642" s="1" t="s">
        <v>28</v>
      </c>
      <c r="T1642" s="1" t="s">
        <v>29</v>
      </c>
    </row>
    <row r="1643" customFormat="false" ht="18.7" hidden="false" customHeight="true" outlineLevel="0" collapsed="false">
      <c r="A1643" s="1" t="n">
        <v>1642</v>
      </c>
      <c r="B1643" s="6" t="str">
        <f aca="false">HYPERLINK("https://mncourtfraud.com/file/MCRO_27-CR-21-1977_Notice of Hearing_2023-04-05_20240430075600.pdf","MCRO_27-CR-21-1977_Notice of Hearing_2023-04-05_20240430075600.pdf")</f>
        <v>MCRO_27-CR-21-1977_Notice of Hearing_2023-04-05_20240430075600.pdf</v>
      </c>
      <c r="C1643" s="1" t="n">
        <v>4</v>
      </c>
      <c r="D1643" s="1" t="n">
        <v>1</v>
      </c>
      <c r="E1643" s="1" t="n">
        <v>1</v>
      </c>
      <c r="F1643" s="3" t="s">
        <v>20</v>
      </c>
      <c r="G1643" s="3" t="s">
        <v>6766</v>
      </c>
      <c r="H1643" s="1" t="s">
        <v>22</v>
      </c>
      <c r="I1643" s="1" t="n">
        <v>20240430075600</v>
      </c>
      <c r="J1643" s="3" t="s">
        <v>6767</v>
      </c>
      <c r="K1643" s="3" t="s">
        <v>6768</v>
      </c>
      <c r="L1643" s="3" t="s">
        <v>6769</v>
      </c>
      <c r="M1643" s="3" t="n">
        <v>730179</v>
      </c>
      <c r="N1643" s="3" t="s">
        <v>913</v>
      </c>
      <c r="O1643" s="1" t="n">
        <v>713793</v>
      </c>
      <c r="P1643" s="1" t="n">
        <v>97.76</v>
      </c>
      <c r="Q1643" s="1" t="s">
        <v>20</v>
      </c>
      <c r="R1643" s="1" t="s">
        <v>27</v>
      </c>
      <c r="S1643" s="1" t="s">
        <v>28</v>
      </c>
      <c r="T1643" s="1" t="s">
        <v>29</v>
      </c>
    </row>
    <row r="1644" customFormat="false" ht="18.7" hidden="false" customHeight="true" outlineLevel="0" collapsed="false">
      <c r="A1644" s="1" t="n">
        <v>1643</v>
      </c>
      <c r="B1644" s="6" t="str">
        <f aca="false">HYPERLINK("https://mncourtfraud.com/file/MCRO_27-CR-21-1977_Notice of Hearing_2023-08-25_20240430075555.pdf","MCRO_27-CR-21-1977_Notice of Hearing_2023-08-25_20240430075555.pdf")</f>
        <v>MCRO_27-CR-21-1977_Notice of Hearing_2023-08-25_20240430075555.pdf</v>
      </c>
      <c r="C1644" s="1" t="n">
        <v>4</v>
      </c>
      <c r="D1644" s="1" t="n">
        <v>1</v>
      </c>
      <c r="E1644" s="1" t="n">
        <v>1</v>
      </c>
      <c r="F1644" s="3" t="s">
        <v>20</v>
      </c>
      <c r="G1644" s="3" t="s">
        <v>6770</v>
      </c>
      <c r="H1644" s="1" t="s">
        <v>22</v>
      </c>
      <c r="I1644" s="1" t="n">
        <v>20240430075555</v>
      </c>
      <c r="J1644" s="3" t="s">
        <v>6771</v>
      </c>
      <c r="K1644" s="3" t="s">
        <v>6772</v>
      </c>
      <c r="L1644" s="3" t="s">
        <v>6773</v>
      </c>
      <c r="M1644" s="3" t="n">
        <v>747861</v>
      </c>
      <c r="N1644" s="3" t="s">
        <v>4639</v>
      </c>
      <c r="O1644" s="1" t="n">
        <v>731475</v>
      </c>
      <c r="P1644" s="1" t="n">
        <v>97.81</v>
      </c>
      <c r="Q1644" s="1" t="s">
        <v>20</v>
      </c>
      <c r="R1644" s="1" t="s">
        <v>27</v>
      </c>
      <c r="S1644" s="1" t="s">
        <v>28</v>
      </c>
      <c r="T1644" s="1" t="s">
        <v>29</v>
      </c>
    </row>
    <row r="1645" customFormat="false" ht="18.7" hidden="false" customHeight="true" outlineLevel="0" collapsed="false">
      <c r="A1645" s="1" t="n">
        <v>1644</v>
      </c>
      <c r="B1645" s="6" t="str">
        <f aca="false">HYPERLINK("https://mncourtfraud.com/file/MCRO_27-CR-21-1977_Notice of Hearing_2023-10-24_20240430075551.pdf","MCRO_27-CR-21-1977_Notice of Hearing_2023-10-24_20240430075551.pdf")</f>
        <v>MCRO_27-CR-21-1977_Notice of Hearing_2023-10-24_20240430075551.pdf</v>
      </c>
      <c r="C1645" s="1" t="n">
        <v>4</v>
      </c>
      <c r="D1645" s="1" t="n">
        <v>1</v>
      </c>
      <c r="E1645" s="1" t="n">
        <v>1</v>
      </c>
      <c r="F1645" s="3" t="s">
        <v>20</v>
      </c>
      <c r="G1645" s="3" t="s">
        <v>6774</v>
      </c>
      <c r="H1645" s="1" t="s">
        <v>22</v>
      </c>
      <c r="I1645" s="1" t="n">
        <v>20240430075551</v>
      </c>
      <c r="J1645" s="3" t="s">
        <v>6775</v>
      </c>
      <c r="K1645" s="3" t="s">
        <v>6776</v>
      </c>
      <c r="L1645" s="3" t="s">
        <v>6777</v>
      </c>
      <c r="M1645" s="3" t="n">
        <v>369118</v>
      </c>
      <c r="N1645" s="3" t="s">
        <v>119</v>
      </c>
      <c r="O1645" s="1" t="n">
        <v>352732</v>
      </c>
      <c r="P1645" s="1" t="n">
        <v>95.56</v>
      </c>
      <c r="Q1645" s="1" t="s">
        <v>20</v>
      </c>
      <c r="R1645" s="1" t="s">
        <v>27</v>
      </c>
      <c r="S1645" s="1" t="s">
        <v>28</v>
      </c>
      <c r="T1645" s="1" t="s">
        <v>29</v>
      </c>
    </row>
    <row r="1646" customFormat="false" ht="18.7" hidden="false" customHeight="true" outlineLevel="0" collapsed="false">
      <c r="A1646" s="1" t="n">
        <v>1645</v>
      </c>
      <c r="B1646" s="6" t="str">
        <f aca="false">HYPERLINK("https://mncourtfraud.com/file/MCRO_27-CR-21-1977_Notice of Hearing_2023-10-25_20240430075550.pdf","MCRO_27-CR-21-1977_Notice of Hearing_2023-10-25_20240430075550.pdf")</f>
        <v>MCRO_27-CR-21-1977_Notice of Hearing_2023-10-25_20240430075550.pdf</v>
      </c>
      <c r="C1646" s="1" t="n">
        <v>4</v>
      </c>
      <c r="D1646" s="1" t="n">
        <v>1</v>
      </c>
      <c r="E1646" s="1" t="n">
        <v>1</v>
      </c>
      <c r="F1646" s="3" t="s">
        <v>20</v>
      </c>
      <c r="G1646" s="3" t="s">
        <v>6778</v>
      </c>
      <c r="H1646" s="1" t="s">
        <v>22</v>
      </c>
      <c r="I1646" s="1" t="n">
        <v>20240430075550</v>
      </c>
      <c r="J1646" s="3" t="s">
        <v>6779</v>
      </c>
      <c r="K1646" s="3" t="s">
        <v>6780</v>
      </c>
      <c r="L1646" s="3" t="s">
        <v>6781</v>
      </c>
      <c r="M1646" s="3" t="n">
        <v>730278</v>
      </c>
      <c r="N1646" s="3" t="s">
        <v>913</v>
      </c>
      <c r="O1646" s="1" t="n">
        <v>713892</v>
      </c>
      <c r="P1646" s="1" t="n">
        <v>97.76</v>
      </c>
      <c r="Q1646" s="1" t="s">
        <v>20</v>
      </c>
      <c r="R1646" s="1" t="s">
        <v>27</v>
      </c>
      <c r="S1646" s="1" t="s">
        <v>28</v>
      </c>
      <c r="T1646" s="1" t="s">
        <v>29</v>
      </c>
    </row>
    <row r="1647" customFormat="false" ht="18.7" hidden="false" customHeight="true" outlineLevel="0" collapsed="false">
      <c r="A1647" s="1" t="n">
        <v>1646</v>
      </c>
      <c r="B1647" s="6" t="str">
        <f aca="false">HYPERLINK("https://mncourtfraud.com/file/MCRO_27-CR-21-1977_Notice of Remote Hearing with Instructions_2021-01-29_20240430075632.pdf","MCRO_27-CR-21-1977_Notice of Remote Hearing with Instructions_2021-01-29_20240430075632.pdf")</f>
        <v>MCRO_27-CR-21-1977_Notice of Remote Hearing with Instructions_2021-01-29_20240430075632.pdf</v>
      </c>
      <c r="C1647" s="1" t="n">
        <v>5</v>
      </c>
      <c r="D1647" s="1" t="n">
        <v>1</v>
      </c>
      <c r="E1647" s="1" t="n">
        <v>1</v>
      </c>
      <c r="F1647" s="3" t="s">
        <v>20</v>
      </c>
      <c r="G1647" s="3" t="s">
        <v>6782</v>
      </c>
      <c r="H1647" s="1" t="s">
        <v>22</v>
      </c>
      <c r="I1647" s="1" t="n">
        <v>20240430075632</v>
      </c>
      <c r="J1647" s="3" t="s">
        <v>6783</v>
      </c>
      <c r="K1647" s="3" t="s">
        <v>6784</v>
      </c>
      <c r="L1647" s="3" t="s">
        <v>6785</v>
      </c>
      <c r="M1647" s="3" t="n">
        <v>1254378</v>
      </c>
      <c r="N1647" s="3" t="s">
        <v>476</v>
      </c>
      <c r="O1647" s="1" t="n">
        <v>1237992</v>
      </c>
      <c r="P1647" s="1" t="n">
        <v>98.69</v>
      </c>
      <c r="Q1647" s="1" t="s">
        <v>20</v>
      </c>
      <c r="R1647" s="1" t="s">
        <v>27</v>
      </c>
      <c r="S1647" s="1" t="s">
        <v>28</v>
      </c>
      <c r="T1647" s="1" t="s">
        <v>29</v>
      </c>
    </row>
    <row r="1648" customFormat="false" ht="18.7" hidden="false" customHeight="true" outlineLevel="0" collapsed="false">
      <c r="A1648" s="1" t="n">
        <v>1647</v>
      </c>
      <c r="B1648" s="6" t="str">
        <f aca="false">HYPERLINK("https://mncourtfraud.com/file/MCRO_27-CR-21-1977_Notice of Remote Hearing with Instructions_2021-04-06_20240430075627.pdf","MCRO_27-CR-21-1977_Notice of Remote Hearing with Instructions_2021-04-06_20240430075627.pdf")</f>
        <v>MCRO_27-CR-21-1977_Notice of Remote Hearing with Instructions_2021-04-06_20240430075627.pdf</v>
      </c>
      <c r="C1648" s="1" t="n">
        <v>5</v>
      </c>
      <c r="D1648" s="1" t="n">
        <v>1</v>
      </c>
      <c r="E1648" s="1" t="n">
        <v>1</v>
      </c>
      <c r="F1648" s="3" t="s">
        <v>20</v>
      </c>
      <c r="G1648" s="3" t="s">
        <v>6786</v>
      </c>
      <c r="H1648" s="1" t="s">
        <v>22</v>
      </c>
      <c r="I1648" s="1" t="n">
        <v>20240430075627</v>
      </c>
      <c r="J1648" s="3" t="s">
        <v>6787</v>
      </c>
      <c r="K1648" s="3" t="s">
        <v>6788</v>
      </c>
      <c r="L1648" s="3" t="s">
        <v>6789</v>
      </c>
      <c r="M1648" s="3" t="n">
        <v>839733</v>
      </c>
      <c r="N1648" s="3" t="s">
        <v>849</v>
      </c>
      <c r="O1648" s="1" t="n">
        <v>823347</v>
      </c>
      <c r="P1648" s="1" t="n">
        <v>98.05</v>
      </c>
      <c r="Q1648" s="1" t="s">
        <v>20</v>
      </c>
      <c r="R1648" s="1" t="s">
        <v>27</v>
      </c>
      <c r="S1648" s="1" t="s">
        <v>28</v>
      </c>
      <c r="T1648" s="1" t="s">
        <v>29</v>
      </c>
    </row>
    <row r="1649" customFormat="false" ht="18.7" hidden="false" customHeight="true" outlineLevel="0" collapsed="false">
      <c r="A1649" s="1" t="n">
        <v>1648</v>
      </c>
      <c r="B1649" s="6" t="str">
        <f aca="false">HYPERLINK("https://mncourtfraud.com/file/MCRO_27-CR-21-1977_Notice of Remote Hearing with Instructions_2021-06-21_20240430075625.pdf","MCRO_27-CR-21-1977_Notice of Remote Hearing with Instructions_2021-06-21_20240430075625.pdf")</f>
        <v>MCRO_27-CR-21-1977_Notice of Remote Hearing with Instructions_2021-06-21_20240430075625.pdf</v>
      </c>
      <c r="C1649" s="1" t="n">
        <v>4</v>
      </c>
      <c r="D1649" s="1" t="n">
        <v>1</v>
      </c>
      <c r="E1649" s="1" t="n">
        <v>1</v>
      </c>
      <c r="F1649" s="3" t="s">
        <v>20</v>
      </c>
      <c r="G1649" s="3" t="s">
        <v>6790</v>
      </c>
      <c r="H1649" s="1" t="s">
        <v>22</v>
      </c>
      <c r="I1649" s="1" t="n">
        <v>20240430075625</v>
      </c>
      <c r="J1649" s="3" t="s">
        <v>6791</v>
      </c>
      <c r="K1649" s="3" t="s">
        <v>6792</v>
      </c>
      <c r="L1649" s="3" t="s">
        <v>6793</v>
      </c>
      <c r="M1649" s="3" t="n">
        <v>162537</v>
      </c>
      <c r="N1649" s="3" t="s">
        <v>1065</v>
      </c>
      <c r="O1649" s="1" t="n">
        <v>146151</v>
      </c>
      <c r="P1649" s="1" t="n">
        <v>89.92</v>
      </c>
      <c r="Q1649" s="1" t="s">
        <v>20</v>
      </c>
      <c r="R1649" s="1" t="s">
        <v>27</v>
      </c>
      <c r="S1649" s="1" t="s">
        <v>28</v>
      </c>
      <c r="T1649" s="1" t="s">
        <v>29</v>
      </c>
    </row>
    <row r="1650" customFormat="false" ht="18.7" hidden="false" customHeight="true" outlineLevel="0" collapsed="false">
      <c r="A1650" s="1" t="n">
        <v>1649</v>
      </c>
      <c r="B1650" s="6" t="str">
        <f aca="false">HYPERLINK("https://mncourtfraud.com/file/MCRO_27-CR-21-1977_Notice of Remote Hearing with Instructions_2021-07-21_20240430075624.pdf","MCRO_27-CR-21-1977_Notice of Remote Hearing with Instructions_2021-07-21_20240430075624.pdf")</f>
        <v>MCRO_27-CR-21-1977_Notice of Remote Hearing with Instructions_2021-07-21_20240430075624.pdf</v>
      </c>
      <c r="C1650" s="1" t="n">
        <v>4</v>
      </c>
      <c r="D1650" s="1" t="n">
        <v>1</v>
      </c>
      <c r="E1650" s="1" t="n">
        <v>1</v>
      </c>
      <c r="F1650" s="3" t="s">
        <v>20</v>
      </c>
      <c r="G1650" s="3" t="s">
        <v>6794</v>
      </c>
      <c r="H1650" s="1" t="s">
        <v>22</v>
      </c>
      <c r="I1650" s="1" t="n">
        <v>20240430075624</v>
      </c>
      <c r="J1650" s="3" t="s">
        <v>6795</v>
      </c>
      <c r="K1650" s="3" t="s">
        <v>6796</v>
      </c>
      <c r="L1650" s="3" t="s">
        <v>6797</v>
      </c>
      <c r="M1650" s="3" t="n">
        <v>165902</v>
      </c>
      <c r="N1650" s="3" t="s">
        <v>1248</v>
      </c>
      <c r="O1650" s="1" t="n">
        <v>149516</v>
      </c>
      <c r="P1650" s="1" t="n">
        <v>90.12</v>
      </c>
      <c r="Q1650" s="1" t="s">
        <v>20</v>
      </c>
      <c r="R1650" s="1" t="s">
        <v>27</v>
      </c>
      <c r="S1650" s="1" t="s">
        <v>28</v>
      </c>
      <c r="T1650" s="1" t="s">
        <v>29</v>
      </c>
    </row>
    <row r="1651" customFormat="false" ht="18.7" hidden="false" customHeight="true" outlineLevel="0" collapsed="false">
      <c r="A1651" s="1" t="n">
        <v>1650</v>
      </c>
      <c r="B1651" s="6" t="str">
        <f aca="false">HYPERLINK("https://mncourtfraud.com/file/MCRO_27-CR-21-1977_Notice of Remote Hearing with Instructions_2021-10-12_20240430075623.pdf","MCRO_27-CR-21-1977_Notice of Remote Hearing with Instructions_2021-10-12_20240430075623.pdf")</f>
        <v>MCRO_27-CR-21-1977_Notice of Remote Hearing with Instructions_2021-10-12_20240430075623.pdf</v>
      </c>
      <c r="C1651" s="1" t="n">
        <v>4</v>
      </c>
      <c r="D1651" s="1" t="n">
        <v>1</v>
      </c>
      <c r="E1651" s="1" t="n">
        <v>1</v>
      </c>
      <c r="F1651" s="3" t="s">
        <v>20</v>
      </c>
      <c r="G1651" s="3" t="s">
        <v>6798</v>
      </c>
      <c r="H1651" s="1" t="s">
        <v>22</v>
      </c>
      <c r="I1651" s="1" t="n">
        <v>20240430075623</v>
      </c>
      <c r="J1651" s="3" t="s">
        <v>6799</v>
      </c>
      <c r="K1651" s="3" t="s">
        <v>6800</v>
      </c>
      <c r="L1651" s="3" t="s">
        <v>6801</v>
      </c>
      <c r="M1651" s="3" t="n">
        <v>142296</v>
      </c>
      <c r="N1651" s="3" t="s">
        <v>361</v>
      </c>
      <c r="O1651" s="1" t="n">
        <v>125910</v>
      </c>
      <c r="P1651" s="1" t="n">
        <v>88.48</v>
      </c>
      <c r="Q1651" s="1" t="s">
        <v>20</v>
      </c>
      <c r="R1651" s="1" t="s">
        <v>27</v>
      </c>
      <c r="S1651" s="1" t="s">
        <v>28</v>
      </c>
      <c r="T1651" s="1" t="s">
        <v>29</v>
      </c>
    </row>
    <row r="1652" customFormat="false" ht="18.7" hidden="false" customHeight="true" outlineLevel="0" collapsed="false">
      <c r="A1652" s="1" t="n">
        <v>1651</v>
      </c>
      <c r="B1652" s="6" t="str">
        <f aca="false">HYPERLINK("https://mncourtfraud.com/file/MCRO_27-CR-21-1977_Notice of Remote Hearing with Instructions_2021-11-23_20240430075622.pdf","MCRO_27-CR-21-1977_Notice of Remote Hearing with Instructions_2021-11-23_20240430075622.pdf")</f>
        <v>MCRO_27-CR-21-1977_Notice of Remote Hearing with Instructions_2021-11-23_20240430075622.pdf</v>
      </c>
      <c r="C1652" s="1" t="n">
        <v>4</v>
      </c>
      <c r="D1652" s="1" t="n">
        <v>1</v>
      </c>
      <c r="E1652" s="1" t="n">
        <v>1</v>
      </c>
      <c r="F1652" s="3" t="s">
        <v>20</v>
      </c>
      <c r="G1652" s="3" t="s">
        <v>6802</v>
      </c>
      <c r="H1652" s="1" t="s">
        <v>22</v>
      </c>
      <c r="I1652" s="1" t="n">
        <v>20240430075622</v>
      </c>
      <c r="J1652" s="3" t="s">
        <v>6803</v>
      </c>
      <c r="K1652" s="3" t="s">
        <v>6804</v>
      </c>
      <c r="L1652" s="3" t="s">
        <v>6805</v>
      </c>
      <c r="M1652" s="3" t="n">
        <v>141554</v>
      </c>
      <c r="N1652" s="3" t="s">
        <v>361</v>
      </c>
      <c r="O1652" s="1" t="n">
        <v>125168</v>
      </c>
      <c r="P1652" s="1" t="n">
        <v>88.42</v>
      </c>
      <c r="Q1652" s="1" t="s">
        <v>20</v>
      </c>
      <c r="R1652" s="1" t="s">
        <v>27</v>
      </c>
      <c r="S1652" s="1" t="s">
        <v>28</v>
      </c>
      <c r="T1652" s="1" t="s">
        <v>29</v>
      </c>
    </row>
    <row r="1653" customFormat="false" ht="18.7" hidden="false" customHeight="true" outlineLevel="0" collapsed="false">
      <c r="A1653" s="1" t="n">
        <v>1652</v>
      </c>
      <c r="B1653" s="6" t="str">
        <f aca="false">HYPERLINK("https://mncourtfraud.com/file/MCRO_27-CR-21-1977_Notice of Remote Hearing with Instructions_2022-02-10_20240430075620.pdf","MCRO_27-CR-21-1977_Notice of Remote Hearing with Instructions_2022-02-10_20240430075620.pdf")</f>
        <v>MCRO_27-CR-21-1977_Notice of Remote Hearing with Instructions_2022-02-10_20240430075620.pdf</v>
      </c>
      <c r="C1653" s="1" t="n">
        <v>5</v>
      </c>
      <c r="D1653" s="1" t="n">
        <v>1</v>
      </c>
      <c r="E1653" s="1" t="n">
        <v>1</v>
      </c>
      <c r="F1653" s="3" t="s">
        <v>20</v>
      </c>
      <c r="G1653" s="3" t="s">
        <v>6806</v>
      </c>
      <c r="H1653" s="1" t="s">
        <v>22</v>
      </c>
      <c r="I1653" s="1" t="n">
        <v>20240430075620</v>
      </c>
      <c r="J1653" s="3" t="s">
        <v>6807</v>
      </c>
      <c r="K1653" s="3" t="s">
        <v>6808</v>
      </c>
      <c r="L1653" s="3" t="s">
        <v>6809</v>
      </c>
      <c r="M1653" s="3" t="n">
        <v>856228</v>
      </c>
      <c r="N1653" s="3" t="s">
        <v>665</v>
      </c>
      <c r="O1653" s="1" t="n">
        <v>839842</v>
      </c>
      <c r="P1653" s="1" t="n">
        <v>98.09</v>
      </c>
      <c r="Q1653" s="1" t="s">
        <v>20</v>
      </c>
      <c r="R1653" s="1" t="s">
        <v>27</v>
      </c>
      <c r="S1653" s="1" t="s">
        <v>28</v>
      </c>
      <c r="T1653" s="1" t="s">
        <v>29</v>
      </c>
    </row>
    <row r="1654" customFormat="false" ht="18.7" hidden="false" customHeight="true" outlineLevel="0" collapsed="false">
      <c r="A1654" s="1" t="n">
        <v>1653</v>
      </c>
      <c r="B1654" s="6" t="str">
        <f aca="false">HYPERLINK("https://mncourtfraud.com/file/MCRO_27-CR-21-1977_Notice of Remote Hearing with Instructions_2022-03-14_20240430075618.pdf","MCRO_27-CR-21-1977_Notice of Remote Hearing with Instructions_2022-03-14_20240430075618.pdf")</f>
        <v>MCRO_27-CR-21-1977_Notice of Remote Hearing with Instructions_2022-03-14_20240430075618.pdf</v>
      </c>
      <c r="C1654" s="1" t="n">
        <v>4</v>
      </c>
      <c r="D1654" s="1" t="n">
        <v>1</v>
      </c>
      <c r="E1654" s="1" t="n">
        <v>1</v>
      </c>
      <c r="F1654" s="3" t="s">
        <v>20</v>
      </c>
      <c r="G1654" s="3" t="s">
        <v>6810</v>
      </c>
      <c r="H1654" s="1" t="s">
        <v>22</v>
      </c>
      <c r="I1654" s="1" t="n">
        <v>20240430075618</v>
      </c>
      <c r="J1654" s="3" t="s">
        <v>6811</v>
      </c>
      <c r="K1654" s="3" t="s">
        <v>6812</v>
      </c>
      <c r="L1654" s="3" t="s">
        <v>6813</v>
      </c>
      <c r="M1654" s="3" t="n">
        <v>755514</v>
      </c>
      <c r="N1654" s="3" t="s">
        <v>3445</v>
      </c>
      <c r="O1654" s="1" t="n">
        <v>739128</v>
      </c>
      <c r="P1654" s="1" t="n">
        <v>97.83</v>
      </c>
      <c r="Q1654" s="1" t="s">
        <v>20</v>
      </c>
      <c r="R1654" s="1" t="s">
        <v>27</v>
      </c>
      <c r="S1654" s="1" t="s">
        <v>28</v>
      </c>
      <c r="T1654" s="1" t="s">
        <v>29</v>
      </c>
    </row>
    <row r="1655" customFormat="false" ht="18.7" hidden="false" customHeight="true" outlineLevel="0" collapsed="false">
      <c r="A1655" s="1" t="n">
        <v>1654</v>
      </c>
      <c r="B1655" s="6" t="str">
        <f aca="false">HYPERLINK("https://mncourtfraud.com/file/MCRO_27-CR-21-1977_Notice of Remote Hearing with Instructions_2022-03-23_20240430075615.pdf","MCRO_27-CR-21-1977_Notice of Remote Hearing with Instructions_2022-03-23_20240430075615.pdf")</f>
        <v>MCRO_27-CR-21-1977_Notice of Remote Hearing with Instructions_2022-03-23_20240430075615.pdf</v>
      </c>
      <c r="C1655" s="1" t="n">
        <v>4</v>
      </c>
      <c r="D1655" s="1" t="n">
        <v>1</v>
      </c>
      <c r="E1655" s="1" t="n">
        <v>1</v>
      </c>
      <c r="F1655" s="3" t="s">
        <v>20</v>
      </c>
      <c r="G1655" s="3" t="s">
        <v>6814</v>
      </c>
      <c r="H1655" s="1" t="s">
        <v>22</v>
      </c>
      <c r="I1655" s="1" t="n">
        <v>20240430075615</v>
      </c>
      <c r="J1655" s="3" t="s">
        <v>6815</v>
      </c>
      <c r="K1655" s="3" t="s">
        <v>4678</v>
      </c>
      <c r="L1655" s="3" t="s">
        <v>4679</v>
      </c>
      <c r="M1655" s="3" t="n">
        <v>892912</v>
      </c>
      <c r="N1655" s="3" t="s">
        <v>4680</v>
      </c>
      <c r="O1655" s="1" t="n">
        <v>876526</v>
      </c>
      <c r="P1655" s="1" t="n">
        <v>98.16</v>
      </c>
      <c r="Q1655" s="1" t="s">
        <v>20</v>
      </c>
      <c r="R1655" s="1" t="s">
        <v>27</v>
      </c>
      <c r="S1655" s="1" t="s">
        <v>28</v>
      </c>
      <c r="T1655" s="1" t="s">
        <v>29</v>
      </c>
    </row>
    <row r="1656" customFormat="false" ht="18.7" hidden="false" customHeight="true" outlineLevel="0" collapsed="false">
      <c r="A1656" s="1" t="n">
        <v>1655</v>
      </c>
      <c r="B1656" s="6" t="str">
        <f aca="false">HYPERLINK("https://mncourtfraud.com/file/MCRO_27-CR-21-1977_Notice of Remote Hearing with Instructions_2022-04-11_20240430075614.pdf","MCRO_27-CR-21-1977_Notice of Remote Hearing with Instructions_2022-04-11_20240430075614.pdf")</f>
        <v>MCRO_27-CR-21-1977_Notice of Remote Hearing with Instructions_2022-04-11_20240430075614.pdf</v>
      </c>
      <c r="C1656" s="1" t="n">
        <v>4</v>
      </c>
      <c r="D1656" s="1" t="n">
        <v>1</v>
      </c>
      <c r="E1656" s="1" t="n">
        <v>1</v>
      </c>
      <c r="F1656" s="3" t="s">
        <v>20</v>
      </c>
      <c r="G1656" s="3" t="s">
        <v>6816</v>
      </c>
      <c r="H1656" s="1" t="s">
        <v>22</v>
      </c>
      <c r="I1656" s="1" t="n">
        <v>20240430075614</v>
      </c>
      <c r="J1656" s="3" t="s">
        <v>6817</v>
      </c>
      <c r="K1656" s="3" t="s">
        <v>6818</v>
      </c>
      <c r="L1656" s="3" t="s">
        <v>6819</v>
      </c>
      <c r="M1656" s="3" t="n">
        <v>826673</v>
      </c>
      <c r="N1656" s="3" t="s">
        <v>4685</v>
      </c>
      <c r="O1656" s="1" t="n">
        <v>810287</v>
      </c>
      <c r="P1656" s="1" t="n">
        <v>98.02</v>
      </c>
      <c r="Q1656" s="1" t="s">
        <v>20</v>
      </c>
      <c r="R1656" s="1" t="s">
        <v>27</v>
      </c>
      <c r="S1656" s="1" t="s">
        <v>28</v>
      </c>
      <c r="T1656" s="1" t="s">
        <v>29</v>
      </c>
    </row>
    <row r="1657" customFormat="false" ht="18.7" hidden="false" customHeight="true" outlineLevel="0" collapsed="false">
      <c r="A1657" s="1" t="n">
        <v>1656</v>
      </c>
      <c r="B1657" s="6" t="str">
        <f aca="false">HYPERLINK("https://mncourtfraud.com/file/MCRO_27-CR-21-1977_Notice of Remote Hearing with Instructions_2022-06-22_20240430075612.pdf","MCRO_27-CR-21-1977_Notice of Remote Hearing with Instructions_2022-06-22_20240430075612.pdf")</f>
        <v>MCRO_27-CR-21-1977_Notice of Remote Hearing with Instructions_2022-06-22_20240430075612.pdf</v>
      </c>
      <c r="C1657" s="1" t="n">
        <v>4</v>
      </c>
      <c r="D1657" s="1" t="n">
        <v>1</v>
      </c>
      <c r="E1657" s="1" t="n">
        <v>1</v>
      </c>
      <c r="F1657" s="3" t="s">
        <v>20</v>
      </c>
      <c r="G1657" s="3" t="s">
        <v>6820</v>
      </c>
      <c r="H1657" s="1" t="s">
        <v>22</v>
      </c>
      <c r="I1657" s="1" t="n">
        <v>20240430075612</v>
      </c>
      <c r="J1657" s="3" t="s">
        <v>6821</v>
      </c>
      <c r="K1657" s="3" t="s">
        <v>6822</v>
      </c>
      <c r="L1657" s="3" t="s">
        <v>6823</v>
      </c>
      <c r="M1657" s="3" t="n">
        <v>1972625</v>
      </c>
      <c r="N1657" s="3" t="s">
        <v>4690</v>
      </c>
      <c r="O1657" s="1" t="n">
        <v>1956239</v>
      </c>
      <c r="P1657" s="1" t="n">
        <v>99.17</v>
      </c>
      <c r="Q1657" s="1" t="s">
        <v>20</v>
      </c>
      <c r="R1657" s="1" t="s">
        <v>27</v>
      </c>
      <c r="S1657" s="1" t="s">
        <v>28</v>
      </c>
      <c r="T1657" s="1" t="s">
        <v>29</v>
      </c>
    </row>
    <row r="1658" customFormat="false" ht="18.7" hidden="false" customHeight="true" outlineLevel="0" collapsed="false">
      <c r="A1658" s="1" t="n">
        <v>1657</v>
      </c>
      <c r="B1658" s="6" t="str">
        <f aca="false">HYPERLINK("https://mncourtfraud.com/file/MCRO_27-CR-21-1977_Notice of Remote Hearing with Instructions_2022-08-09_20240430075609.pdf","MCRO_27-CR-21-1977_Notice of Remote Hearing with Instructions_2022-08-09_20240430075609.pdf")</f>
        <v>MCRO_27-CR-21-1977_Notice of Remote Hearing with Instructions_2022-08-09_20240430075609.pdf</v>
      </c>
      <c r="C1658" s="1" t="n">
        <v>4</v>
      </c>
      <c r="D1658" s="1" t="n">
        <v>1</v>
      </c>
      <c r="E1658" s="1" t="n">
        <v>1</v>
      </c>
      <c r="F1658" s="3" t="s">
        <v>20</v>
      </c>
      <c r="G1658" s="3" t="s">
        <v>6824</v>
      </c>
      <c r="H1658" s="1" t="s">
        <v>22</v>
      </c>
      <c r="I1658" s="1" t="n">
        <v>20240430075609</v>
      </c>
      <c r="J1658" s="3" t="s">
        <v>6825</v>
      </c>
      <c r="K1658" s="3" t="s">
        <v>6826</v>
      </c>
      <c r="L1658" s="3" t="s">
        <v>6827</v>
      </c>
      <c r="M1658" s="3" t="n">
        <v>857837</v>
      </c>
      <c r="N1658" s="3" t="s">
        <v>1065</v>
      </c>
      <c r="O1658" s="1" t="n">
        <v>841451</v>
      </c>
      <c r="P1658" s="1" t="n">
        <v>98.09</v>
      </c>
      <c r="Q1658" s="1" t="s">
        <v>20</v>
      </c>
      <c r="R1658" s="1" t="s">
        <v>27</v>
      </c>
      <c r="S1658" s="1" t="s">
        <v>28</v>
      </c>
      <c r="T1658" s="1" t="s">
        <v>29</v>
      </c>
    </row>
    <row r="1659" customFormat="false" ht="18.7" hidden="false" customHeight="true" outlineLevel="0" collapsed="false">
      <c r="A1659" s="1" t="n">
        <v>1658</v>
      </c>
      <c r="B1659" s="6" t="str">
        <f aca="false">HYPERLINK("https://mncourtfraud.com/file/MCRO_27-CR-21-1977_Notice of Remote Hearing with Instructions_2023-08-25_20240430075556.pdf","MCRO_27-CR-21-1977_Notice of Remote Hearing with Instructions_2023-08-25_20240430075556.pdf")</f>
        <v>MCRO_27-CR-21-1977_Notice of Remote Hearing with Instructions_2023-08-25_20240430075556.pdf</v>
      </c>
      <c r="C1659" s="1" t="n">
        <v>4</v>
      </c>
      <c r="D1659" s="1" t="n">
        <v>1</v>
      </c>
      <c r="E1659" s="1" t="n">
        <v>1</v>
      </c>
      <c r="F1659" s="3" t="s">
        <v>20</v>
      </c>
      <c r="G1659" s="3" t="s">
        <v>6828</v>
      </c>
      <c r="H1659" s="1" t="s">
        <v>22</v>
      </c>
      <c r="I1659" s="1" t="n">
        <v>20240430075556</v>
      </c>
      <c r="J1659" s="3" t="s">
        <v>6829</v>
      </c>
      <c r="K1659" s="3" t="s">
        <v>6830</v>
      </c>
      <c r="L1659" s="3" t="s">
        <v>6831</v>
      </c>
      <c r="M1659" s="3" t="n">
        <v>248576</v>
      </c>
      <c r="N1659" s="3" t="s">
        <v>500</v>
      </c>
      <c r="O1659" s="1" t="n">
        <v>232190</v>
      </c>
      <c r="P1659" s="1" t="n">
        <v>93.41</v>
      </c>
      <c r="Q1659" s="1" t="s">
        <v>20</v>
      </c>
      <c r="R1659" s="1" t="s">
        <v>27</v>
      </c>
      <c r="S1659" s="1" t="s">
        <v>28</v>
      </c>
      <c r="T1659" s="1" t="s">
        <v>29</v>
      </c>
    </row>
    <row r="1660" customFormat="false" ht="18.7" hidden="false" customHeight="true" outlineLevel="0" collapsed="false">
      <c r="A1660" s="1" t="n">
        <v>1659</v>
      </c>
      <c r="B1660" s="6" t="str">
        <f aca="false">HYPERLINK("https://mncourtfraud.com/file/MCRO_27-CR-21-1977_Notice of Remote Hearing with Instructions_2023-10-24_20240430075552.pdf","MCRO_27-CR-21-1977_Notice of Remote Hearing with Instructions_2023-10-24_20240430075552.pdf")</f>
        <v>MCRO_27-CR-21-1977_Notice of Remote Hearing with Instructions_2023-10-24_20240430075552.pdf</v>
      </c>
      <c r="C1660" s="1" t="n">
        <v>5</v>
      </c>
      <c r="D1660" s="1" t="n">
        <v>1</v>
      </c>
      <c r="E1660" s="1" t="n">
        <v>1</v>
      </c>
      <c r="F1660" s="3" t="s">
        <v>20</v>
      </c>
      <c r="G1660" s="3" t="s">
        <v>6832</v>
      </c>
      <c r="H1660" s="1" t="s">
        <v>22</v>
      </c>
      <c r="I1660" s="1" t="n">
        <v>20240430075552</v>
      </c>
      <c r="J1660" s="3" t="s">
        <v>6833</v>
      </c>
      <c r="K1660" s="3" t="s">
        <v>6834</v>
      </c>
      <c r="L1660" s="3" t="s">
        <v>6835</v>
      </c>
      <c r="M1660" s="3" t="n">
        <v>855422</v>
      </c>
      <c r="N1660" s="3" t="s">
        <v>1248</v>
      </c>
      <c r="O1660" s="1" t="n">
        <v>839036</v>
      </c>
      <c r="P1660" s="1" t="n">
        <v>98.08</v>
      </c>
      <c r="Q1660" s="1" t="s">
        <v>20</v>
      </c>
      <c r="R1660" s="1" t="s">
        <v>27</v>
      </c>
      <c r="S1660" s="1" t="s">
        <v>28</v>
      </c>
      <c r="T1660" s="1" t="s">
        <v>29</v>
      </c>
    </row>
    <row r="1661" customFormat="false" ht="18.7" hidden="false" customHeight="true" outlineLevel="0" collapsed="false">
      <c r="A1661" s="1" t="n">
        <v>1660</v>
      </c>
      <c r="B1661" s="6" t="str">
        <f aca="false">HYPERLINK("https://mncourtfraud.com/file/MCRO_27-CR-21-1977_Order-Evaluation for Competency to Proceed (Rule 20.01)_2022-11-17_20240430075602.pdf","MCRO_27-CR-21-1977_Order-Evaluation for Competency to Proceed (Rule 20.01)_2022-11-17_20240430075602.pdf")</f>
        <v>MCRO_27-CR-21-1977_Order-Evaluation for Competency to Proceed (Rule 20.01)_2022-11-17_20240430075602.pdf</v>
      </c>
      <c r="C1661" s="1" t="n">
        <v>4</v>
      </c>
      <c r="D1661" s="1" t="n">
        <v>1</v>
      </c>
      <c r="E1661" s="1" t="n">
        <v>1</v>
      </c>
      <c r="F1661" s="3" t="s">
        <v>20</v>
      </c>
      <c r="G1661" s="3" t="s">
        <v>6836</v>
      </c>
      <c r="H1661" s="1" t="s">
        <v>22</v>
      </c>
      <c r="I1661" s="1" t="n">
        <v>20240430075602</v>
      </c>
      <c r="J1661" s="3" t="s">
        <v>6837</v>
      </c>
      <c r="K1661" s="3" t="s">
        <v>6838</v>
      </c>
      <c r="L1661" s="3" t="s">
        <v>4704</v>
      </c>
      <c r="M1661" s="3" t="n">
        <v>816727</v>
      </c>
      <c r="N1661" s="3" t="s">
        <v>2496</v>
      </c>
      <c r="O1661" s="1" t="n">
        <v>800341</v>
      </c>
      <c r="P1661" s="1" t="n">
        <v>97.99</v>
      </c>
      <c r="Q1661" s="1" t="s">
        <v>20</v>
      </c>
      <c r="R1661" s="1" t="s">
        <v>27</v>
      </c>
      <c r="S1661" s="1" t="s">
        <v>28</v>
      </c>
      <c r="T1661" s="1" t="s">
        <v>29</v>
      </c>
    </row>
    <row r="1662" customFormat="false" ht="18.7" hidden="false" customHeight="true" outlineLevel="0" collapsed="false">
      <c r="A1662" s="1" t="n">
        <v>1661</v>
      </c>
      <c r="B1662" s="6" t="str">
        <f aca="false">HYPERLINK("https://mncourtfraud.com/file/MCRO_27-CR-21-1977_Order-Evaluation for Competency to Proceed (Rule 20.01)_2023-08-25_20240430075554.pdf","MCRO_27-CR-21-1977_Order-Evaluation for Competency to Proceed (Rule 20.01)_2023-08-25_20240430075554.pdf")</f>
        <v>MCRO_27-CR-21-1977_Order-Evaluation for Competency to Proceed (Rule 20.01)_2023-08-25_20240430075554.pdf</v>
      </c>
      <c r="C1662" s="1" t="n">
        <v>4</v>
      </c>
      <c r="D1662" s="1" t="n">
        <v>1</v>
      </c>
      <c r="E1662" s="1" t="n">
        <v>1</v>
      </c>
      <c r="F1662" s="3" t="s">
        <v>20</v>
      </c>
      <c r="G1662" s="3" t="s">
        <v>6839</v>
      </c>
      <c r="H1662" s="1" t="s">
        <v>22</v>
      </c>
      <c r="I1662" s="1" t="n">
        <v>20240430075554</v>
      </c>
      <c r="J1662" s="3" t="s">
        <v>6840</v>
      </c>
      <c r="K1662" s="3" t="s">
        <v>6841</v>
      </c>
      <c r="L1662" s="3" t="s">
        <v>6842</v>
      </c>
      <c r="M1662" s="3" t="n">
        <v>168410</v>
      </c>
      <c r="N1662" s="3" t="s">
        <v>104</v>
      </c>
      <c r="O1662" s="1" t="n">
        <v>152024</v>
      </c>
      <c r="P1662" s="1" t="n">
        <v>90.27</v>
      </c>
      <c r="Q1662" s="1" t="s">
        <v>20</v>
      </c>
      <c r="R1662" s="1" t="s">
        <v>27</v>
      </c>
      <c r="S1662" s="1" t="s">
        <v>28</v>
      </c>
      <c r="T1662" s="1" t="s">
        <v>29</v>
      </c>
    </row>
    <row r="1663" customFormat="false" ht="18.7" hidden="false" customHeight="true" outlineLevel="0" collapsed="false">
      <c r="A1663" s="1" t="n">
        <v>1662</v>
      </c>
      <c r="B1663" s="6" t="str">
        <f aca="false">HYPERLINK("https://mncourtfraud.com/file/MCRO_27-CR-21-1977_Order for Conditional Release_2021-04-06_20240430075628.pdf","MCRO_27-CR-21-1977_Order for Conditional Release_2021-04-06_20240430075628.pdf")</f>
        <v>MCRO_27-CR-21-1977_Order for Conditional Release_2021-04-06_20240430075628.pdf</v>
      </c>
      <c r="C1663" s="1" t="n">
        <v>6</v>
      </c>
      <c r="D1663" s="1" t="n">
        <v>54</v>
      </c>
      <c r="E1663" s="1" t="n">
        <v>2</v>
      </c>
      <c r="F1663" s="3" t="s">
        <v>20</v>
      </c>
      <c r="G1663" s="3" t="s">
        <v>6843</v>
      </c>
      <c r="H1663" s="1" t="s">
        <v>22</v>
      </c>
      <c r="I1663" s="1" t="n">
        <v>20240430075628</v>
      </c>
      <c r="J1663" s="3" t="s">
        <v>6844</v>
      </c>
      <c r="K1663" s="3" t="s">
        <v>6845</v>
      </c>
      <c r="L1663" s="3" t="s">
        <v>6846</v>
      </c>
      <c r="M1663" s="3" t="n">
        <v>826431</v>
      </c>
      <c r="N1663" s="3" t="s">
        <v>6847</v>
      </c>
      <c r="O1663" s="1" t="n">
        <v>810045</v>
      </c>
      <c r="P1663" s="1" t="n">
        <v>98.02</v>
      </c>
      <c r="Q1663" s="1" t="s">
        <v>20</v>
      </c>
      <c r="R1663" s="1" t="s">
        <v>27</v>
      </c>
      <c r="S1663" s="1" t="s">
        <v>28</v>
      </c>
      <c r="T1663" s="1" t="s">
        <v>29</v>
      </c>
    </row>
    <row r="1664" customFormat="false" ht="18.7" hidden="false" customHeight="true" outlineLevel="0" collapsed="false">
      <c r="A1664" s="1" t="n">
        <v>1663</v>
      </c>
      <c r="B1664" s="6" t="str">
        <f aca="false">HYPERLINK("https://mncourtfraud.com/file/MCRO_27-CR-21-1977_Returned Mail_2021-03-26_20240430075629.pdf","MCRO_27-CR-21-1977_Returned Mail_2021-03-26_20240430075629.pdf")</f>
        <v>MCRO_27-CR-21-1977_Returned Mail_2021-03-26_20240430075629.pdf</v>
      </c>
      <c r="C1664" s="1" t="n">
        <v>4</v>
      </c>
      <c r="D1664" s="1" t="n">
        <v>1</v>
      </c>
      <c r="E1664" s="1" t="n">
        <v>1</v>
      </c>
      <c r="F1664" s="3" t="s">
        <v>20</v>
      </c>
      <c r="G1664" s="3" t="s">
        <v>6848</v>
      </c>
      <c r="H1664" s="1" t="s">
        <v>22</v>
      </c>
      <c r="I1664" s="1" t="n">
        <v>20240430075629</v>
      </c>
      <c r="J1664" s="3" t="s">
        <v>6849</v>
      </c>
      <c r="K1664" s="3" t="s">
        <v>6850</v>
      </c>
      <c r="L1664" s="3" t="s">
        <v>6851</v>
      </c>
      <c r="M1664" s="3" t="n">
        <v>172363</v>
      </c>
      <c r="N1664" s="3" t="s">
        <v>614</v>
      </c>
      <c r="O1664" s="1" t="n">
        <v>155977</v>
      </c>
      <c r="P1664" s="1" t="n">
        <v>90.49</v>
      </c>
      <c r="Q1664" s="1" t="s">
        <v>20</v>
      </c>
      <c r="R1664" s="1" t="s">
        <v>27</v>
      </c>
      <c r="S1664" s="1" t="s">
        <v>28</v>
      </c>
      <c r="T1664" s="1" t="s">
        <v>29</v>
      </c>
    </row>
    <row r="1665" customFormat="false" ht="18.7" hidden="false" customHeight="true" outlineLevel="0" collapsed="false">
      <c r="A1665" s="1" t="n">
        <v>1664</v>
      </c>
      <c r="B1665" s="6" t="str">
        <f aca="false">HYPERLINK("https://mncourtfraud.com/file/MCRO_27-CR-21-1977_Returned Mail_2022-04-27_20240430075612.pdf","MCRO_27-CR-21-1977_Returned Mail_2022-04-27_20240430075612.pdf")</f>
        <v>MCRO_27-CR-21-1977_Returned Mail_2022-04-27_20240430075612.pdf</v>
      </c>
      <c r="C1665" s="1" t="n">
        <v>4</v>
      </c>
      <c r="D1665" s="1" t="n">
        <v>1</v>
      </c>
      <c r="E1665" s="1" t="n">
        <v>1</v>
      </c>
      <c r="F1665" s="3" t="s">
        <v>20</v>
      </c>
      <c r="G1665" s="3" t="s">
        <v>6852</v>
      </c>
      <c r="H1665" s="1" t="s">
        <v>22</v>
      </c>
      <c r="I1665" s="1" t="n">
        <v>20240430075612</v>
      </c>
      <c r="J1665" s="3" t="s">
        <v>6821</v>
      </c>
      <c r="K1665" s="3" t="s">
        <v>6822</v>
      </c>
      <c r="L1665" s="3" t="s">
        <v>6853</v>
      </c>
      <c r="M1665" s="3" t="n">
        <v>94045</v>
      </c>
      <c r="N1665" s="3" t="s">
        <v>456</v>
      </c>
      <c r="O1665" s="1" t="n">
        <v>77659</v>
      </c>
      <c r="P1665" s="1" t="n">
        <v>82.58</v>
      </c>
      <c r="Q1665" s="1" t="s">
        <v>20</v>
      </c>
      <c r="R1665" s="1" t="s">
        <v>27</v>
      </c>
      <c r="S1665" s="1" t="s">
        <v>28</v>
      </c>
      <c r="T1665" s="1" t="s">
        <v>29</v>
      </c>
    </row>
    <row r="1666" customFormat="false" ht="18.7" hidden="false" customHeight="true" outlineLevel="0" collapsed="false">
      <c r="A1666" s="1" t="n">
        <v>1665</v>
      </c>
      <c r="B1666" s="6" t="str">
        <f aca="false">HYPERLINK("https://mncourtfraud.com/file/MCRO_27-CR-21-1977_Returned Mail_2022-08-04_20240430075610.pdf","MCRO_27-CR-21-1977_Returned Mail_2022-08-04_20240430075610.pdf")</f>
        <v>MCRO_27-CR-21-1977_Returned Mail_2022-08-04_20240430075610.pdf</v>
      </c>
      <c r="C1666" s="1" t="n">
        <v>4</v>
      </c>
      <c r="D1666" s="1" t="n">
        <v>1</v>
      </c>
      <c r="E1666" s="1" t="n">
        <v>1</v>
      </c>
      <c r="F1666" s="3" t="s">
        <v>20</v>
      </c>
      <c r="G1666" s="3" t="s">
        <v>6854</v>
      </c>
      <c r="H1666" s="1" t="s">
        <v>22</v>
      </c>
      <c r="I1666" s="1" t="n">
        <v>20240430075610</v>
      </c>
      <c r="J1666" s="3" t="s">
        <v>6855</v>
      </c>
      <c r="K1666" s="3" t="s">
        <v>6856</v>
      </c>
      <c r="L1666" s="3" t="s">
        <v>6857</v>
      </c>
      <c r="M1666" s="3" t="n">
        <v>384251</v>
      </c>
      <c r="N1666" s="3" t="s">
        <v>456</v>
      </c>
      <c r="O1666" s="1" t="n">
        <v>367865</v>
      </c>
      <c r="P1666" s="1" t="n">
        <v>95.74</v>
      </c>
      <c r="Q1666" s="1" t="s">
        <v>20</v>
      </c>
      <c r="R1666" s="1" t="s">
        <v>27</v>
      </c>
      <c r="S1666" s="1" t="s">
        <v>28</v>
      </c>
      <c r="T1666" s="1" t="s">
        <v>29</v>
      </c>
    </row>
    <row r="1667" customFormat="false" ht="18.7" hidden="false" customHeight="true" outlineLevel="0" collapsed="false">
      <c r="A1667" s="1" t="n">
        <v>1666</v>
      </c>
      <c r="B1667" s="6" t="str">
        <f aca="false">HYPERLINK("https://mncourtfraud.com/file/MCRO_27-CR-21-1977_Returned Mail_2022-09-09_20240430075607.pdf","MCRO_27-CR-21-1977_Returned Mail_2022-09-09_20240430075607.pdf")</f>
        <v>MCRO_27-CR-21-1977_Returned Mail_2022-09-09_20240430075607.pdf</v>
      </c>
      <c r="C1667" s="1" t="n">
        <v>4</v>
      </c>
      <c r="D1667" s="1" t="n">
        <v>1</v>
      </c>
      <c r="E1667" s="1" t="n">
        <v>1</v>
      </c>
      <c r="F1667" s="3" t="s">
        <v>20</v>
      </c>
      <c r="G1667" s="3" t="s">
        <v>6858</v>
      </c>
      <c r="H1667" s="1" t="s">
        <v>22</v>
      </c>
      <c r="I1667" s="1" t="n">
        <v>20240430075607</v>
      </c>
      <c r="J1667" s="3" t="s">
        <v>6859</v>
      </c>
      <c r="K1667" s="3" t="s">
        <v>6860</v>
      </c>
      <c r="L1667" s="3" t="s">
        <v>6861</v>
      </c>
      <c r="M1667" s="3" t="n">
        <v>443994</v>
      </c>
      <c r="N1667" s="3" t="s">
        <v>456</v>
      </c>
      <c r="O1667" s="1" t="n">
        <v>427608</v>
      </c>
      <c r="P1667" s="1" t="n">
        <v>96.31</v>
      </c>
      <c r="Q1667" s="1" t="s">
        <v>20</v>
      </c>
      <c r="R1667" s="1" t="s">
        <v>27</v>
      </c>
      <c r="S1667" s="1" t="s">
        <v>28</v>
      </c>
      <c r="T1667" s="1" t="s">
        <v>29</v>
      </c>
    </row>
    <row r="1668" customFormat="false" ht="18.7" hidden="false" customHeight="true" outlineLevel="0" collapsed="false">
      <c r="A1668" s="1" t="n">
        <v>1667</v>
      </c>
      <c r="B1668" s="6" t="str">
        <f aca="false">HYPERLINK("https://mncourtfraud.com/file/MCRO_27-CR-21-1977_Returned Mail_2022-11-01_20240430075603.pdf","MCRO_27-CR-21-1977_Returned Mail_2022-11-01_20240430075603.pdf")</f>
        <v>MCRO_27-CR-21-1977_Returned Mail_2022-11-01_20240430075603.pdf</v>
      </c>
      <c r="C1668" s="1" t="n">
        <v>4</v>
      </c>
      <c r="D1668" s="1" t="n">
        <v>1</v>
      </c>
      <c r="E1668" s="1" t="n">
        <v>1</v>
      </c>
      <c r="F1668" s="3" t="s">
        <v>20</v>
      </c>
      <c r="G1668" s="3" t="s">
        <v>6862</v>
      </c>
      <c r="H1668" s="1" t="s">
        <v>22</v>
      </c>
      <c r="I1668" s="1" t="n">
        <v>20240430075603</v>
      </c>
      <c r="J1668" s="3" t="s">
        <v>6863</v>
      </c>
      <c r="K1668" s="3" t="s">
        <v>6864</v>
      </c>
      <c r="L1668" s="3" t="s">
        <v>6865</v>
      </c>
      <c r="M1668" s="3" t="n">
        <v>234663</v>
      </c>
      <c r="N1668" s="3" t="s">
        <v>158</v>
      </c>
      <c r="O1668" s="1" t="n">
        <v>218277</v>
      </c>
      <c r="P1668" s="1" t="n">
        <v>93.02</v>
      </c>
      <c r="Q1668" s="1" t="s">
        <v>20</v>
      </c>
      <c r="R1668" s="1" t="s">
        <v>27</v>
      </c>
      <c r="S1668" s="1" t="s">
        <v>28</v>
      </c>
      <c r="T1668" s="1" t="s">
        <v>29</v>
      </c>
    </row>
    <row r="1669" customFormat="false" ht="18.7" hidden="false" customHeight="true" outlineLevel="0" collapsed="false">
      <c r="A1669" s="1" t="n">
        <v>1668</v>
      </c>
      <c r="B1669" s="6" t="str">
        <f aca="false">HYPERLINK("https://mncourtfraud.com/file/MCRO_27-CR-21-1977_Returned Mail_2023-05-09_20240430075559.pdf","MCRO_27-CR-21-1977_Returned Mail_2023-05-09_20240430075559.pdf")</f>
        <v>MCRO_27-CR-21-1977_Returned Mail_2023-05-09_20240430075559.pdf</v>
      </c>
      <c r="C1669" s="1" t="n">
        <v>4</v>
      </c>
      <c r="D1669" s="1" t="n">
        <v>1</v>
      </c>
      <c r="E1669" s="1" t="n">
        <v>1</v>
      </c>
      <c r="F1669" s="3" t="s">
        <v>20</v>
      </c>
      <c r="G1669" s="3" t="s">
        <v>6866</v>
      </c>
      <c r="H1669" s="1" t="s">
        <v>22</v>
      </c>
      <c r="I1669" s="1" t="n">
        <v>20240430075559</v>
      </c>
      <c r="J1669" s="3" t="s">
        <v>6867</v>
      </c>
      <c r="K1669" s="3" t="s">
        <v>6868</v>
      </c>
      <c r="L1669" s="3" t="s">
        <v>6869</v>
      </c>
      <c r="M1669" s="3" t="n">
        <v>296993</v>
      </c>
      <c r="N1669" s="3" t="s">
        <v>158</v>
      </c>
      <c r="O1669" s="1" t="n">
        <v>280607</v>
      </c>
      <c r="P1669" s="1" t="n">
        <v>94.48</v>
      </c>
      <c r="Q1669" s="1" t="s">
        <v>20</v>
      </c>
      <c r="R1669" s="1" t="s">
        <v>27</v>
      </c>
      <c r="S1669" s="1" t="s">
        <v>28</v>
      </c>
      <c r="T1669" s="1" t="s">
        <v>29</v>
      </c>
    </row>
    <row r="1670" customFormat="false" ht="18.7" hidden="false" customHeight="true" outlineLevel="0" collapsed="false">
      <c r="A1670" s="1" t="n">
        <v>1669</v>
      </c>
      <c r="B1670" s="6" t="str">
        <f aca="false">HYPERLINK("https://mncourtfraud.com/file/MCRO_27-CR-21-1977_Returned Mail_2023-05-18_20240430075557.pdf","MCRO_27-CR-21-1977_Returned Mail_2023-05-18_20240430075557.pdf")</f>
        <v>MCRO_27-CR-21-1977_Returned Mail_2023-05-18_20240430075557.pdf</v>
      </c>
      <c r="C1670" s="1" t="n">
        <v>4</v>
      </c>
      <c r="D1670" s="1" t="n">
        <v>1</v>
      </c>
      <c r="E1670" s="1" t="n">
        <v>1</v>
      </c>
      <c r="F1670" s="3" t="s">
        <v>20</v>
      </c>
      <c r="G1670" s="3" t="s">
        <v>6870</v>
      </c>
      <c r="H1670" s="1" t="s">
        <v>22</v>
      </c>
      <c r="I1670" s="1" t="n">
        <v>20240430075557</v>
      </c>
      <c r="J1670" s="3" t="s">
        <v>6871</v>
      </c>
      <c r="K1670" s="3" t="s">
        <v>6872</v>
      </c>
      <c r="L1670" s="3" t="s">
        <v>4754</v>
      </c>
      <c r="M1670" s="3" t="n">
        <v>227168</v>
      </c>
      <c r="N1670" s="3" t="s">
        <v>119</v>
      </c>
      <c r="O1670" s="1" t="n">
        <v>210782</v>
      </c>
      <c r="P1670" s="1" t="n">
        <v>92.79</v>
      </c>
      <c r="Q1670" s="1" t="s">
        <v>20</v>
      </c>
      <c r="R1670" s="1" t="s">
        <v>27</v>
      </c>
      <c r="S1670" s="1" t="s">
        <v>28</v>
      </c>
      <c r="T1670" s="1" t="s">
        <v>29</v>
      </c>
    </row>
    <row r="1671" customFormat="false" ht="18.7" hidden="false" customHeight="true" outlineLevel="0" collapsed="false">
      <c r="A1671" s="1" t="n">
        <v>1670</v>
      </c>
      <c r="B1671" s="6" t="str">
        <f aca="false">HYPERLINK("https://mncourtfraud.com/file/MCRO_27-CR-21-1977_Returned Mail_2023-10-11_20240430075553.pdf","MCRO_27-CR-21-1977_Returned Mail_2023-10-11_20240430075553.pdf")</f>
        <v>MCRO_27-CR-21-1977_Returned Mail_2023-10-11_20240430075553.pdf</v>
      </c>
      <c r="C1671" s="1" t="n">
        <v>4</v>
      </c>
      <c r="D1671" s="1" t="n">
        <v>1</v>
      </c>
      <c r="E1671" s="1" t="n">
        <v>1</v>
      </c>
      <c r="F1671" s="3" t="s">
        <v>20</v>
      </c>
      <c r="G1671" s="3" t="s">
        <v>6873</v>
      </c>
      <c r="H1671" s="1" t="s">
        <v>22</v>
      </c>
      <c r="I1671" s="1" t="n">
        <v>20240430075553</v>
      </c>
      <c r="J1671" s="3" t="s">
        <v>6874</v>
      </c>
      <c r="K1671" s="3" t="s">
        <v>6875</v>
      </c>
      <c r="L1671" s="3" t="s">
        <v>6876</v>
      </c>
      <c r="M1671" s="3" t="n">
        <v>287928</v>
      </c>
      <c r="N1671" s="3" t="s">
        <v>158</v>
      </c>
      <c r="O1671" s="1" t="n">
        <v>271542</v>
      </c>
      <c r="P1671" s="1" t="n">
        <v>94.31</v>
      </c>
      <c r="Q1671" s="1" t="s">
        <v>20</v>
      </c>
      <c r="R1671" s="1" t="s">
        <v>27</v>
      </c>
      <c r="S1671" s="1" t="s">
        <v>28</v>
      </c>
      <c r="T1671" s="1" t="s">
        <v>29</v>
      </c>
    </row>
    <row r="1672" customFormat="false" ht="18.7" hidden="false" customHeight="true" outlineLevel="0" collapsed="false">
      <c r="A1672" s="1" t="n">
        <v>1671</v>
      </c>
      <c r="B1672" s="6" t="str">
        <f aca="false">HYPERLINK("https://mncourtfraud.com/file/MCRO_27-CR-21-1977_Returned Mail_2023-11-14_20240430075549.pdf","MCRO_27-CR-21-1977_Returned Mail_2023-11-14_20240430075549.pdf")</f>
        <v>MCRO_27-CR-21-1977_Returned Mail_2023-11-14_20240430075549.pdf</v>
      </c>
      <c r="C1672" s="1" t="n">
        <v>4</v>
      </c>
      <c r="D1672" s="1" t="n">
        <v>1</v>
      </c>
      <c r="E1672" s="1" t="n">
        <v>1</v>
      </c>
      <c r="F1672" s="3" t="s">
        <v>20</v>
      </c>
      <c r="G1672" s="3" t="s">
        <v>6877</v>
      </c>
      <c r="H1672" s="1" t="s">
        <v>22</v>
      </c>
      <c r="I1672" s="1" t="n">
        <v>20240430075549</v>
      </c>
      <c r="J1672" s="3" t="s">
        <v>6878</v>
      </c>
      <c r="K1672" s="3" t="s">
        <v>6879</v>
      </c>
      <c r="L1672" s="3" t="s">
        <v>6880</v>
      </c>
      <c r="M1672" s="3" t="n">
        <v>286475</v>
      </c>
      <c r="N1672" s="3" t="s">
        <v>158</v>
      </c>
      <c r="O1672" s="1" t="n">
        <v>270089</v>
      </c>
      <c r="P1672" s="1" t="n">
        <v>94.28</v>
      </c>
      <c r="Q1672" s="1" t="s">
        <v>20</v>
      </c>
      <c r="R1672" s="1" t="s">
        <v>27</v>
      </c>
      <c r="S1672" s="1" t="s">
        <v>28</v>
      </c>
      <c r="T1672" s="1" t="s">
        <v>29</v>
      </c>
    </row>
    <row r="1673" customFormat="false" ht="18.7" hidden="false" customHeight="true" outlineLevel="0" collapsed="false">
      <c r="A1673" s="1" t="n">
        <v>1672</v>
      </c>
      <c r="B1673" s="6" t="str">
        <f aca="false">HYPERLINK("https://mncourtfraud.com/file/MCRO_27-CR-21-1977_Returned Mail_2023-12-04_20240430075548.pdf","MCRO_27-CR-21-1977_Returned Mail_2023-12-04_20240430075548.pdf")</f>
        <v>MCRO_27-CR-21-1977_Returned Mail_2023-12-04_20240430075548.pdf</v>
      </c>
      <c r="C1673" s="1" t="n">
        <v>4</v>
      </c>
      <c r="D1673" s="1" t="n">
        <v>1</v>
      </c>
      <c r="E1673" s="1" t="n">
        <v>1</v>
      </c>
      <c r="F1673" s="3" t="s">
        <v>20</v>
      </c>
      <c r="G1673" s="3" t="s">
        <v>6881</v>
      </c>
      <c r="H1673" s="1" t="s">
        <v>22</v>
      </c>
      <c r="I1673" s="1" t="n">
        <v>20240430075548</v>
      </c>
      <c r="J1673" s="3" t="s">
        <v>6882</v>
      </c>
      <c r="K1673" s="3" t="s">
        <v>6883</v>
      </c>
      <c r="L1673" s="3" t="s">
        <v>6884</v>
      </c>
      <c r="M1673" s="3" t="n">
        <v>101807</v>
      </c>
      <c r="N1673" s="3" t="s">
        <v>435</v>
      </c>
      <c r="O1673" s="1" t="n">
        <v>85421</v>
      </c>
      <c r="P1673" s="1" t="n">
        <v>83.9</v>
      </c>
      <c r="Q1673" s="1" t="s">
        <v>20</v>
      </c>
      <c r="R1673" s="1" t="s">
        <v>27</v>
      </c>
      <c r="S1673" s="1" t="s">
        <v>28</v>
      </c>
      <c r="T1673" s="1" t="s">
        <v>29</v>
      </c>
    </row>
    <row r="1674" customFormat="false" ht="18.7" hidden="false" customHeight="true" outlineLevel="0" collapsed="false">
      <c r="A1674" s="1" t="n">
        <v>1673</v>
      </c>
      <c r="B1674" s="6" t="str">
        <f aca="false">HYPERLINK("https://mncourtfraud.com/file/MCRO_27-CR-21-1977_Warrant Issued_2021-03-25_20240430075630.pdf","MCRO_27-CR-21-1977_Warrant Issued_2021-03-25_20240430075630.pdf")</f>
        <v>MCRO_27-CR-21-1977_Warrant Issued_2021-03-25_20240430075630.pdf</v>
      </c>
      <c r="C1674" s="1" t="n">
        <v>5</v>
      </c>
      <c r="D1674" s="1" t="n">
        <v>1</v>
      </c>
      <c r="E1674" s="1" t="n">
        <v>1</v>
      </c>
      <c r="F1674" s="3" t="s">
        <v>20</v>
      </c>
      <c r="G1674" s="3" t="s">
        <v>6885</v>
      </c>
      <c r="H1674" s="1" t="s">
        <v>22</v>
      </c>
      <c r="I1674" s="1" t="n">
        <v>20240430075630</v>
      </c>
      <c r="J1674" s="3" t="s">
        <v>6886</v>
      </c>
      <c r="K1674" s="3" t="s">
        <v>6887</v>
      </c>
      <c r="L1674" s="3" t="s">
        <v>6888</v>
      </c>
      <c r="M1674" s="3" t="n">
        <v>263393</v>
      </c>
      <c r="N1674" s="3" t="s">
        <v>1205</v>
      </c>
      <c r="O1674" s="1" t="n">
        <v>247007</v>
      </c>
      <c r="P1674" s="1" t="n">
        <v>93.78</v>
      </c>
      <c r="Q1674" s="1" t="s">
        <v>20</v>
      </c>
      <c r="R1674" s="1" t="s">
        <v>27</v>
      </c>
      <c r="S1674" s="1" t="s">
        <v>28</v>
      </c>
      <c r="T1674" s="1" t="s">
        <v>29</v>
      </c>
    </row>
    <row r="1675" customFormat="false" ht="18.7" hidden="false" customHeight="true" outlineLevel="0" collapsed="false">
      <c r="A1675" s="1" t="n">
        <v>1674</v>
      </c>
      <c r="B1675" s="6" t="str">
        <f aca="false">HYPERLINK("https://mncourtfraud.com/file/MCRO_27-CR-21-1978_Demand or Request for Discovery_2021-04-07_20240430075736.pdf","MCRO_27-CR-21-1978_Demand or Request for Discovery_2021-04-07_20240430075736.pdf")</f>
        <v>MCRO_27-CR-21-1978_Demand or Request for Discovery_2021-04-07_20240430075736.pdf</v>
      </c>
      <c r="C1675" s="1" t="n">
        <v>3</v>
      </c>
      <c r="D1675" s="1" t="n">
        <v>1</v>
      </c>
      <c r="E1675" s="1" t="n">
        <v>1</v>
      </c>
      <c r="F1675" s="3" t="s">
        <v>20</v>
      </c>
      <c r="G1675" s="3" t="s">
        <v>6889</v>
      </c>
      <c r="H1675" s="1" t="s">
        <v>22</v>
      </c>
      <c r="I1675" s="1" t="n">
        <v>20240430075736</v>
      </c>
      <c r="J1675" s="3" t="s">
        <v>6890</v>
      </c>
      <c r="K1675" s="3" t="s">
        <v>6891</v>
      </c>
      <c r="L1675" s="3" t="s">
        <v>6892</v>
      </c>
      <c r="M1675" s="3" t="n">
        <v>304419</v>
      </c>
      <c r="N1675" s="3" t="s">
        <v>6893</v>
      </c>
      <c r="O1675" s="1" t="n">
        <v>288033</v>
      </c>
      <c r="P1675" s="1" t="n">
        <v>94.62</v>
      </c>
      <c r="Q1675" s="1" t="s">
        <v>20</v>
      </c>
      <c r="R1675" s="1" t="s">
        <v>27</v>
      </c>
      <c r="S1675" s="1" t="s">
        <v>28</v>
      </c>
      <c r="T1675" s="1" t="s">
        <v>29</v>
      </c>
    </row>
    <row r="1676" customFormat="false" ht="18.7" hidden="false" customHeight="true" outlineLevel="0" collapsed="false">
      <c r="A1676" s="1" t="n">
        <v>1675</v>
      </c>
      <c r="B1676" s="6" t="str">
        <f aca="false">HYPERLINK("https://mncourtfraud.com/file/MCRO_27-CR-21-1978_E-filed Comp-Summons_2021-01-29_20240430075741.pdf","MCRO_27-CR-21-1978_E-filed Comp-Summons_2021-01-29_20240430075741.pdf")</f>
        <v>MCRO_27-CR-21-1978_E-filed Comp-Summons_2021-01-29_20240430075741.pdf</v>
      </c>
      <c r="C1676" s="1" t="n">
        <v>4</v>
      </c>
      <c r="D1676" s="1" t="n">
        <v>2</v>
      </c>
      <c r="E1676" s="1" t="n">
        <v>2</v>
      </c>
      <c r="F1676" s="3" t="s">
        <v>20</v>
      </c>
      <c r="G1676" s="3" t="s">
        <v>6894</v>
      </c>
      <c r="H1676" s="1" t="s">
        <v>22</v>
      </c>
      <c r="I1676" s="1" t="n">
        <v>20240430075741</v>
      </c>
      <c r="J1676" s="3" t="s">
        <v>6895</v>
      </c>
      <c r="K1676" s="3" t="s">
        <v>6896</v>
      </c>
      <c r="L1676" s="3" t="s">
        <v>6897</v>
      </c>
      <c r="M1676" s="3" t="n">
        <v>499537</v>
      </c>
      <c r="N1676" s="3" t="s">
        <v>5604</v>
      </c>
      <c r="O1676" s="1" t="n">
        <v>483151</v>
      </c>
      <c r="P1676" s="1" t="n">
        <v>96.72</v>
      </c>
      <c r="Q1676" s="1" t="s">
        <v>20</v>
      </c>
      <c r="R1676" s="1" t="s">
        <v>27</v>
      </c>
      <c r="S1676" s="1" t="s">
        <v>28</v>
      </c>
      <c r="T1676" s="1" t="s">
        <v>29</v>
      </c>
    </row>
    <row r="1677" customFormat="false" ht="18.7" hidden="false" customHeight="true" outlineLevel="0" collapsed="false">
      <c r="A1677" s="1" t="n">
        <v>1676</v>
      </c>
      <c r="B1677" s="6" t="str">
        <f aca="false">HYPERLINK("https://mncourtfraud.com/file/MCRO_27-CR-21-1978_Findings of Fact, Conclusions of Law and Order_2022-10-27_20240430075715.pdf","MCRO_27-CR-21-1978_Findings of Fact, Conclusions of Law and Order_2022-10-27_20240430075715.pdf")</f>
        <v>MCRO_27-CR-21-1978_Findings of Fact, Conclusions of Law and Order_2022-10-27_20240430075715.pdf</v>
      </c>
      <c r="C1677" s="1" t="n">
        <v>4</v>
      </c>
      <c r="D1677" s="1" t="n">
        <v>1</v>
      </c>
      <c r="E1677" s="1" t="n">
        <v>1</v>
      </c>
      <c r="F1677" s="3" t="s">
        <v>20</v>
      </c>
      <c r="G1677" s="3" t="s">
        <v>6898</v>
      </c>
      <c r="H1677" s="1" t="s">
        <v>22</v>
      </c>
      <c r="I1677" s="1" t="n">
        <v>20240430075715</v>
      </c>
      <c r="J1677" s="3" t="s">
        <v>6899</v>
      </c>
      <c r="K1677" s="3" t="s">
        <v>6900</v>
      </c>
      <c r="L1677" s="3" t="s">
        <v>6901</v>
      </c>
      <c r="M1677" s="3" t="n">
        <v>351973</v>
      </c>
      <c r="N1677" s="3" t="s">
        <v>619</v>
      </c>
      <c r="O1677" s="1" t="n">
        <v>335587</v>
      </c>
      <c r="P1677" s="1" t="n">
        <v>95.34</v>
      </c>
      <c r="Q1677" s="1" t="s">
        <v>20</v>
      </c>
      <c r="R1677" s="1" t="s">
        <v>27</v>
      </c>
      <c r="S1677" s="1" t="s">
        <v>28</v>
      </c>
      <c r="T1677" s="1" t="s">
        <v>29</v>
      </c>
    </row>
    <row r="1678" customFormat="false" ht="18.7" hidden="false" customHeight="true" outlineLevel="0" collapsed="false">
      <c r="A1678" s="1" t="n">
        <v>1677</v>
      </c>
      <c r="B1678" s="6" t="str">
        <f aca="false">HYPERLINK("https://mncourtfraud.com/file/MCRO_27-CR-21-1978_Law Enforcement Bail Bond Receipt_2022-03-22_20240430075726.pdf","MCRO_27-CR-21-1978_Law Enforcement Bail Bond Receipt_2022-03-22_20240430075726.pdf")</f>
        <v>MCRO_27-CR-21-1978_Law Enforcement Bail Bond Receipt_2022-03-22_20240430075726.pdf</v>
      </c>
      <c r="C1678" s="1" t="n">
        <v>4</v>
      </c>
      <c r="D1678" s="1" t="n">
        <v>1</v>
      </c>
      <c r="E1678" s="1" t="n">
        <v>1</v>
      </c>
      <c r="F1678" s="3" t="s">
        <v>20</v>
      </c>
      <c r="G1678" s="3" t="s">
        <v>6902</v>
      </c>
      <c r="H1678" s="1" t="s">
        <v>22</v>
      </c>
      <c r="I1678" s="1" t="n">
        <v>20240430075726</v>
      </c>
      <c r="J1678" s="3" t="s">
        <v>6903</v>
      </c>
      <c r="K1678" s="3" t="s">
        <v>6904</v>
      </c>
      <c r="L1678" s="3" t="s">
        <v>6905</v>
      </c>
      <c r="M1678" s="3" t="n">
        <v>111705</v>
      </c>
      <c r="N1678" s="3" t="s">
        <v>456</v>
      </c>
      <c r="O1678" s="1" t="n">
        <v>95319</v>
      </c>
      <c r="P1678" s="1" t="n">
        <v>85.33</v>
      </c>
      <c r="Q1678" s="1" t="s">
        <v>20</v>
      </c>
      <c r="R1678" s="1" t="s">
        <v>27</v>
      </c>
      <c r="S1678" s="1" t="s">
        <v>28</v>
      </c>
      <c r="T1678" s="1" t="s">
        <v>29</v>
      </c>
    </row>
    <row r="1679" customFormat="false" ht="18.7" hidden="false" customHeight="true" outlineLevel="0" collapsed="false">
      <c r="A1679" s="1" t="n">
        <v>1678</v>
      </c>
      <c r="B1679" s="6" t="str">
        <f aca="false">HYPERLINK("https://mncourtfraud.com/file/MCRO_27-CR-21-1978_Law Enforcement Notice of Release and Appearance_2022-02-10_20240430075728.pdf","MCRO_27-CR-21-1978_Law Enforcement Notice of Release and Appearance_2022-02-10_20240430075728.pdf")</f>
        <v>MCRO_27-CR-21-1978_Law Enforcement Notice of Release and Appearance_2022-02-10_20240430075728.pdf</v>
      </c>
      <c r="C1679" s="1" t="n">
        <v>4</v>
      </c>
      <c r="D1679" s="1" t="n">
        <v>1</v>
      </c>
      <c r="E1679" s="1" t="n">
        <v>1</v>
      </c>
      <c r="F1679" s="3" t="s">
        <v>20</v>
      </c>
      <c r="G1679" s="3" t="s">
        <v>6906</v>
      </c>
      <c r="H1679" s="1" t="s">
        <v>22</v>
      </c>
      <c r="I1679" s="1" t="n">
        <v>20240430075728</v>
      </c>
      <c r="J1679" s="3" t="s">
        <v>6907</v>
      </c>
      <c r="K1679" s="3" t="s">
        <v>6908</v>
      </c>
      <c r="L1679" s="3" t="s">
        <v>6909</v>
      </c>
      <c r="M1679" s="3" t="n">
        <v>167727</v>
      </c>
      <c r="N1679" s="3" t="s">
        <v>1065</v>
      </c>
      <c r="O1679" s="1" t="n">
        <v>151341</v>
      </c>
      <c r="P1679" s="1" t="n">
        <v>90.23</v>
      </c>
      <c r="Q1679" s="1" t="s">
        <v>20</v>
      </c>
      <c r="R1679" s="1" t="s">
        <v>27</v>
      </c>
      <c r="S1679" s="1" t="s">
        <v>28</v>
      </c>
      <c r="T1679" s="1" t="s">
        <v>29</v>
      </c>
    </row>
    <row r="1680" customFormat="false" ht="18.7" hidden="false" customHeight="true" outlineLevel="0" collapsed="false">
      <c r="A1680" s="1" t="n">
        <v>1679</v>
      </c>
      <c r="B1680" s="6" t="str">
        <f aca="false">HYPERLINK("https://mncourtfraud.com/file/MCRO_27-CR-21-1978_Notice of Case Reassignment_2022-01-28_20240430075730.pdf","MCRO_27-CR-21-1978_Notice of Case Reassignment_2022-01-28_20240430075730.pdf")</f>
        <v>MCRO_27-CR-21-1978_Notice of Case Reassignment_2022-01-28_20240430075730.pdf</v>
      </c>
      <c r="C1680" s="1" t="n">
        <v>4</v>
      </c>
      <c r="D1680" s="1" t="n">
        <v>1</v>
      </c>
      <c r="E1680" s="1" t="n">
        <v>1</v>
      </c>
      <c r="F1680" s="3" t="s">
        <v>20</v>
      </c>
      <c r="G1680" s="3" t="s">
        <v>6910</v>
      </c>
      <c r="H1680" s="1" t="s">
        <v>22</v>
      </c>
      <c r="I1680" s="1" t="n">
        <v>20240430075730</v>
      </c>
      <c r="J1680" s="3" t="s">
        <v>6911</v>
      </c>
      <c r="K1680" s="3" t="s">
        <v>6912</v>
      </c>
      <c r="L1680" s="3" t="s">
        <v>6913</v>
      </c>
      <c r="M1680" s="3" t="n">
        <v>91906</v>
      </c>
      <c r="N1680" s="3" t="s">
        <v>456</v>
      </c>
      <c r="O1680" s="1" t="n">
        <v>75520</v>
      </c>
      <c r="P1680" s="1" t="n">
        <v>82.17</v>
      </c>
      <c r="Q1680" s="1" t="s">
        <v>20</v>
      </c>
      <c r="R1680" s="1" t="s">
        <v>27</v>
      </c>
      <c r="S1680" s="1" t="s">
        <v>28</v>
      </c>
      <c r="T1680" s="1" t="s">
        <v>29</v>
      </c>
    </row>
    <row r="1681" customFormat="false" ht="18.7" hidden="false" customHeight="true" outlineLevel="0" collapsed="false">
      <c r="A1681" s="1" t="n">
        <v>1680</v>
      </c>
      <c r="B1681" s="6" t="str">
        <f aca="false">HYPERLINK("https://mncourtfraud.com/file/MCRO_27-CR-21-1978_Notice of Hearing_2022-09-06_20240430075720.pdf","MCRO_27-CR-21-1978_Notice of Hearing_2022-09-06_20240430075720.pdf")</f>
        <v>MCRO_27-CR-21-1978_Notice of Hearing_2022-09-06_20240430075720.pdf</v>
      </c>
      <c r="C1681" s="1" t="n">
        <v>4</v>
      </c>
      <c r="D1681" s="1" t="n">
        <v>1</v>
      </c>
      <c r="E1681" s="1" t="n">
        <v>1</v>
      </c>
      <c r="F1681" s="3" t="s">
        <v>20</v>
      </c>
      <c r="G1681" s="3" t="s">
        <v>6914</v>
      </c>
      <c r="H1681" s="1" t="s">
        <v>22</v>
      </c>
      <c r="I1681" s="1" t="n">
        <v>20240430075720</v>
      </c>
      <c r="J1681" s="3" t="s">
        <v>6915</v>
      </c>
      <c r="K1681" s="3" t="s">
        <v>6916</v>
      </c>
      <c r="L1681" s="3" t="s">
        <v>6917</v>
      </c>
      <c r="M1681" s="3" t="n">
        <v>696237</v>
      </c>
      <c r="N1681" s="3" t="s">
        <v>1330</v>
      </c>
      <c r="O1681" s="1" t="n">
        <v>679851</v>
      </c>
      <c r="P1681" s="1" t="n">
        <v>97.65</v>
      </c>
      <c r="Q1681" s="1" t="s">
        <v>20</v>
      </c>
      <c r="R1681" s="1" t="s">
        <v>27</v>
      </c>
      <c r="S1681" s="1" t="s">
        <v>28</v>
      </c>
      <c r="T1681" s="1" t="s">
        <v>29</v>
      </c>
    </row>
    <row r="1682" customFormat="false" ht="18.7" hidden="false" customHeight="true" outlineLevel="0" collapsed="false">
      <c r="A1682" s="1" t="n">
        <v>1681</v>
      </c>
      <c r="B1682" s="6" t="str">
        <f aca="false">HYPERLINK("https://mncourtfraud.com/file/MCRO_27-CR-21-1978_Notice of Hearing_2022-09-23_20240430075718.pdf","MCRO_27-CR-21-1978_Notice of Hearing_2022-09-23_20240430075718.pdf")</f>
        <v>MCRO_27-CR-21-1978_Notice of Hearing_2022-09-23_20240430075718.pdf</v>
      </c>
      <c r="C1682" s="1" t="n">
        <v>4</v>
      </c>
      <c r="D1682" s="1" t="n">
        <v>1</v>
      </c>
      <c r="E1682" s="1" t="n">
        <v>1</v>
      </c>
      <c r="F1682" s="3" t="s">
        <v>20</v>
      </c>
      <c r="G1682" s="3" t="s">
        <v>6918</v>
      </c>
      <c r="H1682" s="1" t="s">
        <v>22</v>
      </c>
      <c r="I1682" s="1" t="n">
        <v>20240430075718</v>
      </c>
      <c r="J1682" s="3" t="s">
        <v>6919</v>
      </c>
      <c r="K1682" s="3" t="s">
        <v>6920</v>
      </c>
      <c r="L1682" s="3" t="s">
        <v>4622</v>
      </c>
      <c r="M1682" s="3" t="n">
        <v>779395</v>
      </c>
      <c r="N1682" s="3" t="s">
        <v>1574</v>
      </c>
      <c r="O1682" s="1" t="n">
        <v>763009</v>
      </c>
      <c r="P1682" s="1" t="n">
        <v>97.9</v>
      </c>
      <c r="Q1682" s="1" t="s">
        <v>20</v>
      </c>
      <c r="R1682" s="1" t="s">
        <v>27</v>
      </c>
      <c r="S1682" s="1" t="s">
        <v>28</v>
      </c>
      <c r="T1682" s="1" t="s">
        <v>29</v>
      </c>
    </row>
    <row r="1683" customFormat="false" ht="18.7" hidden="false" customHeight="true" outlineLevel="0" collapsed="false">
      <c r="A1683" s="1" t="n">
        <v>1682</v>
      </c>
      <c r="B1683" s="6" t="str">
        <f aca="false">HYPERLINK("https://mncourtfraud.com/file/MCRO_27-CR-21-1978_Notice of Hearing_2022-10-26_20240430075717.pdf","MCRO_27-CR-21-1978_Notice of Hearing_2022-10-26_20240430075717.pdf")</f>
        <v>MCRO_27-CR-21-1978_Notice of Hearing_2022-10-26_20240430075717.pdf</v>
      </c>
      <c r="C1683" s="1" t="n">
        <v>4</v>
      </c>
      <c r="D1683" s="1" t="n">
        <v>1</v>
      </c>
      <c r="E1683" s="1" t="n">
        <v>1</v>
      </c>
      <c r="F1683" s="3" t="s">
        <v>20</v>
      </c>
      <c r="G1683" s="3" t="s">
        <v>6921</v>
      </c>
      <c r="H1683" s="1" t="s">
        <v>22</v>
      </c>
      <c r="I1683" s="1" t="n">
        <v>20240430075717</v>
      </c>
      <c r="J1683" s="3" t="s">
        <v>6922</v>
      </c>
      <c r="K1683" s="3" t="s">
        <v>6923</v>
      </c>
      <c r="L1683" s="3" t="s">
        <v>6924</v>
      </c>
      <c r="M1683" s="3" t="n">
        <v>807373</v>
      </c>
      <c r="N1683" s="3" t="s">
        <v>89</v>
      </c>
      <c r="O1683" s="1" t="n">
        <v>790987</v>
      </c>
      <c r="P1683" s="1" t="n">
        <v>97.97</v>
      </c>
      <c r="Q1683" s="1" t="s">
        <v>20</v>
      </c>
      <c r="R1683" s="1" t="s">
        <v>27</v>
      </c>
      <c r="S1683" s="1" t="s">
        <v>28</v>
      </c>
      <c r="T1683" s="1" t="s">
        <v>29</v>
      </c>
    </row>
    <row r="1684" customFormat="false" ht="18.7" hidden="false" customHeight="true" outlineLevel="0" collapsed="false">
      <c r="A1684" s="1" t="n">
        <v>1683</v>
      </c>
      <c r="B1684" s="6" t="str">
        <f aca="false">HYPERLINK("https://mncourtfraud.com/file/MCRO_27-CR-21-1978_Notice of Hearing_2023-03-23_20240430075712.pdf","MCRO_27-CR-21-1978_Notice of Hearing_2023-03-23_20240430075712.pdf")</f>
        <v>MCRO_27-CR-21-1978_Notice of Hearing_2023-03-23_20240430075712.pdf</v>
      </c>
      <c r="C1684" s="1" t="n">
        <v>4</v>
      </c>
      <c r="D1684" s="1" t="n">
        <v>1</v>
      </c>
      <c r="E1684" s="1" t="n">
        <v>1</v>
      </c>
      <c r="F1684" s="3" t="s">
        <v>20</v>
      </c>
      <c r="G1684" s="3" t="s">
        <v>6925</v>
      </c>
      <c r="H1684" s="1" t="s">
        <v>22</v>
      </c>
      <c r="I1684" s="1" t="n">
        <v>20240430075712</v>
      </c>
      <c r="J1684" s="3" t="s">
        <v>6926</v>
      </c>
      <c r="K1684" s="3" t="s">
        <v>6927</v>
      </c>
      <c r="L1684" s="3" t="s">
        <v>6928</v>
      </c>
      <c r="M1684" s="3" t="n">
        <v>730183</v>
      </c>
      <c r="N1684" s="3" t="s">
        <v>913</v>
      </c>
      <c r="O1684" s="1" t="n">
        <v>713797</v>
      </c>
      <c r="P1684" s="1" t="n">
        <v>97.76</v>
      </c>
      <c r="Q1684" s="1" t="s">
        <v>20</v>
      </c>
      <c r="R1684" s="1" t="s">
        <v>27</v>
      </c>
      <c r="S1684" s="1" t="s">
        <v>28</v>
      </c>
      <c r="T1684" s="1" t="s">
        <v>29</v>
      </c>
    </row>
    <row r="1685" customFormat="false" ht="18.7" hidden="false" customHeight="true" outlineLevel="0" collapsed="false">
      <c r="A1685" s="1" t="n">
        <v>1684</v>
      </c>
      <c r="B1685" s="6" t="str">
        <f aca="false">HYPERLINK("https://mncourtfraud.com/file/MCRO_27-CR-21-1978_Notice of Hearing_2023-04-05_20240430075711.pdf","MCRO_27-CR-21-1978_Notice of Hearing_2023-04-05_20240430075711.pdf")</f>
        <v>MCRO_27-CR-21-1978_Notice of Hearing_2023-04-05_20240430075711.pdf</v>
      </c>
      <c r="C1685" s="1" t="n">
        <v>4</v>
      </c>
      <c r="D1685" s="1" t="n">
        <v>1</v>
      </c>
      <c r="E1685" s="1" t="n">
        <v>1</v>
      </c>
      <c r="F1685" s="3" t="s">
        <v>20</v>
      </c>
      <c r="G1685" s="3" t="s">
        <v>6929</v>
      </c>
      <c r="H1685" s="1" t="s">
        <v>22</v>
      </c>
      <c r="I1685" s="1" t="n">
        <v>20240430075711</v>
      </c>
      <c r="J1685" s="3" t="s">
        <v>6930</v>
      </c>
      <c r="K1685" s="3" t="s">
        <v>6931</v>
      </c>
      <c r="L1685" s="3" t="s">
        <v>6932</v>
      </c>
      <c r="M1685" s="3" t="n">
        <v>730177</v>
      </c>
      <c r="N1685" s="3" t="s">
        <v>913</v>
      </c>
      <c r="O1685" s="1" t="n">
        <v>713791</v>
      </c>
      <c r="P1685" s="1" t="n">
        <v>97.76</v>
      </c>
      <c r="Q1685" s="1" t="s">
        <v>20</v>
      </c>
      <c r="R1685" s="1" t="s">
        <v>27</v>
      </c>
      <c r="S1685" s="1" t="s">
        <v>28</v>
      </c>
      <c r="T1685" s="1" t="s">
        <v>29</v>
      </c>
    </row>
    <row r="1686" customFormat="false" ht="18.7" hidden="false" customHeight="true" outlineLevel="0" collapsed="false">
      <c r="A1686" s="1" t="n">
        <v>1685</v>
      </c>
      <c r="B1686" s="6" t="str">
        <f aca="false">HYPERLINK("https://mncourtfraud.com/file/MCRO_27-CR-21-1978_Notice of Hearing_2023-08-25_20240430075708.pdf","MCRO_27-CR-21-1978_Notice of Hearing_2023-08-25_20240430075708.pdf")</f>
        <v>MCRO_27-CR-21-1978_Notice of Hearing_2023-08-25_20240430075708.pdf</v>
      </c>
      <c r="C1686" s="1" t="n">
        <v>4</v>
      </c>
      <c r="D1686" s="1" t="n">
        <v>1</v>
      </c>
      <c r="E1686" s="1" t="n">
        <v>1</v>
      </c>
      <c r="F1686" s="3" t="s">
        <v>20</v>
      </c>
      <c r="G1686" s="3" t="s">
        <v>6933</v>
      </c>
      <c r="H1686" s="1" t="s">
        <v>22</v>
      </c>
      <c r="I1686" s="1" t="n">
        <v>20240430075708</v>
      </c>
      <c r="J1686" s="3" t="s">
        <v>6934</v>
      </c>
      <c r="K1686" s="3" t="s">
        <v>6935</v>
      </c>
      <c r="L1686" s="3" t="s">
        <v>6936</v>
      </c>
      <c r="M1686" s="3" t="n">
        <v>747859</v>
      </c>
      <c r="N1686" s="3" t="s">
        <v>4639</v>
      </c>
      <c r="O1686" s="1" t="n">
        <v>731473</v>
      </c>
      <c r="P1686" s="1" t="n">
        <v>97.81</v>
      </c>
      <c r="Q1686" s="1" t="s">
        <v>20</v>
      </c>
      <c r="R1686" s="1" t="s">
        <v>27</v>
      </c>
      <c r="S1686" s="1" t="s">
        <v>28</v>
      </c>
      <c r="T1686" s="1" t="s">
        <v>29</v>
      </c>
    </row>
    <row r="1687" customFormat="false" ht="18.7" hidden="false" customHeight="true" outlineLevel="0" collapsed="false">
      <c r="A1687" s="1" t="n">
        <v>1686</v>
      </c>
      <c r="B1687" s="6" t="str">
        <f aca="false">HYPERLINK("https://mncourtfraud.com/file/MCRO_27-CR-21-1978_Notice of Hearing_2023-10-24_20240430075704.pdf","MCRO_27-CR-21-1978_Notice of Hearing_2023-10-24_20240430075704.pdf")</f>
        <v>MCRO_27-CR-21-1978_Notice of Hearing_2023-10-24_20240430075704.pdf</v>
      </c>
      <c r="C1687" s="1" t="n">
        <v>4</v>
      </c>
      <c r="D1687" s="1" t="n">
        <v>1</v>
      </c>
      <c r="E1687" s="1" t="n">
        <v>1</v>
      </c>
      <c r="F1687" s="3" t="s">
        <v>20</v>
      </c>
      <c r="G1687" s="3" t="s">
        <v>6937</v>
      </c>
      <c r="H1687" s="1" t="s">
        <v>22</v>
      </c>
      <c r="I1687" s="1" t="n">
        <v>20240430075704</v>
      </c>
      <c r="J1687" s="3" t="s">
        <v>6938</v>
      </c>
      <c r="K1687" s="3" t="s">
        <v>6939</v>
      </c>
      <c r="L1687" s="3" t="s">
        <v>6777</v>
      </c>
      <c r="M1687" s="3" t="n">
        <v>369118</v>
      </c>
      <c r="N1687" s="3" t="s">
        <v>119</v>
      </c>
      <c r="O1687" s="1" t="n">
        <v>352732</v>
      </c>
      <c r="P1687" s="1" t="n">
        <v>95.56</v>
      </c>
      <c r="Q1687" s="1" t="s">
        <v>20</v>
      </c>
      <c r="R1687" s="1" t="s">
        <v>27</v>
      </c>
      <c r="S1687" s="1" t="s">
        <v>28</v>
      </c>
      <c r="T1687" s="1" t="s">
        <v>29</v>
      </c>
    </row>
    <row r="1688" customFormat="false" ht="18.7" hidden="false" customHeight="true" outlineLevel="0" collapsed="false">
      <c r="A1688" s="1" t="n">
        <v>1687</v>
      </c>
      <c r="B1688" s="6" t="str">
        <f aca="false">HYPERLINK("https://mncourtfraud.com/file/MCRO_27-CR-21-1978_Notice of Hearing_2023-10-25_20240430075703.pdf","MCRO_27-CR-21-1978_Notice of Hearing_2023-10-25_20240430075703.pdf")</f>
        <v>MCRO_27-CR-21-1978_Notice of Hearing_2023-10-25_20240430075703.pdf</v>
      </c>
      <c r="C1688" s="1" t="n">
        <v>4</v>
      </c>
      <c r="D1688" s="1" t="n">
        <v>1</v>
      </c>
      <c r="E1688" s="1" t="n">
        <v>1</v>
      </c>
      <c r="F1688" s="3" t="s">
        <v>20</v>
      </c>
      <c r="G1688" s="3" t="s">
        <v>6940</v>
      </c>
      <c r="H1688" s="1" t="s">
        <v>22</v>
      </c>
      <c r="I1688" s="1" t="n">
        <v>20240430075703</v>
      </c>
      <c r="J1688" s="3" t="s">
        <v>6941</v>
      </c>
      <c r="K1688" s="3" t="s">
        <v>6942</v>
      </c>
      <c r="L1688" s="3" t="s">
        <v>6943</v>
      </c>
      <c r="M1688" s="3" t="n">
        <v>730276</v>
      </c>
      <c r="N1688" s="3" t="s">
        <v>913</v>
      </c>
      <c r="O1688" s="1" t="n">
        <v>713890</v>
      </c>
      <c r="P1688" s="1" t="n">
        <v>97.76</v>
      </c>
      <c r="Q1688" s="1" t="s">
        <v>20</v>
      </c>
      <c r="R1688" s="1" t="s">
        <v>27</v>
      </c>
      <c r="S1688" s="1" t="s">
        <v>28</v>
      </c>
      <c r="T1688" s="1" t="s">
        <v>29</v>
      </c>
    </row>
    <row r="1689" customFormat="false" ht="18.7" hidden="false" customHeight="true" outlineLevel="0" collapsed="false">
      <c r="A1689" s="1" t="n">
        <v>1688</v>
      </c>
      <c r="B1689" s="6" t="str">
        <f aca="false">HYPERLINK("https://mncourtfraud.com/file/MCRO_27-CR-21-1978_Notice of Remote Hearing with Instructions_2021-01-29_20240430075740.pdf","MCRO_27-CR-21-1978_Notice of Remote Hearing with Instructions_2021-01-29_20240430075740.pdf")</f>
        <v>MCRO_27-CR-21-1978_Notice of Remote Hearing with Instructions_2021-01-29_20240430075740.pdf</v>
      </c>
      <c r="C1689" s="1" t="n">
        <v>5</v>
      </c>
      <c r="D1689" s="1" t="n">
        <v>1</v>
      </c>
      <c r="E1689" s="1" t="n">
        <v>1</v>
      </c>
      <c r="F1689" s="3" t="s">
        <v>20</v>
      </c>
      <c r="G1689" s="3" t="s">
        <v>6944</v>
      </c>
      <c r="H1689" s="1" t="s">
        <v>22</v>
      </c>
      <c r="I1689" s="1" t="n">
        <v>20240430075740</v>
      </c>
      <c r="J1689" s="3" t="s">
        <v>6945</v>
      </c>
      <c r="K1689" s="3" t="s">
        <v>6946</v>
      </c>
      <c r="L1689" s="3" t="s">
        <v>6947</v>
      </c>
      <c r="M1689" s="3" t="n">
        <v>1254366</v>
      </c>
      <c r="N1689" s="3" t="s">
        <v>476</v>
      </c>
      <c r="O1689" s="1" t="n">
        <v>1237980</v>
      </c>
      <c r="P1689" s="1" t="n">
        <v>98.69</v>
      </c>
      <c r="Q1689" s="1" t="s">
        <v>20</v>
      </c>
      <c r="R1689" s="1" t="s">
        <v>27</v>
      </c>
      <c r="S1689" s="1" t="s">
        <v>28</v>
      </c>
      <c r="T1689" s="1" t="s">
        <v>29</v>
      </c>
    </row>
    <row r="1690" customFormat="false" ht="18.7" hidden="false" customHeight="true" outlineLevel="0" collapsed="false">
      <c r="A1690" s="1" t="n">
        <v>1689</v>
      </c>
      <c r="B1690" s="6" t="str">
        <f aca="false">HYPERLINK("https://mncourtfraud.com/file/MCRO_27-CR-21-1978_Notice of Remote Hearing with Instructions_2021-04-06_20240430075737.pdf","MCRO_27-CR-21-1978_Notice of Remote Hearing with Instructions_2021-04-06_20240430075737.pdf")</f>
        <v>MCRO_27-CR-21-1978_Notice of Remote Hearing with Instructions_2021-04-06_20240430075737.pdf</v>
      </c>
      <c r="C1690" s="1" t="n">
        <v>5</v>
      </c>
      <c r="D1690" s="1" t="n">
        <v>1</v>
      </c>
      <c r="E1690" s="1" t="n">
        <v>1</v>
      </c>
      <c r="F1690" s="3" t="s">
        <v>20</v>
      </c>
      <c r="G1690" s="3" t="s">
        <v>6948</v>
      </c>
      <c r="H1690" s="1" t="s">
        <v>22</v>
      </c>
      <c r="I1690" s="1" t="n">
        <v>20240430075737</v>
      </c>
      <c r="J1690" s="3" t="s">
        <v>6949</v>
      </c>
      <c r="K1690" s="3" t="s">
        <v>6950</v>
      </c>
      <c r="L1690" s="3" t="s">
        <v>6951</v>
      </c>
      <c r="M1690" s="3" t="n">
        <v>839734</v>
      </c>
      <c r="N1690" s="3" t="s">
        <v>849</v>
      </c>
      <c r="O1690" s="1" t="n">
        <v>823348</v>
      </c>
      <c r="P1690" s="1" t="n">
        <v>98.05</v>
      </c>
      <c r="Q1690" s="1" t="s">
        <v>20</v>
      </c>
      <c r="R1690" s="1" t="s">
        <v>27</v>
      </c>
      <c r="S1690" s="1" t="s">
        <v>28</v>
      </c>
      <c r="T1690" s="1" t="s">
        <v>29</v>
      </c>
    </row>
    <row r="1691" customFormat="false" ht="18.7" hidden="false" customHeight="true" outlineLevel="0" collapsed="false">
      <c r="A1691" s="1" t="n">
        <v>1690</v>
      </c>
      <c r="B1691" s="6" t="str">
        <f aca="false">HYPERLINK("https://mncourtfraud.com/file/MCRO_27-CR-21-1978_Notice of Remote Hearing with Instructions_2021-06-21_20240430075734.pdf","MCRO_27-CR-21-1978_Notice of Remote Hearing with Instructions_2021-06-21_20240430075734.pdf")</f>
        <v>MCRO_27-CR-21-1978_Notice of Remote Hearing with Instructions_2021-06-21_20240430075734.pdf</v>
      </c>
      <c r="C1691" s="1" t="n">
        <v>4</v>
      </c>
      <c r="D1691" s="1" t="n">
        <v>1</v>
      </c>
      <c r="E1691" s="1" t="n">
        <v>1</v>
      </c>
      <c r="F1691" s="3" t="s">
        <v>20</v>
      </c>
      <c r="G1691" s="3" t="s">
        <v>6952</v>
      </c>
      <c r="H1691" s="1" t="s">
        <v>22</v>
      </c>
      <c r="I1691" s="1" t="n">
        <v>20240430075734</v>
      </c>
      <c r="J1691" s="3" t="s">
        <v>6953</v>
      </c>
      <c r="K1691" s="3" t="s">
        <v>6954</v>
      </c>
      <c r="L1691" s="3" t="s">
        <v>6955</v>
      </c>
      <c r="M1691" s="3" t="n">
        <v>163914</v>
      </c>
      <c r="N1691" s="3" t="s">
        <v>1065</v>
      </c>
      <c r="O1691" s="1" t="n">
        <v>147528</v>
      </c>
      <c r="P1691" s="1" t="n">
        <v>90</v>
      </c>
      <c r="Q1691" s="1" t="s">
        <v>20</v>
      </c>
      <c r="R1691" s="1" t="s">
        <v>27</v>
      </c>
      <c r="S1691" s="1" t="s">
        <v>28</v>
      </c>
      <c r="T1691" s="1" t="s">
        <v>29</v>
      </c>
    </row>
    <row r="1692" customFormat="false" ht="18.7" hidden="false" customHeight="true" outlineLevel="0" collapsed="false">
      <c r="A1692" s="1" t="n">
        <v>1691</v>
      </c>
      <c r="B1692" s="6" t="str">
        <f aca="false">HYPERLINK("https://mncourtfraud.com/file/MCRO_27-CR-21-1978_Notice of Remote Hearing with Instructions_2021-07-21_20240430075733.pdf","MCRO_27-CR-21-1978_Notice of Remote Hearing with Instructions_2021-07-21_20240430075733.pdf")</f>
        <v>MCRO_27-CR-21-1978_Notice of Remote Hearing with Instructions_2021-07-21_20240430075733.pdf</v>
      </c>
      <c r="C1692" s="1" t="n">
        <v>4</v>
      </c>
      <c r="D1692" s="1" t="n">
        <v>1</v>
      </c>
      <c r="E1692" s="1" t="n">
        <v>1</v>
      </c>
      <c r="F1692" s="3" t="s">
        <v>20</v>
      </c>
      <c r="G1692" s="3" t="s">
        <v>6956</v>
      </c>
      <c r="H1692" s="1" t="s">
        <v>22</v>
      </c>
      <c r="I1692" s="1" t="n">
        <v>20240430075733</v>
      </c>
      <c r="J1692" s="3" t="s">
        <v>6957</v>
      </c>
      <c r="K1692" s="3" t="s">
        <v>6958</v>
      </c>
      <c r="L1692" s="3" t="s">
        <v>6797</v>
      </c>
      <c r="M1692" s="3" t="n">
        <v>165902</v>
      </c>
      <c r="N1692" s="3" t="s">
        <v>1248</v>
      </c>
      <c r="O1692" s="1" t="n">
        <v>149516</v>
      </c>
      <c r="P1692" s="1" t="n">
        <v>90.12</v>
      </c>
      <c r="Q1692" s="1" t="s">
        <v>20</v>
      </c>
      <c r="R1692" s="1" t="s">
        <v>27</v>
      </c>
      <c r="S1692" s="1" t="s">
        <v>28</v>
      </c>
      <c r="T1692" s="1" t="s">
        <v>29</v>
      </c>
    </row>
    <row r="1693" customFormat="false" ht="18.7" hidden="false" customHeight="true" outlineLevel="0" collapsed="false">
      <c r="A1693" s="1" t="n">
        <v>1692</v>
      </c>
      <c r="B1693" s="6" t="str">
        <f aca="false">HYPERLINK("https://mncourtfraud.com/file/MCRO_27-CR-21-1978_Notice of Remote Hearing with Instructions_2021-10-12_20240430075732.pdf","MCRO_27-CR-21-1978_Notice of Remote Hearing with Instructions_2021-10-12_20240430075732.pdf")</f>
        <v>MCRO_27-CR-21-1978_Notice of Remote Hearing with Instructions_2021-10-12_20240430075732.pdf</v>
      </c>
      <c r="C1693" s="1" t="n">
        <v>4</v>
      </c>
      <c r="D1693" s="1" t="n">
        <v>1</v>
      </c>
      <c r="E1693" s="1" t="n">
        <v>1</v>
      </c>
      <c r="F1693" s="3" t="s">
        <v>20</v>
      </c>
      <c r="G1693" s="3" t="s">
        <v>6959</v>
      </c>
      <c r="H1693" s="1" t="s">
        <v>22</v>
      </c>
      <c r="I1693" s="1" t="n">
        <v>20240430075732</v>
      </c>
      <c r="J1693" s="3" t="s">
        <v>6960</v>
      </c>
      <c r="K1693" s="3" t="s">
        <v>6961</v>
      </c>
      <c r="L1693" s="3" t="s">
        <v>6962</v>
      </c>
      <c r="M1693" s="3" t="n">
        <v>140392</v>
      </c>
      <c r="N1693" s="3" t="s">
        <v>361</v>
      </c>
      <c r="O1693" s="1" t="n">
        <v>124006</v>
      </c>
      <c r="P1693" s="1" t="n">
        <v>88.33</v>
      </c>
      <c r="Q1693" s="1" t="s">
        <v>20</v>
      </c>
      <c r="R1693" s="1" t="s">
        <v>27</v>
      </c>
      <c r="S1693" s="1" t="s">
        <v>28</v>
      </c>
      <c r="T1693" s="1" t="s">
        <v>29</v>
      </c>
    </row>
    <row r="1694" customFormat="false" ht="18.7" hidden="false" customHeight="true" outlineLevel="0" collapsed="false">
      <c r="A1694" s="1" t="n">
        <v>1693</v>
      </c>
      <c r="B1694" s="6" t="str">
        <f aca="false">HYPERLINK("https://mncourtfraud.com/file/MCRO_27-CR-21-1978_Notice of Remote Hearing with Instructions_2021-11-23_20240430075731.pdf","MCRO_27-CR-21-1978_Notice of Remote Hearing with Instructions_2021-11-23_20240430075731.pdf")</f>
        <v>MCRO_27-CR-21-1978_Notice of Remote Hearing with Instructions_2021-11-23_20240430075731.pdf</v>
      </c>
      <c r="C1694" s="1" t="n">
        <v>4</v>
      </c>
      <c r="D1694" s="1" t="n">
        <v>1</v>
      </c>
      <c r="E1694" s="1" t="n">
        <v>1</v>
      </c>
      <c r="F1694" s="3" t="s">
        <v>20</v>
      </c>
      <c r="G1694" s="3" t="s">
        <v>6963</v>
      </c>
      <c r="H1694" s="1" t="s">
        <v>22</v>
      </c>
      <c r="I1694" s="1" t="n">
        <v>20240430075731</v>
      </c>
      <c r="J1694" s="3" t="s">
        <v>6964</v>
      </c>
      <c r="K1694" s="3" t="s">
        <v>6965</v>
      </c>
      <c r="L1694" s="3" t="s">
        <v>6966</v>
      </c>
      <c r="M1694" s="3" t="n">
        <v>141553</v>
      </c>
      <c r="N1694" s="3" t="s">
        <v>361</v>
      </c>
      <c r="O1694" s="1" t="n">
        <v>125167</v>
      </c>
      <c r="P1694" s="1" t="n">
        <v>88.42</v>
      </c>
      <c r="Q1694" s="1" t="s">
        <v>20</v>
      </c>
      <c r="R1694" s="1" t="s">
        <v>27</v>
      </c>
      <c r="S1694" s="1" t="s">
        <v>28</v>
      </c>
      <c r="T1694" s="1" t="s">
        <v>29</v>
      </c>
    </row>
    <row r="1695" customFormat="false" ht="18.7" hidden="false" customHeight="true" outlineLevel="0" collapsed="false">
      <c r="A1695" s="1" t="n">
        <v>1694</v>
      </c>
      <c r="B1695" s="6" t="str">
        <f aca="false">HYPERLINK("https://mncourtfraud.com/file/MCRO_27-CR-21-1978_Notice of Remote Hearing with Instructions_2022-02-10_20240430075729.pdf","MCRO_27-CR-21-1978_Notice of Remote Hearing with Instructions_2022-02-10_20240430075729.pdf")</f>
        <v>MCRO_27-CR-21-1978_Notice of Remote Hearing with Instructions_2022-02-10_20240430075729.pdf</v>
      </c>
      <c r="C1695" s="1" t="n">
        <v>5</v>
      </c>
      <c r="D1695" s="1" t="n">
        <v>1</v>
      </c>
      <c r="E1695" s="1" t="n">
        <v>1</v>
      </c>
      <c r="F1695" s="3" t="s">
        <v>20</v>
      </c>
      <c r="G1695" s="3" t="s">
        <v>6967</v>
      </c>
      <c r="H1695" s="1" t="s">
        <v>22</v>
      </c>
      <c r="I1695" s="1" t="n">
        <v>20240430075729</v>
      </c>
      <c r="J1695" s="3" t="s">
        <v>6968</v>
      </c>
      <c r="K1695" s="3" t="s">
        <v>6969</v>
      </c>
      <c r="L1695" s="3" t="s">
        <v>6970</v>
      </c>
      <c r="M1695" s="3" t="n">
        <v>856225</v>
      </c>
      <c r="N1695" s="3" t="s">
        <v>665</v>
      </c>
      <c r="O1695" s="1" t="n">
        <v>839839</v>
      </c>
      <c r="P1695" s="1" t="n">
        <v>98.09</v>
      </c>
      <c r="Q1695" s="1" t="s">
        <v>20</v>
      </c>
      <c r="R1695" s="1" t="s">
        <v>27</v>
      </c>
      <c r="S1695" s="1" t="s">
        <v>28</v>
      </c>
      <c r="T1695" s="1" t="s">
        <v>29</v>
      </c>
    </row>
    <row r="1696" customFormat="false" ht="18.7" hidden="false" customHeight="true" outlineLevel="0" collapsed="false">
      <c r="A1696" s="1" t="n">
        <v>1695</v>
      </c>
      <c r="B1696" s="6" t="str">
        <f aca="false">HYPERLINK("https://mncourtfraud.com/file/MCRO_27-CR-21-1978_Notice of Remote Hearing with Instructions_2022-03-14_20240430075727.pdf","MCRO_27-CR-21-1978_Notice of Remote Hearing with Instructions_2022-03-14_20240430075727.pdf")</f>
        <v>MCRO_27-CR-21-1978_Notice of Remote Hearing with Instructions_2022-03-14_20240430075727.pdf</v>
      </c>
      <c r="C1696" s="1" t="n">
        <v>4</v>
      </c>
      <c r="D1696" s="1" t="n">
        <v>1</v>
      </c>
      <c r="E1696" s="1" t="n">
        <v>1</v>
      </c>
      <c r="F1696" s="3" t="s">
        <v>20</v>
      </c>
      <c r="G1696" s="3" t="s">
        <v>6971</v>
      </c>
      <c r="H1696" s="1" t="s">
        <v>22</v>
      </c>
      <c r="I1696" s="1" t="n">
        <v>20240430075727</v>
      </c>
      <c r="J1696" s="3" t="s">
        <v>6972</v>
      </c>
      <c r="K1696" s="3" t="s">
        <v>6973</v>
      </c>
      <c r="L1696" s="3" t="s">
        <v>6813</v>
      </c>
      <c r="M1696" s="3" t="n">
        <v>755514</v>
      </c>
      <c r="N1696" s="3" t="s">
        <v>3445</v>
      </c>
      <c r="O1696" s="1" t="n">
        <v>739128</v>
      </c>
      <c r="P1696" s="1" t="n">
        <v>97.83</v>
      </c>
      <c r="Q1696" s="1" t="s">
        <v>20</v>
      </c>
      <c r="R1696" s="1" t="s">
        <v>27</v>
      </c>
      <c r="S1696" s="1" t="s">
        <v>28</v>
      </c>
      <c r="T1696" s="1" t="s">
        <v>29</v>
      </c>
    </row>
    <row r="1697" customFormat="false" ht="18.7" hidden="false" customHeight="true" outlineLevel="0" collapsed="false">
      <c r="A1697" s="1" t="n">
        <v>1696</v>
      </c>
      <c r="B1697" s="6" t="str">
        <f aca="false">HYPERLINK("https://mncourtfraud.com/file/MCRO_27-CR-21-1978_Notice of Remote Hearing with Instructions_2022-03-23_20240430075725.pdf","MCRO_27-CR-21-1978_Notice of Remote Hearing with Instructions_2022-03-23_20240430075725.pdf")</f>
        <v>MCRO_27-CR-21-1978_Notice of Remote Hearing with Instructions_2022-03-23_20240430075725.pdf</v>
      </c>
      <c r="C1697" s="1" t="n">
        <v>4</v>
      </c>
      <c r="D1697" s="1" t="n">
        <v>1</v>
      </c>
      <c r="E1697" s="1" t="n">
        <v>1</v>
      </c>
      <c r="F1697" s="3" t="s">
        <v>20</v>
      </c>
      <c r="G1697" s="3" t="s">
        <v>6974</v>
      </c>
      <c r="H1697" s="1" t="s">
        <v>22</v>
      </c>
      <c r="I1697" s="1" t="n">
        <v>20240430075725</v>
      </c>
      <c r="J1697" s="3" t="s">
        <v>6975</v>
      </c>
      <c r="K1697" s="3" t="s">
        <v>4678</v>
      </c>
      <c r="L1697" s="3" t="s">
        <v>4679</v>
      </c>
      <c r="M1697" s="3" t="n">
        <v>892912</v>
      </c>
      <c r="N1697" s="3" t="s">
        <v>4680</v>
      </c>
      <c r="O1697" s="1" t="n">
        <v>876526</v>
      </c>
      <c r="P1697" s="1" t="n">
        <v>98.16</v>
      </c>
      <c r="Q1697" s="1" t="s">
        <v>20</v>
      </c>
      <c r="R1697" s="1" t="s">
        <v>27</v>
      </c>
      <c r="S1697" s="1" t="s">
        <v>28</v>
      </c>
      <c r="T1697" s="1" t="s">
        <v>29</v>
      </c>
    </row>
    <row r="1698" customFormat="false" ht="18.7" hidden="false" customHeight="true" outlineLevel="0" collapsed="false">
      <c r="A1698" s="1" t="n">
        <v>1697</v>
      </c>
      <c r="B1698" s="6" t="str">
        <f aca="false">HYPERLINK("https://mncourtfraud.com/file/MCRO_27-CR-21-1978_Notice of Remote Hearing with Instructions_2022-04-11_20240430075724.pdf","MCRO_27-CR-21-1978_Notice of Remote Hearing with Instructions_2022-04-11_20240430075724.pdf")</f>
        <v>MCRO_27-CR-21-1978_Notice of Remote Hearing with Instructions_2022-04-11_20240430075724.pdf</v>
      </c>
      <c r="C1698" s="1" t="n">
        <v>4</v>
      </c>
      <c r="D1698" s="1" t="n">
        <v>1</v>
      </c>
      <c r="E1698" s="1" t="n">
        <v>1</v>
      </c>
      <c r="F1698" s="3" t="s">
        <v>20</v>
      </c>
      <c r="G1698" s="3" t="s">
        <v>6976</v>
      </c>
      <c r="H1698" s="1" t="s">
        <v>22</v>
      </c>
      <c r="I1698" s="1" t="n">
        <v>20240430075724</v>
      </c>
      <c r="J1698" s="3" t="s">
        <v>6977</v>
      </c>
      <c r="K1698" s="3" t="s">
        <v>6978</v>
      </c>
      <c r="L1698" s="3" t="s">
        <v>6979</v>
      </c>
      <c r="M1698" s="3" t="n">
        <v>826673</v>
      </c>
      <c r="N1698" s="3" t="s">
        <v>4685</v>
      </c>
      <c r="O1698" s="1" t="n">
        <v>810287</v>
      </c>
      <c r="P1698" s="1" t="n">
        <v>98.02</v>
      </c>
      <c r="Q1698" s="1" t="s">
        <v>20</v>
      </c>
      <c r="R1698" s="1" t="s">
        <v>27</v>
      </c>
      <c r="S1698" s="1" t="s">
        <v>28</v>
      </c>
      <c r="T1698" s="1" t="s">
        <v>29</v>
      </c>
    </row>
    <row r="1699" customFormat="false" ht="18.7" hidden="false" customHeight="true" outlineLevel="0" collapsed="false">
      <c r="A1699" s="1" t="n">
        <v>1698</v>
      </c>
      <c r="B1699" s="6" t="str">
        <f aca="false">HYPERLINK("https://mncourtfraud.com/file/MCRO_27-CR-21-1978_Notice of Remote Hearing with Instructions_2022-06-22_20240430075722.pdf","MCRO_27-CR-21-1978_Notice of Remote Hearing with Instructions_2022-06-22_20240430075722.pdf")</f>
        <v>MCRO_27-CR-21-1978_Notice of Remote Hearing with Instructions_2022-06-22_20240430075722.pdf</v>
      </c>
      <c r="C1699" s="1" t="n">
        <v>4</v>
      </c>
      <c r="D1699" s="1" t="n">
        <v>1</v>
      </c>
      <c r="E1699" s="1" t="n">
        <v>1</v>
      </c>
      <c r="F1699" s="3" t="s">
        <v>20</v>
      </c>
      <c r="G1699" s="3" t="s">
        <v>6980</v>
      </c>
      <c r="H1699" s="1" t="s">
        <v>22</v>
      </c>
      <c r="I1699" s="1" t="n">
        <v>20240430075722</v>
      </c>
      <c r="J1699" s="3" t="s">
        <v>6981</v>
      </c>
      <c r="K1699" s="3" t="s">
        <v>6982</v>
      </c>
      <c r="L1699" s="3" t="s">
        <v>6983</v>
      </c>
      <c r="M1699" s="3" t="n">
        <v>1972626</v>
      </c>
      <c r="N1699" s="3" t="s">
        <v>4690</v>
      </c>
      <c r="O1699" s="1" t="n">
        <v>1956240</v>
      </c>
      <c r="P1699" s="1" t="n">
        <v>99.17</v>
      </c>
      <c r="Q1699" s="1" t="s">
        <v>20</v>
      </c>
      <c r="R1699" s="1" t="s">
        <v>27</v>
      </c>
      <c r="S1699" s="1" t="s">
        <v>28</v>
      </c>
      <c r="T1699" s="1" t="s">
        <v>29</v>
      </c>
    </row>
    <row r="1700" customFormat="false" ht="18.7" hidden="false" customHeight="true" outlineLevel="0" collapsed="false">
      <c r="A1700" s="1" t="n">
        <v>1699</v>
      </c>
      <c r="B1700" s="6" t="str">
        <f aca="false">HYPERLINK("https://mncourtfraud.com/file/MCRO_27-CR-21-1978_Notice of Remote Hearing with Instructions_2022-08-09_20240430075721.pdf","MCRO_27-CR-21-1978_Notice of Remote Hearing with Instructions_2022-08-09_20240430075721.pdf")</f>
        <v>MCRO_27-CR-21-1978_Notice of Remote Hearing with Instructions_2022-08-09_20240430075721.pdf</v>
      </c>
      <c r="C1700" s="1" t="n">
        <v>4</v>
      </c>
      <c r="D1700" s="1" t="n">
        <v>1</v>
      </c>
      <c r="E1700" s="1" t="n">
        <v>1</v>
      </c>
      <c r="F1700" s="3" t="s">
        <v>20</v>
      </c>
      <c r="G1700" s="3" t="s">
        <v>6984</v>
      </c>
      <c r="H1700" s="1" t="s">
        <v>22</v>
      </c>
      <c r="I1700" s="1" t="n">
        <v>20240430075721</v>
      </c>
      <c r="J1700" s="3" t="s">
        <v>6985</v>
      </c>
      <c r="K1700" s="3" t="s">
        <v>6986</v>
      </c>
      <c r="L1700" s="3" t="s">
        <v>6987</v>
      </c>
      <c r="M1700" s="3" t="n">
        <v>858186</v>
      </c>
      <c r="N1700" s="3" t="s">
        <v>1065</v>
      </c>
      <c r="O1700" s="1" t="n">
        <v>841800</v>
      </c>
      <c r="P1700" s="1" t="n">
        <v>98.09</v>
      </c>
      <c r="Q1700" s="1" t="s">
        <v>20</v>
      </c>
      <c r="R1700" s="1" t="s">
        <v>27</v>
      </c>
      <c r="S1700" s="1" t="s">
        <v>28</v>
      </c>
      <c r="T1700" s="1" t="s">
        <v>29</v>
      </c>
    </row>
    <row r="1701" customFormat="false" ht="18.7" hidden="false" customHeight="true" outlineLevel="0" collapsed="false">
      <c r="A1701" s="1" t="n">
        <v>1700</v>
      </c>
      <c r="B1701" s="6" t="str">
        <f aca="false">HYPERLINK("https://mncourtfraud.com/file/MCRO_27-CR-21-1978_Notice of Remote Hearing with Instructions_2023-08-25_20240430075709.pdf","MCRO_27-CR-21-1978_Notice of Remote Hearing with Instructions_2023-08-25_20240430075709.pdf")</f>
        <v>MCRO_27-CR-21-1978_Notice of Remote Hearing with Instructions_2023-08-25_20240430075709.pdf</v>
      </c>
      <c r="C1701" s="1" t="n">
        <v>4</v>
      </c>
      <c r="D1701" s="1" t="n">
        <v>1</v>
      </c>
      <c r="E1701" s="1" t="n">
        <v>1</v>
      </c>
      <c r="F1701" s="3" t="s">
        <v>20</v>
      </c>
      <c r="G1701" s="3" t="s">
        <v>6988</v>
      </c>
      <c r="H1701" s="1" t="s">
        <v>22</v>
      </c>
      <c r="I1701" s="1" t="n">
        <v>20240430075709</v>
      </c>
      <c r="J1701" s="3" t="s">
        <v>6989</v>
      </c>
      <c r="K1701" s="3" t="s">
        <v>6990</v>
      </c>
      <c r="L1701" s="3" t="s">
        <v>6991</v>
      </c>
      <c r="M1701" s="3" t="n">
        <v>248578</v>
      </c>
      <c r="N1701" s="3" t="s">
        <v>500</v>
      </c>
      <c r="O1701" s="1" t="n">
        <v>232192</v>
      </c>
      <c r="P1701" s="1" t="n">
        <v>93.41</v>
      </c>
      <c r="Q1701" s="1" t="s">
        <v>20</v>
      </c>
      <c r="R1701" s="1" t="s">
        <v>27</v>
      </c>
      <c r="S1701" s="1" t="s">
        <v>28</v>
      </c>
      <c r="T1701" s="1" t="s">
        <v>29</v>
      </c>
    </row>
    <row r="1702" customFormat="false" ht="18.7" hidden="false" customHeight="true" outlineLevel="0" collapsed="false">
      <c r="A1702" s="1" t="n">
        <v>1701</v>
      </c>
      <c r="B1702" s="6" t="str">
        <f aca="false">HYPERLINK("https://mncourtfraud.com/file/MCRO_27-CR-21-1978_Notice of Remote Hearing with Instructions_2023-10-24_20240430075705.pdf","MCRO_27-CR-21-1978_Notice of Remote Hearing with Instructions_2023-10-24_20240430075705.pdf")</f>
        <v>MCRO_27-CR-21-1978_Notice of Remote Hearing with Instructions_2023-10-24_20240430075705.pdf</v>
      </c>
      <c r="C1702" s="1" t="n">
        <v>4</v>
      </c>
      <c r="D1702" s="1" t="n">
        <v>1</v>
      </c>
      <c r="E1702" s="1" t="n">
        <v>1</v>
      </c>
      <c r="F1702" s="3" t="s">
        <v>20</v>
      </c>
      <c r="G1702" s="3" t="s">
        <v>6992</v>
      </c>
      <c r="H1702" s="1" t="s">
        <v>22</v>
      </c>
      <c r="I1702" s="1" t="n">
        <v>20240430075705</v>
      </c>
      <c r="J1702" s="3" t="s">
        <v>6993</v>
      </c>
      <c r="K1702" s="3" t="s">
        <v>6994</v>
      </c>
      <c r="L1702" s="3" t="s">
        <v>6995</v>
      </c>
      <c r="M1702" s="3" t="n">
        <v>269962</v>
      </c>
      <c r="N1702" s="3" t="s">
        <v>74</v>
      </c>
      <c r="O1702" s="1" t="n">
        <v>253576</v>
      </c>
      <c r="P1702" s="1" t="n">
        <v>93.93</v>
      </c>
      <c r="Q1702" s="1" t="s">
        <v>20</v>
      </c>
      <c r="R1702" s="1" t="s">
        <v>27</v>
      </c>
      <c r="S1702" s="1" t="s">
        <v>28</v>
      </c>
      <c r="T1702" s="1" t="s">
        <v>29</v>
      </c>
    </row>
    <row r="1703" customFormat="false" ht="18.7" hidden="false" customHeight="true" outlineLevel="0" collapsed="false">
      <c r="A1703" s="1" t="n">
        <v>1702</v>
      </c>
      <c r="B1703" s="6" t="str">
        <f aca="false">HYPERLINK("https://mncourtfraud.com/file/MCRO_27-CR-21-1978_Order-Evaluation for Competency to Proceed (Rule 20.01)_2022-11-17_20240430075713.pdf","MCRO_27-CR-21-1978_Order-Evaluation for Competency to Proceed (Rule 20.01)_2022-11-17_20240430075713.pdf")</f>
        <v>MCRO_27-CR-21-1978_Order-Evaluation for Competency to Proceed (Rule 20.01)_2022-11-17_20240430075713.pdf</v>
      </c>
      <c r="C1703" s="1" t="n">
        <v>4</v>
      </c>
      <c r="D1703" s="1" t="n">
        <v>1</v>
      </c>
      <c r="E1703" s="1" t="n">
        <v>1</v>
      </c>
      <c r="F1703" s="3" t="s">
        <v>20</v>
      </c>
      <c r="G1703" s="3" t="s">
        <v>6996</v>
      </c>
      <c r="H1703" s="1" t="s">
        <v>22</v>
      </c>
      <c r="I1703" s="1" t="n">
        <v>20240430075713</v>
      </c>
      <c r="J1703" s="3" t="s">
        <v>6997</v>
      </c>
      <c r="K1703" s="3" t="s">
        <v>6998</v>
      </c>
      <c r="L1703" s="3" t="s">
        <v>6999</v>
      </c>
      <c r="M1703" s="3" t="n">
        <v>816725</v>
      </c>
      <c r="N1703" s="3" t="s">
        <v>2496</v>
      </c>
      <c r="O1703" s="1" t="n">
        <v>800339</v>
      </c>
      <c r="P1703" s="1" t="n">
        <v>97.99</v>
      </c>
      <c r="Q1703" s="1" t="s">
        <v>20</v>
      </c>
      <c r="R1703" s="1" t="s">
        <v>27</v>
      </c>
      <c r="S1703" s="1" t="s">
        <v>28</v>
      </c>
      <c r="T1703" s="1" t="s">
        <v>29</v>
      </c>
    </row>
    <row r="1704" customFormat="false" ht="18.7" hidden="false" customHeight="true" outlineLevel="0" collapsed="false">
      <c r="A1704" s="1" t="n">
        <v>1703</v>
      </c>
      <c r="B1704" s="6" t="str">
        <f aca="false">HYPERLINK("https://mncourtfraud.com/file/MCRO_27-CR-21-1978_Order-Evaluation for Competency to Proceed (Rule 20.01)_2023-08-25_20240430075707.pdf","MCRO_27-CR-21-1978_Order-Evaluation for Competency to Proceed (Rule 20.01)_2023-08-25_20240430075707.pdf")</f>
        <v>MCRO_27-CR-21-1978_Order-Evaluation for Competency to Proceed (Rule 20.01)_2023-08-25_20240430075707.pdf</v>
      </c>
      <c r="C1704" s="1" t="n">
        <v>4</v>
      </c>
      <c r="D1704" s="1" t="n">
        <v>1</v>
      </c>
      <c r="E1704" s="1" t="n">
        <v>1</v>
      </c>
      <c r="F1704" s="3" t="s">
        <v>20</v>
      </c>
      <c r="G1704" s="3" t="s">
        <v>7000</v>
      </c>
      <c r="H1704" s="1" t="s">
        <v>22</v>
      </c>
      <c r="I1704" s="1" t="n">
        <v>20240430075707</v>
      </c>
      <c r="J1704" s="3" t="s">
        <v>7001</v>
      </c>
      <c r="K1704" s="3" t="s">
        <v>7002</v>
      </c>
      <c r="L1704" s="3" t="s">
        <v>4708</v>
      </c>
      <c r="M1704" s="3" t="n">
        <v>168408</v>
      </c>
      <c r="N1704" s="3" t="s">
        <v>104</v>
      </c>
      <c r="O1704" s="1" t="n">
        <v>152022</v>
      </c>
      <c r="P1704" s="1" t="n">
        <v>90.27</v>
      </c>
      <c r="Q1704" s="1" t="s">
        <v>20</v>
      </c>
      <c r="R1704" s="1" t="s">
        <v>27</v>
      </c>
      <c r="S1704" s="1" t="s">
        <v>28</v>
      </c>
      <c r="T1704" s="1" t="s">
        <v>29</v>
      </c>
    </row>
    <row r="1705" customFormat="false" ht="18.7" hidden="false" customHeight="true" outlineLevel="0" collapsed="false">
      <c r="A1705" s="1" t="n">
        <v>1704</v>
      </c>
      <c r="B1705" s="6" t="str">
        <f aca="false">HYPERLINK("https://mncourtfraud.com/file/MCRO_27-CR-21-1978_Order for Conditional Release_2021-04-06_20240430075738.pdf","MCRO_27-CR-21-1978_Order for Conditional Release_2021-04-06_20240430075738.pdf")</f>
        <v>MCRO_27-CR-21-1978_Order for Conditional Release_2021-04-06_20240430075738.pdf</v>
      </c>
      <c r="C1705" s="1" t="n">
        <v>6</v>
      </c>
      <c r="D1705" s="1" t="n">
        <v>54</v>
      </c>
      <c r="E1705" s="1" t="n">
        <v>2</v>
      </c>
      <c r="F1705" s="3" t="s">
        <v>20</v>
      </c>
      <c r="G1705" s="3" t="s">
        <v>7003</v>
      </c>
      <c r="H1705" s="1" t="s">
        <v>22</v>
      </c>
      <c r="I1705" s="1" t="n">
        <v>20240430075738</v>
      </c>
      <c r="J1705" s="3" t="s">
        <v>7004</v>
      </c>
      <c r="K1705" s="3" t="s">
        <v>7005</v>
      </c>
      <c r="L1705" s="3" t="s">
        <v>7006</v>
      </c>
      <c r="M1705" s="3" t="n">
        <v>826431</v>
      </c>
      <c r="N1705" s="3" t="s">
        <v>6847</v>
      </c>
      <c r="O1705" s="1" t="n">
        <v>810045</v>
      </c>
      <c r="P1705" s="1" t="n">
        <v>98.02</v>
      </c>
      <c r="Q1705" s="1" t="s">
        <v>20</v>
      </c>
      <c r="R1705" s="1" t="s">
        <v>27</v>
      </c>
      <c r="S1705" s="1" t="s">
        <v>28</v>
      </c>
      <c r="T1705" s="1" t="s">
        <v>29</v>
      </c>
    </row>
    <row r="1706" customFormat="false" ht="18.7" hidden="false" customHeight="true" outlineLevel="0" collapsed="false">
      <c r="A1706" s="1" t="n">
        <v>1705</v>
      </c>
      <c r="B1706" s="6" t="str">
        <f aca="false">HYPERLINK("https://mncourtfraud.com/file/MCRO_27-CR-21-1978_Returned Mail_2022-04-27_20240430075723.pdf","MCRO_27-CR-21-1978_Returned Mail_2022-04-27_20240430075723.pdf")</f>
        <v>MCRO_27-CR-21-1978_Returned Mail_2022-04-27_20240430075723.pdf</v>
      </c>
      <c r="C1706" s="1" t="n">
        <v>4</v>
      </c>
      <c r="D1706" s="1" t="n">
        <v>1</v>
      </c>
      <c r="E1706" s="1" t="n">
        <v>1</v>
      </c>
      <c r="F1706" s="3" t="s">
        <v>20</v>
      </c>
      <c r="G1706" s="3" t="s">
        <v>7007</v>
      </c>
      <c r="H1706" s="1" t="s">
        <v>22</v>
      </c>
      <c r="I1706" s="1" t="n">
        <v>20240430075723</v>
      </c>
      <c r="J1706" s="3" t="s">
        <v>7008</v>
      </c>
      <c r="K1706" s="3" t="s">
        <v>7009</v>
      </c>
      <c r="L1706" s="3" t="s">
        <v>4746</v>
      </c>
      <c r="M1706" s="3" t="n">
        <v>73380</v>
      </c>
      <c r="N1706" s="3" t="s">
        <v>1307</v>
      </c>
      <c r="O1706" s="1" t="n">
        <v>56994</v>
      </c>
      <c r="P1706" s="1" t="n">
        <v>77.67</v>
      </c>
      <c r="Q1706" s="1" t="s">
        <v>20</v>
      </c>
      <c r="R1706" s="1" t="s">
        <v>27</v>
      </c>
      <c r="S1706" s="1" t="s">
        <v>28</v>
      </c>
      <c r="T1706" s="1" t="s">
        <v>29</v>
      </c>
    </row>
    <row r="1707" customFormat="false" ht="18.7" hidden="false" customHeight="true" outlineLevel="0" collapsed="false">
      <c r="A1707" s="1" t="n">
        <v>1706</v>
      </c>
      <c r="B1707" s="6" t="str">
        <f aca="false">HYPERLINK("https://mncourtfraud.com/file/MCRO_27-CR-21-1978_Returned Mail_2022-09-09_20240430075719.pdf","MCRO_27-CR-21-1978_Returned Mail_2022-09-09_20240430075719.pdf")</f>
        <v>MCRO_27-CR-21-1978_Returned Mail_2022-09-09_20240430075719.pdf</v>
      </c>
      <c r="C1707" s="1" t="n">
        <v>4</v>
      </c>
      <c r="D1707" s="1" t="n">
        <v>1</v>
      </c>
      <c r="E1707" s="1" t="n">
        <v>1</v>
      </c>
      <c r="F1707" s="3" t="s">
        <v>20</v>
      </c>
      <c r="G1707" s="3" t="s">
        <v>7010</v>
      </c>
      <c r="H1707" s="1" t="s">
        <v>22</v>
      </c>
      <c r="I1707" s="1" t="n">
        <v>20240430075719</v>
      </c>
      <c r="J1707" s="3" t="s">
        <v>7011</v>
      </c>
      <c r="K1707" s="3" t="s">
        <v>7012</v>
      </c>
      <c r="L1707" s="3" t="s">
        <v>4750</v>
      </c>
      <c r="M1707" s="3" t="n">
        <v>277968</v>
      </c>
      <c r="N1707" s="3" t="s">
        <v>1307</v>
      </c>
      <c r="O1707" s="1" t="n">
        <v>261582</v>
      </c>
      <c r="P1707" s="1" t="n">
        <v>94.11</v>
      </c>
      <c r="Q1707" s="1" t="s">
        <v>20</v>
      </c>
      <c r="R1707" s="1" t="s">
        <v>27</v>
      </c>
      <c r="S1707" s="1" t="s">
        <v>28</v>
      </c>
      <c r="T1707" s="1" t="s">
        <v>29</v>
      </c>
    </row>
    <row r="1708" customFormat="false" ht="18.7" hidden="false" customHeight="true" outlineLevel="0" collapsed="false">
      <c r="A1708" s="1" t="n">
        <v>1707</v>
      </c>
      <c r="B1708" s="6" t="str">
        <f aca="false">HYPERLINK("https://mncourtfraud.com/file/MCRO_27-CR-21-1978_Returned Mail_2022-11-01_20240430075714.pdf","MCRO_27-CR-21-1978_Returned Mail_2022-11-01_20240430075714.pdf")</f>
        <v>MCRO_27-CR-21-1978_Returned Mail_2022-11-01_20240430075714.pdf</v>
      </c>
      <c r="C1708" s="1" t="n">
        <v>4</v>
      </c>
      <c r="D1708" s="1" t="n">
        <v>1</v>
      </c>
      <c r="E1708" s="1" t="n">
        <v>1</v>
      </c>
      <c r="F1708" s="3" t="s">
        <v>20</v>
      </c>
      <c r="G1708" s="3" t="s">
        <v>7013</v>
      </c>
      <c r="H1708" s="1" t="s">
        <v>22</v>
      </c>
      <c r="I1708" s="1" t="n">
        <v>20240430075714</v>
      </c>
      <c r="J1708" s="3" t="s">
        <v>7014</v>
      </c>
      <c r="K1708" s="3" t="s">
        <v>7015</v>
      </c>
      <c r="L1708" s="3" t="s">
        <v>7016</v>
      </c>
      <c r="M1708" s="3" t="n">
        <v>229464</v>
      </c>
      <c r="N1708" s="3" t="s">
        <v>1159</v>
      </c>
      <c r="O1708" s="1" t="n">
        <v>213078</v>
      </c>
      <c r="P1708" s="1" t="n">
        <v>92.86</v>
      </c>
      <c r="Q1708" s="1" t="s">
        <v>20</v>
      </c>
      <c r="R1708" s="1" t="s">
        <v>27</v>
      </c>
      <c r="S1708" s="1" t="s">
        <v>28</v>
      </c>
      <c r="T1708" s="1" t="s">
        <v>29</v>
      </c>
    </row>
    <row r="1709" customFormat="false" ht="18.7" hidden="false" customHeight="true" outlineLevel="0" collapsed="false">
      <c r="A1709" s="1" t="n">
        <v>1708</v>
      </c>
      <c r="B1709" s="6" t="str">
        <f aca="false">HYPERLINK("https://mncourtfraud.com/file/MCRO_27-CR-21-1978_Returned Mail_2023-05-18_20240430075710.pdf","MCRO_27-CR-21-1978_Returned Mail_2023-05-18_20240430075710.pdf")</f>
        <v>MCRO_27-CR-21-1978_Returned Mail_2023-05-18_20240430075710.pdf</v>
      </c>
      <c r="C1709" s="1" t="n">
        <v>4</v>
      </c>
      <c r="D1709" s="1" t="n">
        <v>1</v>
      </c>
      <c r="E1709" s="1" t="n">
        <v>1</v>
      </c>
      <c r="F1709" s="3" t="s">
        <v>20</v>
      </c>
      <c r="G1709" s="3" t="s">
        <v>7017</v>
      </c>
      <c r="H1709" s="1" t="s">
        <v>22</v>
      </c>
      <c r="I1709" s="1" t="n">
        <v>20240430075710</v>
      </c>
      <c r="J1709" s="3" t="s">
        <v>7018</v>
      </c>
      <c r="K1709" s="3" t="s">
        <v>7019</v>
      </c>
      <c r="L1709" s="3" t="s">
        <v>4754</v>
      </c>
      <c r="M1709" s="3" t="n">
        <v>227168</v>
      </c>
      <c r="N1709" s="3" t="s">
        <v>119</v>
      </c>
      <c r="O1709" s="1" t="n">
        <v>210782</v>
      </c>
      <c r="P1709" s="1" t="n">
        <v>92.79</v>
      </c>
      <c r="Q1709" s="1" t="s">
        <v>20</v>
      </c>
      <c r="R1709" s="1" t="s">
        <v>27</v>
      </c>
      <c r="S1709" s="1" t="s">
        <v>28</v>
      </c>
      <c r="T1709" s="1" t="s">
        <v>29</v>
      </c>
    </row>
    <row r="1710" customFormat="false" ht="18.7" hidden="false" customHeight="true" outlineLevel="0" collapsed="false">
      <c r="A1710" s="1" t="n">
        <v>1709</v>
      </c>
      <c r="B1710" s="6" t="str">
        <f aca="false">HYPERLINK("https://mncourtfraud.com/file/MCRO_27-CR-21-1978_Returned Mail_2023-10-11_20240430075706.pdf","MCRO_27-CR-21-1978_Returned Mail_2023-10-11_20240430075706.pdf")</f>
        <v>MCRO_27-CR-21-1978_Returned Mail_2023-10-11_20240430075706.pdf</v>
      </c>
      <c r="C1710" s="1" t="n">
        <v>4</v>
      </c>
      <c r="D1710" s="1" t="n">
        <v>1</v>
      </c>
      <c r="E1710" s="1" t="n">
        <v>1</v>
      </c>
      <c r="F1710" s="3" t="s">
        <v>20</v>
      </c>
      <c r="G1710" s="3" t="s">
        <v>7020</v>
      </c>
      <c r="H1710" s="1" t="s">
        <v>22</v>
      </c>
      <c r="I1710" s="1" t="n">
        <v>20240430075706</v>
      </c>
      <c r="J1710" s="3" t="s">
        <v>7021</v>
      </c>
      <c r="K1710" s="3" t="s">
        <v>7022</v>
      </c>
      <c r="L1710" s="3" t="s">
        <v>4758</v>
      </c>
      <c r="M1710" s="3" t="n">
        <v>205888</v>
      </c>
      <c r="N1710" s="3" t="s">
        <v>119</v>
      </c>
      <c r="O1710" s="1" t="n">
        <v>189502</v>
      </c>
      <c r="P1710" s="1" t="n">
        <v>92.04</v>
      </c>
      <c r="Q1710" s="1" t="s">
        <v>20</v>
      </c>
      <c r="R1710" s="1" t="s">
        <v>27</v>
      </c>
      <c r="S1710" s="1" t="s">
        <v>28</v>
      </c>
      <c r="T1710" s="1" t="s">
        <v>29</v>
      </c>
    </row>
    <row r="1711" customFormat="false" ht="18.7" hidden="false" customHeight="true" outlineLevel="0" collapsed="false">
      <c r="A1711" s="1" t="n">
        <v>1710</v>
      </c>
      <c r="B1711" s="6" t="str">
        <f aca="false">HYPERLINK("https://mncourtfraud.com/file/MCRO_27-CR-21-1978_Returned Mail_2023-11-14_20240430075701.pdf","MCRO_27-CR-21-1978_Returned Mail_2023-11-14_20240430075701.pdf")</f>
        <v>MCRO_27-CR-21-1978_Returned Mail_2023-11-14_20240430075701.pdf</v>
      </c>
      <c r="C1711" s="1" t="n">
        <v>4</v>
      </c>
      <c r="D1711" s="1" t="n">
        <v>1</v>
      </c>
      <c r="E1711" s="1" t="n">
        <v>1</v>
      </c>
      <c r="F1711" s="3" t="s">
        <v>20</v>
      </c>
      <c r="G1711" s="3" t="s">
        <v>7023</v>
      </c>
      <c r="H1711" s="1" t="s">
        <v>22</v>
      </c>
      <c r="I1711" s="1" t="n">
        <v>20240430075701</v>
      </c>
      <c r="J1711" s="3" t="s">
        <v>7024</v>
      </c>
      <c r="K1711" s="3" t="s">
        <v>7025</v>
      </c>
      <c r="L1711" s="3" t="s">
        <v>4762</v>
      </c>
      <c r="M1711" s="3" t="n">
        <v>211301</v>
      </c>
      <c r="N1711" s="3" t="s">
        <v>119</v>
      </c>
      <c r="O1711" s="1" t="n">
        <v>194915</v>
      </c>
      <c r="P1711" s="1" t="n">
        <v>92.25</v>
      </c>
      <c r="Q1711" s="1" t="s">
        <v>20</v>
      </c>
      <c r="R1711" s="1" t="s">
        <v>27</v>
      </c>
      <c r="S1711" s="1" t="s">
        <v>28</v>
      </c>
      <c r="T1711" s="1" t="s">
        <v>29</v>
      </c>
    </row>
    <row r="1712" customFormat="false" ht="18.7" hidden="false" customHeight="true" outlineLevel="0" collapsed="false">
      <c r="A1712" s="1" t="n">
        <v>1711</v>
      </c>
      <c r="B1712" s="6" t="str">
        <f aca="false">HYPERLINK("https://mncourtfraud.com/file/MCRO_27-CR-21-1978_Returned Mail_2023-12-04_20240430075700.pdf","MCRO_27-CR-21-1978_Returned Mail_2023-12-04_20240430075700.pdf")</f>
        <v>MCRO_27-CR-21-1978_Returned Mail_2023-12-04_20240430075700.pdf</v>
      </c>
      <c r="C1712" s="1" t="n">
        <v>4</v>
      </c>
      <c r="D1712" s="1" t="n">
        <v>1</v>
      </c>
      <c r="E1712" s="1" t="n">
        <v>1</v>
      </c>
      <c r="F1712" s="3" t="s">
        <v>20</v>
      </c>
      <c r="G1712" s="3" t="s">
        <v>7026</v>
      </c>
      <c r="H1712" s="1" t="s">
        <v>22</v>
      </c>
      <c r="I1712" s="1" t="n">
        <v>20240430075700</v>
      </c>
      <c r="J1712" s="3" t="s">
        <v>7027</v>
      </c>
      <c r="K1712" s="3" t="s">
        <v>7028</v>
      </c>
      <c r="L1712" s="3" t="s">
        <v>7029</v>
      </c>
      <c r="M1712" s="3" t="n">
        <v>101253</v>
      </c>
      <c r="N1712" s="3" t="s">
        <v>435</v>
      </c>
      <c r="O1712" s="1" t="n">
        <v>84867</v>
      </c>
      <c r="P1712" s="1" t="n">
        <v>83.82</v>
      </c>
      <c r="Q1712" s="1" t="s">
        <v>20</v>
      </c>
      <c r="R1712" s="1" t="s">
        <v>27</v>
      </c>
      <c r="S1712" s="1" t="s">
        <v>28</v>
      </c>
      <c r="T1712" s="1" t="s">
        <v>29</v>
      </c>
    </row>
    <row r="1713" customFormat="false" ht="18.7" hidden="false" customHeight="true" outlineLevel="0" collapsed="false">
      <c r="A1713" s="1" t="n">
        <v>1712</v>
      </c>
      <c r="B1713" s="6" t="str">
        <f aca="false">HYPERLINK("https://mncourtfraud.com/file/MCRO_27-CR-21-1978_Warrant Issued_2021-03-25_20240430075739.pdf","MCRO_27-CR-21-1978_Warrant Issued_2021-03-25_20240430075739.pdf")</f>
        <v>MCRO_27-CR-21-1978_Warrant Issued_2021-03-25_20240430075739.pdf</v>
      </c>
      <c r="C1713" s="1" t="n">
        <v>4</v>
      </c>
      <c r="D1713" s="1" t="n">
        <v>1</v>
      </c>
      <c r="E1713" s="1" t="n">
        <v>1</v>
      </c>
      <c r="F1713" s="3" t="s">
        <v>20</v>
      </c>
      <c r="G1713" s="3" t="s">
        <v>7030</v>
      </c>
      <c r="H1713" s="1" t="s">
        <v>22</v>
      </c>
      <c r="I1713" s="1" t="n">
        <v>20240430075739</v>
      </c>
      <c r="J1713" s="3" t="s">
        <v>7031</v>
      </c>
      <c r="K1713" s="3" t="s">
        <v>7032</v>
      </c>
      <c r="L1713" s="3" t="s">
        <v>7033</v>
      </c>
      <c r="M1713" s="3" t="n">
        <v>203543</v>
      </c>
      <c r="N1713" s="3" t="s">
        <v>3445</v>
      </c>
      <c r="O1713" s="1" t="n">
        <v>187157</v>
      </c>
      <c r="P1713" s="1" t="n">
        <v>91.95</v>
      </c>
      <c r="Q1713" s="1" t="s">
        <v>20</v>
      </c>
      <c r="R1713" s="1" t="s">
        <v>27</v>
      </c>
      <c r="S1713" s="1" t="s">
        <v>28</v>
      </c>
      <c r="T1713" s="1" t="s">
        <v>29</v>
      </c>
    </row>
    <row r="1714" customFormat="false" ht="18.7" hidden="false" customHeight="true" outlineLevel="0" collapsed="false">
      <c r="A1714" s="1" t="n">
        <v>1713</v>
      </c>
      <c r="B1714" s="6" t="str">
        <f aca="false">HYPERLINK("https://mncourtfraud.com/file/MCRO_27-CR-21-1980_Demand or Request for Discovery_2021-02-03_20240430080023.pdf","MCRO_27-CR-21-1980_Demand or Request for Discovery_2021-02-03_20240430080023.pdf")</f>
        <v>MCRO_27-CR-21-1980_Demand or Request for Discovery_2021-02-03_20240430080023.pdf</v>
      </c>
      <c r="C1714" s="1" t="n">
        <v>3</v>
      </c>
      <c r="D1714" s="1" t="n">
        <v>1</v>
      </c>
      <c r="E1714" s="1" t="n">
        <v>1</v>
      </c>
      <c r="F1714" s="3" t="s">
        <v>20</v>
      </c>
      <c r="G1714" s="3" t="s">
        <v>7034</v>
      </c>
      <c r="H1714" s="1" t="s">
        <v>22</v>
      </c>
      <c r="I1714" s="1" t="n">
        <v>20240430080023</v>
      </c>
      <c r="J1714" s="3" t="s">
        <v>7035</v>
      </c>
      <c r="K1714" s="3" t="s">
        <v>7036</v>
      </c>
      <c r="L1714" s="3" t="s">
        <v>7037</v>
      </c>
      <c r="M1714" s="3" t="n">
        <v>346090</v>
      </c>
      <c r="N1714" s="3" t="s">
        <v>2718</v>
      </c>
      <c r="O1714" s="1" t="n">
        <v>329704</v>
      </c>
      <c r="P1714" s="1" t="n">
        <v>95.27</v>
      </c>
      <c r="Q1714" s="1" t="s">
        <v>20</v>
      </c>
      <c r="R1714" s="1" t="s">
        <v>27</v>
      </c>
      <c r="S1714" s="1" t="s">
        <v>28</v>
      </c>
      <c r="T1714" s="1" t="s">
        <v>29</v>
      </c>
    </row>
    <row r="1715" customFormat="false" ht="18.7" hidden="false" customHeight="true" outlineLevel="0" collapsed="false">
      <c r="A1715" s="1" t="n">
        <v>1714</v>
      </c>
      <c r="B1715" s="6" t="str">
        <f aca="false">HYPERLINK("https://mncourtfraud.com/file/MCRO_27-CR-21-1980_E-filed Comp-Order for Detention_2021-01-29_20240430080026.pdf","MCRO_27-CR-21-1980_E-filed Comp-Order for Detention_2021-01-29_20240430080026.pdf")</f>
        <v>MCRO_27-CR-21-1980_E-filed Comp-Order for Detention_2021-01-29_20240430080026.pdf</v>
      </c>
      <c r="C1715" s="1" t="n">
        <v>4</v>
      </c>
      <c r="D1715" s="1" t="n">
        <v>2</v>
      </c>
      <c r="E1715" s="1" t="n">
        <v>2</v>
      </c>
      <c r="F1715" s="3" t="s">
        <v>20</v>
      </c>
      <c r="G1715" s="3" t="s">
        <v>7038</v>
      </c>
      <c r="H1715" s="1" t="s">
        <v>22</v>
      </c>
      <c r="I1715" s="1" t="n">
        <v>20240430080026</v>
      </c>
      <c r="J1715" s="3" t="s">
        <v>7039</v>
      </c>
      <c r="K1715" s="3" t="s">
        <v>7040</v>
      </c>
      <c r="L1715" s="3" t="s">
        <v>7041</v>
      </c>
      <c r="M1715" s="3" t="n">
        <v>499925</v>
      </c>
      <c r="N1715" s="3" t="s">
        <v>4568</v>
      </c>
      <c r="O1715" s="1" t="n">
        <v>483539</v>
      </c>
      <c r="P1715" s="1" t="n">
        <v>96.72</v>
      </c>
      <c r="Q1715" s="1" t="s">
        <v>20</v>
      </c>
      <c r="R1715" s="1" t="s">
        <v>27</v>
      </c>
      <c r="S1715" s="1" t="s">
        <v>28</v>
      </c>
      <c r="T1715" s="1" t="s">
        <v>29</v>
      </c>
    </row>
    <row r="1716" customFormat="false" ht="18.7" hidden="false" customHeight="true" outlineLevel="0" collapsed="false">
      <c r="A1716" s="1" t="n">
        <v>1715</v>
      </c>
      <c r="B1716" s="6" t="str">
        <f aca="false">HYPERLINK("https://mncourtfraud.com/file/MCRO_27-CR-21-1980_Finding of Incompetency and Order_2023-06-01_20240430075958.pdf","MCRO_27-CR-21-1980_Finding of Incompetency and Order_2023-06-01_20240430075958.pdf")</f>
        <v>MCRO_27-CR-21-1980_Finding of Incompetency and Order_2023-06-01_20240430075958.pdf</v>
      </c>
      <c r="C1716" s="1" t="n">
        <v>9</v>
      </c>
      <c r="D1716" s="1" t="n">
        <v>3</v>
      </c>
      <c r="E1716" s="1" t="n">
        <v>3</v>
      </c>
      <c r="F1716" s="3" t="s">
        <v>27</v>
      </c>
      <c r="G1716" s="3" t="s">
        <v>7042</v>
      </c>
      <c r="H1716" s="1" t="s">
        <v>22</v>
      </c>
      <c r="I1716" s="1" t="n">
        <v>20240430075958</v>
      </c>
      <c r="J1716" s="3" t="s">
        <v>7043</v>
      </c>
      <c r="K1716" s="3" t="s">
        <v>7044</v>
      </c>
      <c r="L1716" s="3" t="s">
        <v>7045</v>
      </c>
      <c r="M1716" s="3" t="n">
        <v>957990</v>
      </c>
      <c r="N1716" s="3" t="s">
        <v>7046</v>
      </c>
      <c r="O1716" s="1" t="n">
        <v>941604</v>
      </c>
      <c r="P1716" s="1" t="n">
        <v>98.29</v>
      </c>
      <c r="Q1716" s="1" t="s">
        <v>20</v>
      </c>
      <c r="R1716" s="1" t="s">
        <v>27</v>
      </c>
      <c r="S1716" s="1" t="s">
        <v>28</v>
      </c>
      <c r="T1716" s="1" t="s">
        <v>29</v>
      </c>
    </row>
    <row r="1717" customFormat="false" ht="18.7" hidden="false" customHeight="true" outlineLevel="0" collapsed="false">
      <c r="A1717" s="1" t="n">
        <v>1716</v>
      </c>
      <c r="B1717" s="6" t="str">
        <f aca="false">HYPERLINK("https://mncourtfraud.com/file/MCRO_27-CR-21-1980_Findings and Order_2022-09-13_20240430080004.pdf","MCRO_27-CR-21-1980_Findings and Order_2022-09-13_20240430080004.pdf")</f>
        <v>MCRO_27-CR-21-1980_Findings and Order_2022-09-13_20240430080004.pdf</v>
      </c>
      <c r="C1717" s="1" t="n">
        <v>6</v>
      </c>
      <c r="D1717" s="1" t="n">
        <v>1</v>
      </c>
      <c r="E1717" s="1" t="n">
        <v>1</v>
      </c>
      <c r="F1717" s="3" t="s">
        <v>20</v>
      </c>
      <c r="G1717" s="3" t="s">
        <v>7047</v>
      </c>
      <c r="H1717" s="1" t="s">
        <v>22</v>
      </c>
      <c r="I1717" s="1" t="n">
        <v>20240430080004</v>
      </c>
      <c r="J1717" s="3" t="s">
        <v>7048</v>
      </c>
      <c r="K1717" s="3" t="s">
        <v>7049</v>
      </c>
      <c r="L1717" s="3" t="s">
        <v>7050</v>
      </c>
      <c r="M1717" s="3" t="n">
        <v>293936</v>
      </c>
      <c r="N1717" s="3" t="s">
        <v>7051</v>
      </c>
      <c r="O1717" s="1" t="n">
        <v>277550</v>
      </c>
      <c r="P1717" s="1" t="n">
        <v>94.43</v>
      </c>
      <c r="Q1717" s="1" t="s">
        <v>20</v>
      </c>
      <c r="R1717" s="1" t="s">
        <v>27</v>
      </c>
      <c r="S1717" s="1" t="s">
        <v>28</v>
      </c>
      <c r="T1717" s="1" t="s">
        <v>29</v>
      </c>
    </row>
    <row r="1718" customFormat="false" ht="18.7" hidden="false" customHeight="true" outlineLevel="0" collapsed="false">
      <c r="A1718" s="1" t="n">
        <v>1717</v>
      </c>
      <c r="B1718" s="6" t="str">
        <f aca="false">HYPERLINK("https://mncourtfraud.com/file/MCRO_27-CR-21-1980_Notice of Appearance_2021-12-01_20240430080013.pdf","MCRO_27-CR-21-1980_Notice of Appearance_2021-12-01_20240430080013.pdf")</f>
        <v>MCRO_27-CR-21-1980_Notice of Appearance_2021-12-01_20240430080013.pdf</v>
      </c>
      <c r="C1718" s="1" t="n">
        <v>4</v>
      </c>
      <c r="D1718" s="1" t="n">
        <v>1</v>
      </c>
      <c r="E1718" s="1" t="n">
        <v>1</v>
      </c>
      <c r="F1718" s="3" t="s">
        <v>20</v>
      </c>
      <c r="G1718" s="3" t="s">
        <v>7052</v>
      </c>
      <c r="H1718" s="1" t="s">
        <v>22</v>
      </c>
      <c r="I1718" s="1" t="n">
        <v>20240430080013</v>
      </c>
      <c r="J1718" s="3" t="s">
        <v>7053</v>
      </c>
      <c r="K1718" s="3" t="s">
        <v>7054</v>
      </c>
      <c r="L1718" s="3" t="s">
        <v>7055</v>
      </c>
      <c r="M1718" s="3" t="n">
        <v>749114</v>
      </c>
      <c r="N1718" s="3" t="s">
        <v>2505</v>
      </c>
      <c r="O1718" s="1" t="n">
        <v>732728</v>
      </c>
      <c r="P1718" s="1" t="n">
        <v>97.81</v>
      </c>
      <c r="Q1718" s="1" t="s">
        <v>20</v>
      </c>
      <c r="R1718" s="1" t="s">
        <v>27</v>
      </c>
      <c r="S1718" s="1" t="s">
        <v>28</v>
      </c>
      <c r="T1718" s="1" t="s">
        <v>29</v>
      </c>
    </row>
    <row r="1719" customFormat="false" ht="18.7" hidden="false" customHeight="true" outlineLevel="0" collapsed="false">
      <c r="A1719" s="1" t="n">
        <v>1718</v>
      </c>
      <c r="B1719" s="6" t="str">
        <f aca="false">HYPERLINK("https://mncourtfraud.com/file/MCRO_27-CR-21-1980_Notice of Case Reassignment_2021-10-11_20240430080017.pdf","MCRO_27-CR-21-1980_Notice of Case Reassignment_2021-10-11_20240430080017.pdf")</f>
        <v>MCRO_27-CR-21-1980_Notice of Case Reassignment_2021-10-11_20240430080017.pdf</v>
      </c>
      <c r="C1719" s="1" t="n">
        <v>4</v>
      </c>
      <c r="D1719" s="1" t="n">
        <v>1</v>
      </c>
      <c r="E1719" s="1" t="n">
        <v>1</v>
      </c>
      <c r="F1719" s="3" t="s">
        <v>20</v>
      </c>
      <c r="G1719" s="3" t="s">
        <v>7056</v>
      </c>
      <c r="H1719" s="1" t="s">
        <v>22</v>
      </c>
      <c r="I1719" s="1" t="n">
        <v>20240430080017</v>
      </c>
      <c r="J1719" s="3" t="s">
        <v>7057</v>
      </c>
      <c r="K1719" s="3" t="s">
        <v>7058</v>
      </c>
      <c r="L1719" s="3" t="s">
        <v>7059</v>
      </c>
      <c r="M1719" s="3" t="n">
        <v>330372</v>
      </c>
      <c r="N1719" s="3" t="s">
        <v>456</v>
      </c>
      <c r="O1719" s="1" t="n">
        <v>313986</v>
      </c>
      <c r="P1719" s="1" t="n">
        <v>95.04</v>
      </c>
      <c r="Q1719" s="1" t="s">
        <v>20</v>
      </c>
      <c r="R1719" s="1" t="s">
        <v>27</v>
      </c>
      <c r="S1719" s="1" t="s">
        <v>28</v>
      </c>
      <c r="T1719" s="1" t="s">
        <v>29</v>
      </c>
    </row>
    <row r="1720" customFormat="false" ht="18.7" hidden="false" customHeight="true" outlineLevel="0" collapsed="false">
      <c r="A1720" s="1" t="n">
        <v>1719</v>
      </c>
      <c r="B1720" s="6" t="str">
        <f aca="false">HYPERLINK("https://mncourtfraud.com/file/MCRO_27-CR-21-1980_Notice of Case Reassignment_2023-06-16_20240430075957.pdf","MCRO_27-CR-21-1980_Notice of Case Reassignment_2023-06-16_20240430075957.pdf")</f>
        <v>MCRO_27-CR-21-1980_Notice of Case Reassignment_2023-06-16_20240430075957.pdf</v>
      </c>
      <c r="C1720" s="1" t="n">
        <v>3</v>
      </c>
      <c r="D1720" s="1" t="n">
        <v>1</v>
      </c>
      <c r="E1720" s="1" t="n">
        <v>1</v>
      </c>
      <c r="F1720" s="3" t="s">
        <v>20</v>
      </c>
      <c r="G1720" s="3" t="s">
        <v>7060</v>
      </c>
      <c r="H1720" s="1" t="s">
        <v>22</v>
      </c>
      <c r="I1720" s="1" t="n">
        <v>20240430075957</v>
      </c>
      <c r="J1720" s="3" t="s">
        <v>7061</v>
      </c>
      <c r="K1720" s="3" t="s">
        <v>7062</v>
      </c>
      <c r="L1720" s="3" t="s">
        <v>7063</v>
      </c>
      <c r="M1720" s="3" t="n">
        <v>113621</v>
      </c>
      <c r="N1720" s="3" t="s">
        <v>128</v>
      </c>
      <c r="O1720" s="1" t="n">
        <v>97235</v>
      </c>
      <c r="P1720" s="1" t="n">
        <v>85.58</v>
      </c>
      <c r="Q1720" s="1" t="s">
        <v>20</v>
      </c>
      <c r="R1720" s="1" t="s">
        <v>27</v>
      </c>
      <c r="S1720" s="1" t="s">
        <v>28</v>
      </c>
      <c r="T1720" s="1" t="s">
        <v>29</v>
      </c>
    </row>
    <row r="1721" customFormat="false" ht="18.7" hidden="false" customHeight="true" outlineLevel="0" collapsed="false">
      <c r="A1721" s="1" t="n">
        <v>1720</v>
      </c>
      <c r="B1721" s="6" t="str">
        <f aca="false">HYPERLINK("https://mncourtfraud.com/file/MCRO_27-CR-21-1980_Notice of Hearing_2024-01-26_20240430075950.pdf","MCRO_27-CR-21-1980_Notice of Hearing_2024-01-26_20240430075950.pdf")</f>
        <v>MCRO_27-CR-21-1980_Notice of Hearing_2024-01-26_20240430075950.pdf</v>
      </c>
      <c r="C1721" s="1" t="n">
        <v>4</v>
      </c>
      <c r="D1721" s="1" t="n">
        <v>1</v>
      </c>
      <c r="E1721" s="1" t="n">
        <v>1</v>
      </c>
      <c r="F1721" s="3" t="s">
        <v>20</v>
      </c>
      <c r="G1721" s="3" t="s">
        <v>7064</v>
      </c>
      <c r="H1721" s="1" t="s">
        <v>22</v>
      </c>
      <c r="I1721" s="1" t="n">
        <v>20240430075950</v>
      </c>
      <c r="J1721" s="3" t="s">
        <v>7065</v>
      </c>
      <c r="K1721" s="3" t="s">
        <v>7066</v>
      </c>
      <c r="L1721" s="3" t="s">
        <v>7067</v>
      </c>
      <c r="M1721" s="3" t="n">
        <v>714353</v>
      </c>
      <c r="N1721" s="3" t="s">
        <v>727</v>
      </c>
      <c r="O1721" s="1" t="n">
        <v>697967</v>
      </c>
      <c r="P1721" s="1" t="n">
        <v>97.71</v>
      </c>
      <c r="Q1721" s="1" t="s">
        <v>20</v>
      </c>
      <c r="R1721" s="1" t="s">
        <v>27</v>
      </c>
      <c r="S1721" s="1" t="s">
        <v>28</v>
      </c>
      <c r="T1721" s="1" t="s">
        <v>29</v>
      </c>
    </row>
    <row r="1722" customFormat="false" ht="18.7" hidden="false" customHeight="true" outlineLevel="0" collapsed="false">
      <c r="A1722" s="1" t="n">
        <v>1721</v>
      </c>
      <c r="B1722" s="6" t="str">
        <f aca="false">HYPERLINK("https://mncourtfraud.com/file/MCRO_27-CR-21-1980_Notice of Hearing_2024-03-19_20240430075949.pdf","MCRO_27-CR-21-1980_Notice of Hearing_2024-03-19_20240430075949.pdf")</f>
        <v>MCRO_27-CR-21-1980_Notice of Hearing_2024-03-19_20240430075949.pdf</v>
      </c>
      <c r="C1722" s="1" t="n">
        <v>5</v>
      </c>
      <c r="D1722" s="1" t="n">
        <v>1</v>
      </c>
      <c r="E1722" s="1" t="n">
        <v>1</v>
      </c>
      <c r="F1722" s="3" t="s">
        <v>20</v>
      </c>
      <c r="G1722" s="3" t="s">
        <v>7068</v>
      </c>
      <c r="H1722" s="1" t="s">
        <v>22</v>
      </c>
      <c r="I1722" s="1" t="n">
        <v>20240430075949</v>
      </c>
      <c r="J1722" s="3" t="s">
        <v>7069</v>
      </c>
      <c r="K1722" s="3" t="s">
        <v>7070</v>
      </c>
      <c r="L1722" s="3" t="s">
        <v>7071</v>
      </c>
      <c r="M1722" s="3" t="n">
        <v>729079</v>
      </c>
      <c r="N1722" s="3" t="s">
        <v>1278</v>
      </c>
      <c r="O1722" s="1" t="n">
        <v>712693</v>
      </c>
      <c r="P1722" s="1" t="n">
        <v>97.75</v>
      </c>
      <c r="Q1722" s="1" t="s">
        <v>20</v>
      </c>
      <c r="R1722" s="1" t="s">
        <v>27</v>
      </c>
      <c r="S1722" s="1" t="s">
        <v>28</v>
      </c>
      <c r="T1722" s="1" t="s">
        <v>29</v>
      </c>
    </row>
    <row r="1723" customFormat="false" ht="18.7" hidden="false" customHeight="true" outlineLevel="0" collapsed="false">
      <c r="A1723" s="1" t="n">
        <v>1722</v>
      </c>
      <c r="B1723" s="6" t="str">
        <f aca="false">HYPERLINK("https://mncourtfraud.com/file/MCRO_27-CR-21-1980_Notice of Remote Hearing with Instructions_2021-02-01_20240430080024.pdf","MCRO_27-CR-21-1980_Notice of Remote Hearing with Instructions_2021-02-01_20240430080024.pdf")</f>
        <v>MCRO_27-CR-21-1980_Notice of Remote Hearing with Instructions_2021-02-01_20240430080024.pdf</v>
      </c>
      <c r="C1723" s="1" t="n">
        <v>4</v>
      </c>
      <c r="D1723" s="1" t="n">
        <v>1</v>
      </c>
      <c r="E1723" s="1" t="n">
        <v>1</v>
      </c>
      <c r="F1723" s="3" t="s">
        <v>20</v>
      </c>
      <c r="G1723" s="3" t="s">
        <v>7072</v>
      </c>
      <c r="H1723" s="1" t="s">
        <v>22</v>
      </c>
      <c r="I1723" s="1" t="n">
        <v>20240430080024</v>
      </c>
      <c r="J1723" s="3" t="s">
        <v>7073</v>
      </c>
      <c r="K1723" s="3" t="s">
        <v>7074</v>
      </c>
      <c r="L1723" s="3" t="s">
        <v>7075</v>
      </c>
      <c r="M1723" s="3" t="n">
        <v>773638</v>
      </c>
      <c r="N1723" s="3" t="s">
        <v>1065</v>
      </c>
      <c r="O1723" s="1" t="n">
        <v>757252</v>
      </c>
      <c r="P1723" s="1" t="n">
        <v>97.88</v>
      </c>
      <c r="Q1723" s="1" t="s">
        <v>20</v>
      </c>
      <c r="R1723" s="1" t="s">
        <v>27</v>
      </c>
      <c r="S1723" s="1" t="s">
        <v>28</v>
      </c>
      <c r="T1723" s="1" t="s">
        <v>29</v>
      </c>
    </row>
    <row r="1724" customFormat="false" ht="18.7" hidden="false" customHeight="true" outlineLevel="0" collapsed="false">
      <c r="A1724" s="1" t="n">
        <v>1723</v>
      </c>
      <c r="B1724" s="6" t="str">
        <f aca="false">HYPERLINK("https://mncourtfraud.com/file/MCRO_27-CR-21-1980_Notice of Remote Hearing with Instructions_2021-03-17_20240430080021.pdf","MCRO_27-CR-21-1980_Notice of Remote Hearing with Instructions_2021-03-17_20240430080021.pdf")</f>
        <v>MCRO_27-CR-21-1980_Notice of Remote Hearing with Instructions_2021-03-17_20240430080021.pdf</v>
      </c>
      <c r="C1724" s="1" t="n">
        <v>5</v>
      </c>
      <c r="D1724" s="1" t="n">
        <v>1</v>
      </c>
      <c r="E1724" s="1" t="n">
        <v>1</v>
      </c>
      <c r="F1724" s="3" t="s">
        <v>20</v>
      </c>
      <c r="G1724" s="3" t="s">
        <v>7076</v>
      </c>
      <c r="H1724" s="1" t="s">
        <v>22</v>
      </c>
      <c r="I1724" s="1" t="n">
        <v>20240430080021</v>
      </c>
      <c r="J1724" s="3" t="s">
        <v>7077</v>
      </c>
      <c r="K1724" s="3" t="s">
        <v>7078</v>
      </c>
      <c r="L1724" s="3" t="s">
        <v>7079</v>
      </c>
      <c r="M1724" s="3" t="n">
        <v>735417</v>
      </c>
      <c r="N1724" s="3" t="s">
        <v>1091</v>
      </c>
      <c r="O1724" s="1" t="n">
        <v>719031</v>
      </c>
      <c r="P1724" s="1" t="n">
        <v>97.77</v>
      </c>
      <c r="Q1724" s="1" t="s">
        <v>20</v>
      </c>
      <c r="R1724" s="1" t="s">
        <v>27</v>
      </c>
      <c r="S1724" s="1" t="s">
        <v>28</v>
      </c>
      <c r="T1724" s="1" t="s">
        <v>29</v>
      </c>
    </row>
    <row r="1725" customFormat="false" ht="18.7" hidden="false" customHeight="true" outlineLevel="0" collapsed="false">
      <c r="A1725" s="1" t="n">
        <v>1724</v>
      </c>
      <c r="B1725" s="6" t="str">
        <f aca="false">HYPERLINK("https://mncourtfraud.com/file/MCRO_27-CR-21-1980_Notice of Remote Hearing with Instructions_2021-04-22_20240430080020.pdf","MCRO_27-CR-21-1980_Notice of Remote Hearing with Instructions_2021-04-22_20240430080020.pdf")</f>
        <v>MCRO_27-CR-21-1980_Notice of Remote Hearing with Instructions_2021-04-22_20240430080020.pdf</v>
      </c>
      <c r="C1725" s="1" t="n">
        <v>3</v>
      </c>
      <c r="D1725" s="1" t="n">
        <v>1</v>
      </c>
      <c r="E1725" s="1" t="n">
        <v>1</v>
      </c>
      <c r="F1725" s="3" t="s">
        <v>20</v>
      </c>
      <c r="G1725" s="3" t="s">
        <v>7080</v>
      </c>
      <c r="H1725" s="1" t="s">
        <v>22</v>
      </c>
      <c r="I1725" s="1" t="n">
        <v>20240430080020</v>
      </c>
      <c r="J1725" s="3" t="s">
        <v>7081</v>
      </c>
      <c r="K1725" s="3" t="s">
        <v>7082</v>
      </c>
      <c r="L1725" s="3" t="s">
        <v>7083</v>
      </c>
      <c r="M1725" s="3" t="n">
        <v>194415</v>
      </c>
      <c r="N1725" s="3" t="s">
        <v>1257</v>
      </c>
      <c r="O1725" s="1" t="n">
        <v>178029</v>
      </c>
      <c r="P1725" s="1" t="n">
        <v>91.57</v>
      </c>
      <c r="Q1725" s="1" t="s">
        <v>20</v>
      </c>
      <c r="R1725" s="1" t="s">
        <v>27</v>
      </c>
      <c r="S1725" s="1" t="s">
        <v>28</v>
      </c>
      <c r="T1725" s="1" t="s">
        <v>29</v>
      </c>
    </row>
    <row r="1726" customFormat="false" ht="18.7" hidden="false" customHeight="true" outlineLevel="0" collapsed="false">
      <c r="A1726" s="1" t="n">
        <v>1725</v>
      </c>
      <c r="B1726" s="6" t="str">
        <f aca="false">HYPERLINK("https://mncourtfraud.com/file/MCRO_27-CR-21-1980_Notice of Remote Hearing with Instructions_2021-08-06_20240430080018.pdf","MCRO_27-CR-21-1980_Notice of Remote Hearing with Instructions_2021-08-06_20240430080018.pdf")</f>
        <v>MCRO_27-CR-21-1980_Notice of Remote Hearing with Instructions_2021-08-06_20240430080018.pdf</v>
      </c>
      <c r="C1726" s="1" t="n">
        <v>4</v>
      </c>
      <c r="D1726" s="1" t="n">
        <v>1</v>
      </c>
      <c r="E1726" s="1" t="n">
        <v>1</v>
      </c>
      <c r="F1726" s="3" t="s">
        <v>20</v>
      </c>
      <c r="G1726" s="3" t="s">
        <v>7084</v>
      </c>
      <c r="H1726" s="1" t="s">
        <v>22</v>
      </c>
      <c r="I1726" s="1" t="n">
        <v>20240430080018</v>
      </c>
      <c r="J1726" s="3" t="s">
        <v>7085</v>
      </c>
      <c r="K1726" s="3" t="s">
        <v>7086</v>
      </c>
      <c r="L1726" s="3" t="s">
        <v>7087</v>
      </c>
      <c r="M1726" s="3" t="n">
        <v>160484</v>
      </c>
      <c r="N1726" s="3" t="s">
        <v>1065</v>
      </c>
      <c r="O1726" s="1" t="n">
        <v>144098</v>
      </c>
      <c r="P1726" s="1" t="n">
        <v>89.79</v>
      </c>
      <c r="Q1726" s="1" t="s">
        <v>20</v>
      </c>
      <c r="R1726" s="1" t="s">
        <v>27</v>
      </c>
      <c r="S1726" s="1" t="s">
        <v>28</v>
      </c>
      <c r="T1726" s="1" t="s">
        <v>29</v>
      </c>
    </row>
    <row r="1727" customFormat="false" ht="18.7" hidden="false" customHeight="true" outlineLevel="0" collapsed="false">
      <c r="A1727" s="1" t="n">
        <v>1726</v>
      </c>
      <c r="B1727" s="6" t="str">
        <f aca="false">HYPERLINK("https://mncourtfraud.com/file/MCRO_27-CR-21-1980_Notice of Remote Hearing with Instructions_2021-10-27_20240430080015.pdf","MCRO_27-CR-21-1980_Notice of Remote Hearing with Instructions_2021-10-27_20240430080015.pdf")</f>
        <v>MCRO_27-CR-21-1980_Notice of Remote Hearing with Instructions_2021-10-27_20240430080015.pdf</v>
      </c>
      <c r="C1727" s="1" t="n">
        <v>4</v>
      </c>
      <c r="D1727" s="1" t="n">
        <v>1</v>
      </c>
      <c r="E1727" s="1" t="n">
        <v>1</v>
      </c>
      <c r="F1727" s="3" t="s">
        <v>20</v>
      </c>
      <c r="G1727" s="3" t="s">
        <v>7088</v>
      </c>
      <c r="H1727" s="1" t="s">
        <v>22</v>
      </c>
      <c r="I1727" s="1" t="n">
        <v>20240430080015</v>
      </c>
      <c r="J1727" s="3" t="s">
        <v>7089</v>
      </c>
      <c r="K1727" s="3" t="s">
        <v>7090</v>
      </c>
      <c r="L1727" s="3" t="s">
        <v>7091</v>
      </c>
      <c r="M1727" s="3" t="n">
        <v>158869</v>
      </c>
      <c r="N1727" s="3" t="s">
        <v>1065</v>
      </c>
      <c r="O1727" s="1" t="n">
        <v>142483</v>
      </c>
      <c r="P1727" s="1" t="n">
        <v>89.69</v>
      </c>
      <c r="Q1727" s="1" t="s">
        <v>20</v>
      </c>
      <c r="R1727" s="1" t="s">
        <v>27</v>
      </c>
      <c r="S1727" s="1" t="s">
        <v>28</v>
      </c>
      <c r="T1727" s="1" t="s">
        <v>29</v>
      </c>
    </row>
    <row r="1728" customFormat="false" ht="18.7" hidden="false" customHeight="true" outlineLevel="0" collapsed="false">
      <c r="A1728" s="1" t="n">
        <v>1727</v>
      </c>
      <c r="B1728" s="6" t="str">
        <f aca="false">HYPERLINK("https://mncourtfraud.com/file/MCRO_27-CR-21-1980_Notice of Remote Hearing with Instructions_2023-11-28_20240430075955.pdf","MCRO_27-CR-21-1980_Notice of Remote Hearing with Instructions_2023-11-28_20240430075955.pdf")</f>
        <v>MCRO_27-CR-21-1980_Notice of Remote Hearing with Instructions_2023-11-28_20240430075955.pdf</v>
      </c>
      <c r="C1728" s="1" t="n">
        <v>4</v>
      </c>
      <c r="D1728" s="1" t="n">
        <v>1</v>
      </c>
      <c r="E1728" s="1" t="n">
        <v>1</v>
      </c>
      <c r="F1728" s="3" t="s">
        <v>20</v>
      </c>
      <c r="G1728" s="3" t="s">
        <v>7092</v>
      </c>
      <c r="H1728" s="1" t="s">
        <v>22</v>
      </c>
      <c r="I1728" s="1" t="n">
        <v>20240430075955</v>
      </c>
      <c r="J1728" s="3" t="s">
        <v>7093</v>
      </c>
      <c r="K1728" s="3" t="s">
        <v>7094</v>
      </c>
      <c r="L1728" s="3" t="s">
        <v>7095</v>
      </c>
      <c r="M1728" s="3" t="n">
        <v>269243</v>
      </c>
      <c r="N1728" s="3" t="s">
        <v>74</v>
      </c>
      <c r="O1728" s="1" t="n">
        <v>252857</v>
      </c>
      <c r="P1728" s="1" t="n">
        <v>93.91</v>
      </c>
      <c r="Q1728" s="1" t="s">
        <v>20</v>
      </c>
      <c r="R1728" s="1" t="s">
        <v>27</v>
      </c>
      <c r="S1728" s="1" t="s">
        <v>28</v>
      </c>
      <c r="T1728" s="1" t="s">
        <v>29</v>
      </c>
    </row>
    <row r="1729" customFormat="false" ht="18.7" hidden="false" customHeight="true" outlineLevel="0" collapsed="false">
      <c r="A1729" s="1" t="n">
        <v>1728</v>
      </c>
      <c r="B1729" s="6" t="str">
        <f aca="false">HYPERLINK("https://mncourtfraud.com/file/MCRO_27-CR-21-1980_Notice of Remote Hearing with Instructions_2023-12-05_20240430075954.pdf","MCRO_27-CR-21-1980_Notice of Remote Hearing with Instructions_2023-12-05_20240430075954.pdf")</f>
        <v>MCRO_27-CR-21-1980_Notice of Remote Hearing with Instructions_2023-12-05_20240430075954.pdf</v>
      </c>
      <c r="C1729" s="1" t="n">
        <v>5</v>
      </c>
      <c r="D1729" s="1" t="n">
        <v>1</v>
      </c>
      <c r="E1729" s="1" t="n">
        <v>1</v>
      </c>
      <c r="F1729" s="3" t="s">
        <v>20</v>
      </c>
      <c r="G1729" s="3" t="s">
        <v>7096</v>
      </c>
      <c r="H1729" s="1" t="s">
        <v>22</v>
      </c>
      <c r="I1729" s="1" t="n">
        <v>20240430075954</v>
      </c>
      <c r="J1729" s="3" t="s">
        <v>7097</v>
      </c>
      <c r="K1729" s="3" t="s">
        <v>7098</v>
      </c>
      <c r="L1729" s="3" t="s">
        <v>7099</v>
      </c>
      <c r="M1729" s="3" t="n">
        <v>843399</v>
      </c>
      <c r="N1729" s="3" t="s">
        <v>3164</v>
      </c>
      <c r="O1729" s="1" t="n">
        <v>827013</v>
      </c>
      <c r="P1729" s="1" t="n">
        <v>98.06</v>
      </c>
      <c r="Q1729" s="1" t="s">
        <v>20</v>
      </c>
      <c r="R1729" s="1" t="s">
        <v>27</v>
      </c>
      <c r="S1729" s="1" t="s">
        <v>28</v>
      </c>
      <c r="T1729" s="1" t="s">
        <v>29</v>
      </c>
    </row>
    <row r="1730" customFormat="false" ht="18.7" hidden="false" customHeight="true" outlineLevel="0" collapsed="false">
      <c r="A1730" s="1" t="n">
        <v>1729</v>
      </c>
      <c r="B1730" s="6" t="str">
        <f aca="false">HYPERLINK("https://mncourtfraud.com/file/MCRO_27-CR-21-1980_Order-Evaluation for Competency to Proceed (Rule 20.01)_2021-12-20_20240430080010.pdf","MCRO_27-CR-21-1980_Order-Evaluation for Competency to Proceed (Rule 20.01)_2021-12-20_20240430080010.pdf")</f>
        <v>MCRO_27-CR-21-1980_Order-Evaluation for Competency to Proceed (Rule 20.01)_2021-12-20_20240430080010.pdf</v>
      </c>
      <c r="C1730" s="1" t="n">
        <v>4</v>
      </c>
      <c r="D1730" s="1" t="n">
        <v>1</v>
      </c>
      <c r="E1730" s="1" t="n">
        <v>1</v>
      </c>
      <c r="F1730" s="3" t="s">
        <v>20</v>
      </c>
      <c r="G1730" s="3" t="s">
        <v>7100</v>
      </c>
      <c r="H1730" s="1" t="s">
        <v>22</v>
      </c>
      <c r="I1730" s="1" t="n">
        <v>20240430080010</v>
      </c>
      <c r="J1730" s="3" t="s">
        <v>7101</v>
      </c>
      <c r="K1730" s="3" t="s">
        <v>7102</v>
      </c>
      <c r="L1730" s="3" t="s">
        <v>7103</v>
      </c>
      <c r="M1730" s="3" t="n">
        <v>1502626</v>
      </c>
      <c r="N1730" s="3" t="s">
        <v>6293</v>
      </c>
      <c r="O1730" s="1" t="n">
        <v>1486240</v>
      </c>
      <c r="P1730" s="1" t="n">
        <v>98.91</v>
      </c>
      <c r="Q1730" s="1" t="s">
        <v>20</v>
      </c>
      <c r="R1730" s="1" t="s">
        <v>27</v>
      </c>
      <c r="S1730" s="1" t="s">
        <v>28</v>
      </c>
      <c r="T1730" s="1" t="s">
        <v>29</v>
      </c>
    </row>
    <row r="1731" customFormat="false" ht="18.7" hidden="false" customHeight="true" outlineLevel="0" collapsed="false">
      <c r="A1731" s="1" t="n">
        <v>1730</v>
      </c>
      <c r="B1731" s="6" t="str">
        <f aca="false">HYPERLINK("https://mncourtfraud.com/file/MCRO_27-CR-21-1980_Order-Evaluation for Competency to Proceed (Rule 20.01)_2022-08-09_20240430080005.pdf","MCRO_27-CR-21-1980_Order-Evaluation for Competency to Proceed (Rule 20.01)_2022-08-09_20240430080005.pdf")</f>
        <v>MCRO_27-CR-21-1980_Order-Evaluation for Competency to Proceed (Rule 20.01)_2022-08-09_20240430080005.pdf</v>
      </c>
      <c r="C1731" s="1" t="n">
        <v>4</v>
      </c>
      <c r="D1731" s="1" t="n">
        <v>1</v>
      </c>
      <c r="E1731" s="1" t="n">
        <v>1</v>
      </c>
      <c r="F1731" s="3" t="s">
        <v>20</v>
      </c>
      <c r="G1731" s="3" t="s">
        <v>7104</v>
      </c>
      <c r="H1731" s="1" t="s">
        <v>22</v>
      </c>
      <c r="I1731" s="1" t="n">
        <v>20240430080005</v>
      </c>
      <c r="J1731" s="3" t="s">
        <v>7105</v>
      </c>
      <c r="K1731" s="3" t="s">
        <v>7106</v>
      </c>
      <c r="L1731" s="3" t="s">
        <v>7107</v>
      </c>
      <c r="M1731" s="3" t="n">
        <v>924335</v>
      </c>
      <c r="N1731" s="3" t="s">
        <v>602</v>
      </c>
      <c r="O1731" s="1" t="n">
        <v>907949</v>
      </c>
      <c r="P1731" s="1" t="n">
        <v>98.23</v>
      </c>
      <c r="Q1731" s="1" t="s">
        <v>20</v>
      </c>
      <c r="R1731" s="1" t="s">
        <v>27</v>
      </c>
      <c r="S1731" s="1" t="s">
        <v>28</v>
      </c>
      <c r="T1731" s="1" t="s">
        <v>29</v>
      </c>
    </row>
    <row r="1732" customFormat="false" ht="18.7" hidden="false" customHeight="true" outlineLevel="0" collapsed="false">
      <c r="A1732" s="1" t="n">
        <v>1731</v>
      </c>
      <c r="B1732" s="6" t="str">
        <f aca="false">HYPERLINK("https://mncourtfraud.com/file/MCRO_27-CR-21-1980_Order-Evaluation for Competency to Proceed (Rule 20.01)_2023-01-05_20240430080002.pdf","MCRO_27-CR-21-1980_Order-Evaluation for Competency to Proceed (Rule 20.01)_2023-01-05_20240430080002.pdf")</f>
        <v>MCRO_27-CR-21-1980_Order-Evaluation for Competency to Proceed (Rule 20.01)_2023-01-05_20240430080002.pdf</v>
      </c>
      <c r="C1732" s="1" t="n">
        <v>6</v>
      </c>
      <c r="D1732" s="1" t="n">
        <v>2</v>
      </c>
      <c r="E1732" s="1" t="n">
        <v>2</v>
      </c>
      <c r="F1732" s="3" t="s">
        <v>27</v>
      </c>
      <c r="G1732" s="3" t="s">
        <v>7108</v>
      </c>
      <c r="H1732" s="1" t="s">
        <v>22</v>
      </c>
      <c r="I1732" s="1" t="n">
        <v>20240430080002</v>
      </c>
      <c r="J1732" s="3" t="s">
        <v>7109</v>
      </c>
      <c r="K1732" s="3" t="s">
        <v>7110</v>
      </c>
      <c r="L1732" s="3" t="s">
        <v>7111</v>
      </c>
      <c r="M1732" s="3" t="n">
        <v>889990</v>
      </c>
      <c r="N1732" s="3" t="s">
        <v>810</v>
      </c>
      <c r="O1732" s="1" t="n">
        <v>873604</v>
      </c>
      <c r="P1732" s="1" t="n">
        <v>98.16</v>
      </c>
      <c r="Q1732" s="1" t="s">
        <v>20</v>
      </c>
      <c r="R1732" s="1" t="s">
        <v>27</v>
      </c>
      <c r="S1732" s="1" t="s">
        <v>28</v>
      </c>
      <c r="T1732" s="1" t="s">
        <v>29</v>
      </c>
    </row>
    <row r="1733" customFormat="false" ht="18.7" hidden="false" customHeight="true" outlineLevel="0" collapsed="false">
      <c r="A1733" s="1" t="n">
        <v>1732</v>
      </c>
      <c r="B1733" s="6" t="str">
        <f aca="false">HYPERLINK("https://mncourtfraud.com/file/MCRO_27-CR-21-1980_Order-Evaluation for Competency to Proceed (Rule 20.01)_2023-04-03_20240430075959.pdf","MCRO_27-CR-21-1980_Order-Evaluation for Competency to Proceed (Rule 20.01)_2023-04-03_20240430075959.pdf")</f>
        <v>MCRO_27-CR-21-1980_Order-Evaluation for Competency to Proceed (Rule 20.01)_2023-04-03_20240430075959.pdf</v>
      </c>
      <c r="C1733" s="1" t="n">
        <v>4</v>
      </c>
      <c r="D1733" s="1" t="n">
        <v>1</v>
      </c>
      <c r="E1733" s="1" t="n">
        <v>1</v>
      </c>
      <c r="F1733" s="3" t="s">
        <v>20</v>
      </c>
      <c r="G1733" s="3" t="s">
        <v>7112</v>
      </c>
      <c r="H1733" s="1" t="s">
        <v>22</v>
      </c>
      <c r="I1733" s="1" t="n">
        <v>20240430075959</v>
      </c>
      <c r="J1733" s="3" t="s">
        <v>7113</v>
      </c>
      <c r="K1733" s="3" t="s">
        <v>7114</v>
      </c>
      <c r="L1733" s="3" t="s">
        <v>7115</v>
      </c>
      <c r="M1733" s="3" t="n">
        <v>1102773</v>
      </c>
      <c r="N1733" s="3" t="s">
        <v>1128</v>
      </c>
      <c r="O1733" s="1" t="n">
        <v>1086387</v>
      </c>
      <c r="P1733" s="1" t="n">
        <v>98.51</v>
      </c>
      <c r="Q1733" s="1" t="s">
        <v>20</v>
      </c>
      <c r="R1733" s="1" t="s">
        <v>27</v>
      </c>
      <c r="S1733" s="1" t="s">
        <v>28</v>
      </c>
      <c r="T1733" s="1" t="s">
        <v>29</v>
      </c>
    </row>
    <row r="1734" customFormat="false" ht="18.7" hidden="false" customHeight="true" outlineLevel="0" collapsed="false">
      <c r="A1734" s="1" t="n">
        <v>1733</v>
      </c>
      <c r="B1734" s="6" t="str">
        <f aca="false">HYPERLINK("https://mncourtfraud.com/file/MCRO_27-CR-21-1980_Order-Evaluation for Competency to Proceed (Rule 20.01)_2023-09-18_20240430075956.pdf","MCRO_27-CR-21-1980_Order-Evaluation for Competency to Proceed (Rule 20.01)_2023-09-18_20240430075956.pdf")</f>
        <v>MCRO_27-CR-21-1980_Order-Evaluation for Competency to Proceed (Rule 20.01)_2023-09-18_20240430075956.pdf</v>
      </c>
      <c r="C1734" s="1" t="n">
        <v>6</v>
      </c>
      <c r="D1734" s="1" t="n">
        <v>2</v>
      </c>
      <c r="E1734" s="1" t="n">
        <v>2</v>
      </c>
      <c r="F1734" s="3" t="s">
        <v>27</v>
      </c>
      <c r="G1734" s="3" t="s">
        <v>7116</v>
      </c>
      <c r="H1734" s="1" t="s">
        <v>22</v>
      </c>
      <c r="I1734" s="1" t="n">
        <v>20240430075956</v>
      </c>
      <c r="J1734" s="3" t="s">
        <v>7117</v>
      </c>
      <c r="K1734" s="3" t="s">
        <v>7118</v>
      </c>
      <c r="L1734" s="3" t="s">
        <v>7119</v>
      </c>
      <c r="M1734" s="3" t="n">
        <v>868845</v>
      </c>
      <c r="N1734" s="3" t="s">
        <v>554</v>
      </c>
      <c r="O1734" s="1" t="n">
        <v>852459</v>
      </c>
      <c r="P1734" s="1" t="n">
        <v>98.11</v>
      </c>
      <c r="Q1734" s="1" t="s">
        <v>20</v>
      </c>
      <c r="R1734" s="1" t="s">
        <v>27</v>
      </c>
      <c r="S1734" s="1" t="s">
        <v>28</v>
      </c>
      <c r="T1734" s="1" t="s">
        <v>29</v>
      </c>
    </row>
    <row r="1735" customFormat="false" ht="18.7" hidden="false" customHeight="true" outlineLevel="0" collapsed="false">
      <c r="A1735" s="1" t="n">
        <v>1734</v>
      </c>
      <c r="B1735" s="6" t="str">
        <f aca="false">HYPERLINK("https://mncourtfraud.com/file/MCRO_27-CR-21-1980_Order-Evaluation for Competency to Proceed (Rule 20.01)_2024-01-26_20240430075951.pdf","MCRO_27-CR-21-1980_Order-Evaluation for Competency to Proceed (Rule 20.01)_2024-01-26_20240430075951.pdf")</f>
        <v>MCRO_27-CR-21-1980_Order-Evaluation for Competency to Proceed (Rule 20.01)_2024-01-26_20240430075951.pdf</v>
      </c>
      <c r="C1735" s="1" t="n">
        <v>6</v>
      </c>
      <c r="D1735" s="1" t="n">
        <v>2</v>
      </c>
      <c r="E1735" s="1" t="n">
        <v>2</v>
      </c>
      <c r="F1735" s="3" t="s">
        <v>20</v>
      </c>
      <c r="G1735" s="3" t="s">
        <v>7120</v>
      </c>
      <c r="H1735" s="1" t="s">
        <v>22</v>
      </c>
      <c r="I1735" s="1" t="n">
        <v>20240430075951</v>
      </c>
      <c r="J1735" s="3" t="s">
        <v>7121</v>
      </c>
      <c r="K1735" s="3" t="s">
        <v>7122</v>
      </c>
      <c r="L1735" s="3" t="s">
        <v>7123</v>
      </c>
      <c r="M1735" s="3" t="n">
        <v>868591</v>
      </c>
      <c r="N1735" s="3" t="s">
        <v>6214</v>
      </c>
      <c r="O1735" s="1" t="n">
        <v>852205</v>
      </c>
      <c r="P1735" s="1" t="n">
        <v>98.11</v>
      </c>
      <c r="Q1735" s="1" t="s">
        <v>20</v>
      </c>
      <c r="R1735" s="1" t="s">
        <v>27</v>
      </c>
      <c r="S1735" s="1" t="s">
        <v>28</v>
      </c>
      <c r="T1735" s="1" t="s">
        <v>29</v>
      </c>
    </row>
    <row r="1736" customFormat="false" ht="18.7" hidden="false" customHeight="true" outlineLevel="0" collapsed="false">
      <c r="A1736" s="1" t="n">
        <v>1735</v>
      </c>
      <c r="B1736" s="6" t="str">
        <f aca="false">HYPERLINK("https://mncourtfraud.com/file/MCRO_27-CR-21-1980_Order for Conditional Release_2021-02-01_20240430080025.pdf","MCRO_27-CR-21-1980_Order for Conditional Release_2021-02-01_20240430080025.pdf")</f>
        <v>MCRO_27-CR-21-1980_Order for Conditional Release_2021-02-01_20240430080025.pdf</v>
      </c>
      <c r="C1736" s="1" t="n">
        <v>4</v>
      </c>
      <c r="D1736" s="1" t="n">
        <v>1</v>
      </c>
      <c r="E1736" s="1" t="n">
        <v>1</v>
      </c>
      <c r="F1736" s="3" t="s">
        <v>20</v>
      </c>
      <c r="G1736" s="3" t="s">
        <v>7124</v>
      </c>
      <c r="H1736" s="1" t="s">
        <v>22</v>
      </c>
      <c r="I1736" s="1" t="n">
        <v>20240430080025</v>
      </c>
      <c r="J1736" s="3" t="s">
        <v>7125</v>
      </c>
      <c r="K1736" s="3" t="s">
        <v>7126</v>
      </c>
      <c r="L1736" s="3" t="s">
        <v>7127</v>
      </c>
      <c r="M1736" s="3" t="n">
        <v>751762</v>
      </c>
      <c r="N1736" s="3" t="s">
        <v>456</v>
      </c>
      <c r="O1736" s="1" t="n">
        <v>735376</v>
      </c>
      <c r="P1736" s="1" t="n">
        <v>97.82</v>
      </c>
      <c r="Q1736" s="1" t="s">
        <v>20</v>
      </c>
      <c r="R1736" s="1" t="s">
        <v>27</v>
      </c>
      <c r="S1736" s="1" t="s">
        <v>28</v>
      </c>
      <c r="T1736" s="1" t="s">
        <v>29</v>
      </c>
    </row>
    <row r="1737" customFormat="false" ht="18.7" hidden="false" customHeight="true" outlineLevel="0" collapsed="false">
      <c r="A1737" s="1" t="n">
        <v>1736</v>
      </c>
      <c r="B1737" s="6" t="str">
        <f aca="false">HYPERLINK("https://mncourtfraud.com/file/MCRO_27-CR-21-1980_Order for Conditional Release_2021-03-17_20240430080022.pdf","MCRO_27-CR-21-1980_Order for Conditional Release_2021-03-17_20240430080022.pdf")</f>
        <v>MCRO_27-CR-21-1980_Order for Conditional Release_2021-03-17_20240430080022.pdf</v>
      </c>
      <c r="C1737" s="1" t="n">
        <v>5</v>
      </c>
      <c r="D1737" s="1" t="n">
        <v>54</v>
      </c>
      <c r="E1737" s="1" t="n">
        <v>2</v>
      </c>
      <c r="F1737" s="3" t="s">
        <v>27</v>
      </c>
      <c r="G1737" s="3" t="s">
        <v>7128</v>
      </c>
      <c r="H1737" s="1" t="s">
        <v>22</v>
      </c>
      <c r="I1737" s="1" t="n">
        <v>20240430080022</v>
      </c>
      <c r="J1737" s="3" t="s">
        <v>7129</v>
      </c>
      <c r="K1737" s="3" t="s">
        <v>7130</v>
      </c>
      <c r="L1737" s="3" t="s">
        <v>7131</v>
      </c>
      <c r="M1737" s="3" t="n">
        <v>702744</v>
      </c>
      <c r="N1737" s="3" t="s">
        <v>7132</v>
      </c>
      <c r="O1737" s="1" t="n">
        <v>686358</v>
      </c>
      <c r="P1737" s="1" t="n">
        <v>97.67</v>
      </c>
      <c r="Q1737" s="1" t="s">
        <v>20</v>
      </c>
      <c r="R1737" s="1" t="s">
        <v>27</v>
      </c>
      <c r="S1737" s="1" t="s">
        <v>28</v>
      </c>
      <c r="T1737" s="1" t="s">
        <v>29</v>
      </c>
    </row>
    <row r="1738" customFormat="false" ht="18.7" hidden="false" customHeight="true" outlineLevel="0" collapsed="false">
      <c r="A1738" s="1" t="n">
        <v>1737</v>
      </c>
      <c r="B1738" s="6" t="str">
        <f aca="false">HYPERLINK("https://mncourtfraud.com/file/MCRO_27-CR-21-1980_Order for Conditional Release_2021-10-27_20240430080016.pdf","MCRO_27-CR-21-1980_Order for Conditional Release_2021-10-27_20240430080016.pdf")</f>
        <v>MCRO_27-CR-21-1980_Order for Conditional Release_2021-10-27_20240430080016.pdf</v>
      </c>
      <c r="C1738" s="1" t="n">
        <v>4</v>
      </c>
      <c r="D1738" s="1" t="n">
        <v>1</v>
      </c>
      <c r="E1738" s="1" t="n">
        <v>1</v>
      </c>
      <c r="F1738" s="3" t="s">
        <v>20</v>
      </c>
      <c r="G1738" s="3" t="s">
        <v>7133</v>
      </c>
      <c r="H1738" s="1" t="s">
        <v>22</v>
      </c>
      <c r="I1738" s="1" t="n">
        <v>20240430080016</v>
      </c>
      <c r="J1738" s="3" t="s">
        <v>7134</v>
      </c>
      <c r="K1738" s="3" t="s">
        <v>7135</v>
      </c>
      <c r="L1738" s="3" t="s">
        <v>7136</v>
      </c>
      <c r="M1738" s="3" t="n">
        <v>130746</v>
      </c>
      <c r="N1738" s="3" t="s">
        <v>456</v>
      </c>
      <c r="O1738" s="1" t="n">
        <v>114360</v>
      </c>
      <c r="P1738" s="1" t="n">
        <v>87.47</v>
      </c>
      <c r="Q1738" s="1" t="s">
        <v>20</v>
      </c>
      <c r="R1738" s="1" t="s">
        <v>27</v>
      </c>
      <c r="S1738" s="1" t="s">
        <v>28</v>
      </c>
      <c r="T1738" s="1" t="s">
        <v>29</v>
      </c>
    </row>
    <row r="1739" customFormat="false" ht="18.7" hidden="false" customHeight="true" outlineLevel="0" collapsed="false">
      <c r="A1739" s="1" t="n">
        <v>1738</v>
      </c>
      <c r="B1739" s="6" t="str">
        <f aca="false">HYPERLINK("https://mncourtfraud.com/file/MCRO_27-CR-21-1980_Order for Conditional Release_2021-11-18_20240430080014.pdf","MCRO_27-CR-21-1980_Order for Conditional Release_2021-11-18_20240430080014.pdf")</f>
        <v>MCRO_27-CR-21-1980_Order for Conditional Release_2021-11-18_20240430080014.pdf</v>
      </c>
      <c r="C1739" s="1" t="n">
        <v>4</v>
      </c>
      <c r="D1739" s="1" t="n">
        <v>1</v>
      </c>
      <c r="E1739" s="1" t="n">
        <v>1</v>
      </c>
      <c r="F1739" s="3" t="s">
        <v>20</v>
      </c>
      <c r="G1739" s="3" t="s">
        <v>7137</v>
      </c>
      <c r="H1739" s="1" t="s">
        <v>22</v>
      </c>
      <c r="I1739" s="1" t="n">
        <v>20240430080014</v>
      </c>
      <c r="J1739" s="3" t="s">
        <v>7138</v>
      </c>
      <c r="K1739" s="3" t="s">
        <v>7139</v>
      </c>
      <c r="L1739" s="3" t="s">
        <v>7140</v>
      </c>
      <c r="M1739" s="3" t="n">
        <v>752279</v>
      </c>
      <c r="N1739" s="3" t="s">
        <v>456</v>
      </c>
      <c r="O1739" s="1" t="n">
        <v>735893</v>
      </c>
      <c r="P1739" s="1" t="n">
        <v>97.82</v>
      </c>
      <c r="Q1739" s="1" t="s">
        <v>20</v>
      </c>
      <c r="R1739" s="1" t="s">
        <v>27</v>
      </c>
      <c r="S1739" s="1" t="s">
        <v>28</v>
      </c>
      <c r="T1739" s="1" t="s">
        <v>29</v>
      </c>
    </row>
    <row r="1740" customFormat="false" ht="18.7" hidden="false" customHeight="true" outlineLevel="0" collapsed="false">
      <c r="A1740" s="1" t="n">
        <v>1739</v>
      </c>
      <c r="B1740" s="6" t="str">
        <f aca="false">HYPERLINK("https://mncourtfraud.com/file/MCRO_27-CR-21-1980_Order for Conditional Release_2021-12-20_20240430080009.pdf","MCRO_27-CR-21-1980_Order for Conditional Release_2021-12-20_20240430080009.pdf")</f>
        <v>MCRO_27-CR-21-1980_Order for Conditional Release_2021-12-20_20240430080009.pdf</v>
      </c>
      <c r="C1740" s="1" t="n">
        <v>4</v>
      </c>
      <c r="D1740" s="1" t="n">
        <v>1</v>
      </c>
      <c r="E1740" s="1" t="n">
        <v>1</v>
      </c>
      <c r="F1740" s="3" t="s">
        <v>20</v>
      </c>
      <c r="G1740" s="3" t="s">
        <v>7141</v>
      </c>
      <c r="H1740" s="1" t="s">
        <v>22</v>
      </c>
      <c r="I1740" s="1" t="n">
        <v>20240430080009</v>
      </c>
      <c r="J1740" s="3" t="s">
        <v>7142</v>
      </c>
      <c r="K1740" s="3" t="s">
        <v>7143</v>
      </c>
      <c r="L1740" s="3" t="s">
        <v>7144</v>
      </c>
      <c r="M1740" s="3" t="n">
        <v>815265</v>
      </c>
      <c r="N1740" s="3" t="s">
        <v>680</v>
      </c>
      <c r="O1740" s="1" t="n">
        <v>798879</v>
      </c>
      <c r="P1740" s="1" t="n">
        <v>97.99</v>
      </c>
      <c r="Q1740" s="1" t="s">
        <v>20</v>
      </c>
      <c r="R1740" s="1" t="s">
        <v>27</v>
      </c>
      <c r="S1740" s="1" t="s">
        <v>28</v>
      </c>
      <c r="T1740" s="1" t="s">
        <v>29</v>
      </c>
    </row>
    <row r="1741" customFormat="false" ht="18.7" hidden="false" customHeight="true" outlineLevel="0" collapsed="false">
      <c r="A1741" s="1" t="n">
        <v>1740</v>
      </c>
      <c r="B1741" s="6" t="str">
        <f aca="false">HYPERLINK("https://mncourtfraud.com/file/MCRO_27-CR-21-1980_Order for Conditional Release_2022-05-31_20240430080007.pdf","MCRO_27-CR-21-1980_Order for Conditional Release_2022-05-31_20240430080007.pdf")</f>
        <v>MCRO_27-CR-21-1980_Order for Conditional Release_2022-05-31_20240430080007.pdf</v>
      </c>
      <c r="C1741" s="1" t="n">
        <v>4</v>
      </c>
      <c r="D1741" s="1" t="n">
        <v>1</v>
      </c>
      <c r="E1741" s="1" t="n">
        <v>1</v>
      </c>
      <c r="F1741" s="3" t="s">
        <v>20</v>
      </c>
      <c r="G1741" s="3" t="s">
        <v>7145</v>
      </c>
      <c r="H1741" s="1" t="s">
        <v>22</v>
      </c>
      <c r="I1741" s="1" t="n">
        <v>20240430080007</v>
      </c>
      <c r="J1741" s="3" t="s">
        <v>7146</v>
      </c>
      <c r="K1741" s="3" t="s">
        <v>7147</v>
      </c>
      <c r="L1741" s="3" t="s">
        <v>7148</v>
      </c>
      <c r="M1741" s="3" t="n">
        <v>813598</v>
      </c>
      <c r="N1741" s="3" t="s">
        <v>456</v>
      </c>
      <c r="O1741" s="1" t="n">
        <v>797212</v>
      </c>
      <c r="P1741" s="1" t="n">
        <v>97.99</v>
      </c>
      <c r="Q1741" s="1" t="s">
        <v>20</v>
      </c>
      <c r="R1741" s="1" t="s">
        <v>27</v>
      </c>
      <c r="S1741" s="1" t="s">
        <v>28</v>
      </c>
      <c r="T1741" s="1" t="s">
        <v>29</v>
      </c>
    </row>
    <row r="1742" customFormat="false" ht="18.7" hidden="false" customHeight="true" outlineLevel="0" collapsed="false">
      <c r="A1742" s="1" t="n">
        <v>1741</v>
      </c>
      <c r="B1742" s="6" t="str">
        <f aca="false">HYPERLINK("https://mncourtfraud.com/file/MCRO_27-CR-21-1980_Order for Conditional Release_2022-10-04_20240430080003.pdf","MCRO_27-CR-21-1980_Order for Conditional Release_2022-10-04_20240430080003.pdf")</f>
        <v>MCRO_27-CR-21-1980_Order for Conditional Release_2022-10-04_20240430080003.pdf</v>
      </c>
      <c r="C1742" s="1" t="n">
        <v>5</v>
      </c>
      <c r="D1742" s="1" t="n">
        <v>1</v>
      </c>
      <c r="E1742" s="1" t="n">
        <v>1</v>
      </c>
      <c r="F1742" s="3" t="s">
        <v>20</v>
      </c>
      <c r="G1742" s="3" t="s">
        <v>7149</v>
      </c>
      <c r="H1742" s="1" t="s">
        <v>22</v>
      </c>
      <c r="I1742" s="1" t="n">
        <v>20240430080003</v>
      </c>
      <c r="J1742" s="3" t="s">
        <v>7109</v>
      </c>
      <c r="K1742" s="3" t="s">
        <v>7110</v>
      </c>
      <c r="L1742" s="3" t="s">
        <v>7150</v>
      </c>
      <c r="M1742" s="3" t="n">
        <v>793302</v>
      </c>
      <c r="N1742" s="3" t="s">
        <v>7151</v>
      </c>
      <c r="O1742" s="1" t="n">
        <v>776916</v>
      </c>
      <c r="P1742" s="1" t="n">
        <v>97.93</v>
      </c>
      <c r="Q1742" s="1" t="s">
        <v>20</v>
      </c>
      <c r="R1742" s="1" t="s">
        <v>27</v>
      </c>
      <c r="S1742" s="1" t="s">
        <v>28</v>
      </c>
      <c r="T1742" s="1" t="s">
        <v>29</v>
      </c>
    </row>
    <row r="1743" customFormat="false" ht="18.7" hidden="false" customHeight="true" outlineLevel="0" collapsed="false">
      <c r="A1743" s="1" t="n">
        <v>1742</v>
      </c>
      <c r="B1743" s="6" t="str">
        <f aca="false">HYPERLINK("https://mncourtfraud.com/file/MCRO_27-CR-21-1980_Order for Conditional Release_2023-04-03_20240430080001.pdf","MCRO_27-CR-21-1980_Order for Conditional Release_2023-04-03_20240430080001.pdf")</f>
        <v>MCRO_27-CR-21-1980_Order for Conditional Release_2023-04-03_20240430080001.pdf</v>
      </c>
      <c r="C1743" s="1" t="n">
        <v>4</v>
      </c>
      <c r="D1743" s="1" t="n">
        <v>1</v>
      </c>
      <c r="E1743" s="1" t="n">
        <v>1</v>
      </c>
      <c r="F1743" s="3" t="s">
        <v>20</v>
      </c>
      <c r="G1743" s="3" t="s">
        <v>7152</v>
      </c>
      <c r="H1743" s="1" t="s">
        <v>22</v>
      </c>
      <c r="I1743" s="1" t="n">
        <v>20240430080001</v>
      </c>
      <c r="J1743" s="3" t="s">
        <v>7153</v>
      </c>
      <c r="K1743" s="3" t="s">
        <v>7154</v>
      </c>
      <c r="L1743" s="3" t="s">
        <v>7155</v>
      </c>
      <c r="M1743" s="3" t="n">
        <v>827467</v>
      </c>
      <c r="N1743" s="3" t="s">
        <v>158</v>
      </c>
      <c r="O1743" s="1" t="n">
        <v>811081</v>
      </c>
      <c r="P1743" s="1" t="n">
        <v>98.02</v>
      </c>
      <c r="Q1743" s="1" t="s">
        <v>20</v>
      </c>
      <c r="R1743" s="1" t="s">
        <v>27</v>
      </c>
      <c r="S1743" s="1" t="s">
        <v>28</v>
      </c>
      <c r="T1743" s="1" t="s">
        <v>29</v>
      </c>
    </row>
    <row r="1744" customFormat="false" ht="18.7" hidden="false" customHeight="true" outlineLevel="0" collapsed="false">
      <c r="A1744" s="1" t="n">
        <v>1743</v>
      </c>
      <c r="B1744" s="6" t="str">
        <f aca="false">HYPERLINK("https://mncourtfraud.com/file/MCRO_27-CR-21-1980_Order Revoking Interim Conditions of Release_2021-12-14_20240430080011.pdf","MCRO_27-CR-21-1980_Order Revoking Interim Conditions of Release_2021-12-14_20240430080011.pdf")</f>
        <v>MCRO_27-CR-21-1980_Order Revoking Interim Conditions of Release_2021-12-14_20240430080011.pdf</v>
      </c>
      <c r="C1744" s="1" t="n">
        <v>5</v>
      </c>
      <c r="D1744" s="1" t="n">
        <v>3</v>
      </c>
      <c r="E1744" s="1" t="n">
        <v>3</v>
      </c>
      <c r="F1744" s="3" t="s">
        <v>20</v>
      </c>
      <c r="G1744" s="3" t="s">
        <v>7156</v>
      </c>
      <c r="H1744" s="1" t="s">
        <v>22</v>
      </c>
      <c r="I1744" s="1" t="n">
        <v>20240430080011</v>
      </c>
      <c r="J1744" s="3" t="s">
        <v>7157</v>
      </c>
      <c r="K1744" s="3" t="s">
        <v>7158</v>
      </c>
      <c r="L1744" s="3" t="s">
        <v>7159</v>
      </c>
      <c r="M1744" s="3" t="n">
        <v>370896</v>
      </c>
      <c r="N1744" s="3" t="s">
        <v>7160</v>
      </c>
      <c r="O1744" s="1" t="n">
        <v>354510</v>
      </c>
      <c r="P1744" s="1" t="n">
        <v>95.58</v>
      </c>
      <c r="Q1744" s="1" t="s">
        <v>20</v>
      </c>
      <c r="R1744" s="1" t="s">
        <v>27</v>
      </c>
      <c r="S1744" s="1" t="s">
        <v>28</v>
      </c>
      <c r="T1744" s="1" t="s">
        <v>29</v>
      </c>
    </row>
    <row r="1745" customFormat="false" ht="18.7" hidden="false" customHeight="true" outlineLevel="0" collapsed="false">
      <c r="A1745" s="1" t="n">
        <v>1744</v>
      </c>
      <c r="B1745" s="6" t="str">
        <f aca="false">HYPERLINK("https://mncourtfraud.com/file/MCRO_27-CR-21-1980_Other Document_2022-02-28_20240430080008.pdf","MCRO_27-CR-21-1980_Other Document_2022-02-28_20240430080008.pdf")</f>
        <v>MCRO_27-CR-21-1980_Other Document_2022-02-28_20240430080008.pdf</v>
      </c>
      <c r="C1745" s="1" t="n">
        <v>5</v>
      </c>
      <c r="D1745" s="1" t="n">
        <v>1</v>
      </c>
      <c r="E1745" s="1" t="n">
        <v>1</v>
      </c>
      <c r="F1745" s="3" t="s">
        <v>20</v>
      </c>
      <c r="G1745" s="3" t="s">
        <v>7161</v>
      </c>
      <c r="H1745" s="1" t="s">
        <v>22</v>
      </c>
      <c r="I1745" s="1" t="n">
        <v>20240430080008</v>
      </c>
      <c r="J1745" s="3" t="s">
        <v>7162</v>
      </c>
      <c r="K1745" s="3" t="s">
        <v>7163</v>
      </c>
      <c r="L1745" s="3" t="s">
        <v>7164</v>
      </c>
      <c r="M1745" s="3" t="n">
        <v>737957</v>
      </c>
      <c r="N1745" s="3" t="s">
        <v>6298</v>
      </c>
      <c r="O1745" s="1" t="n">
        <v>721571</v>
      </c>
      <c r="P1745" s="1" t="n">
        <v>97.78</v>
      </c>
      <c r="Q1745" s="1" t="s">
        <v>20</v>
      </c>
      <c r="R1745" s="1" t="s">
        <v>27</v>
      </c>
      <c r="S1745" s="1" t="s">
        <v>28</v>
      </c>
      <c r="T1745" s="1" t="s">
        <v>29</v>
      </c>
    </row>
    <row r="1746" customFormat="false" ht="18.7" hidden="false" customHeight="true" outlineLevel="0" collapsed="false">
      <c r="A1746" s="1" t="n">
        <v>1745</v>
      </c>
      <c r="B1746" s="6" t="str">
        <f aca="false">HYPERLINK("https://mncourtfraud.com/file/MCRO_27-CR-21-1980_Other Document_2022-05-31_20240430080006.pdf","MCRO_27-CR-21-1980_Other Document_2022-05-31_20240430080006.pdf")</f>
        <v>MCRO_27-CR-21-1980_Other Document_2022-05-31_20240430080006.pdf</v>
      </c>
      <c r="C1746" s="1" t="n">
        <v>4</v>
      </c>
      <c r="D1746" s="1" t="n">
        <v>1</v>
      </c>
      <c r="E1746" s="1" t="n">
        <v>1</v>
      </c>
      <c r="F1746" s="3" t="s">
        <v>20</v>
      </c>
      <c r="G1746" s="3" t="s">
        <v>7165</v>
      </c>
      <c r="H1746" s="1" t="s">
        <v>22</v>
      </c>
      <c r="I1746" s="1" t="n">
        <v>20240430080006</v>
      </c>
      <c r="J1746" s="3" t="s">
        <v>7166</v>
      </c>
      <c r="K1746" s="3" t="s">
        <v>7167</v>
      </c>
      <c r="L1746" s="3" t="s">
        <v>7168</v>
      </c>
      <c r="M1746" s="3" t="n">
        <v>274168</v>
      </c>
      <c r="N1746" s="3" t="s">
        <v>4614</v>
      </c>
      <c r="O1746" s="1" t="n">
        <v>257782</v>
      </c>
      <c r="P1746" s="1" t="n">
        <v>94.02</v>
      </c>
      <c r="Q1746" s="1" t="s">
        <v>20</v>
      </c>
      <c r="R1746" s="1" t="s">
        <v>27</v>
      </c>
      <c r="S1746" s="1" t="s">
        <v>28</v>
      </c>
      <c r="T1746" s="1" t="s">
        <v>29</v>
      </c>
    </row>
    <row r="1747" customFormat="false" ht="18.7" hidden="false" customHeight="true" outlineLevel="0" collapsed="false">
      <c r="A1747" s="1" t="n">
        <v>1746</v>
      </c>
      <c r="B1747" s="6" t="str">
        <f aca="false">HYPERLINK("https://mncourtfraud.com/file/MCRO_27-CR-21-1980_Proposed Order or Document_2021-12-14_20240430080012.pdf","MCRO_27-CR-21-1980_Proposed Order or Document_2021-12-14_20240430080012.pdf")</f>
        <v>MCRO_27-CR-21-1980_Proposed Order or Document_2021-12-14_20240430080012.pdf</v>
      </c>
      <c r="C1747" s="1" t="n">
        <v>3</v>
      </c>
      <c r="D1747" s="1" t="n">
        <v>1</v>
      </c>
      <c r="E1747" s="1" t="n">
        <v>1</v>
      </c>
      <c r="F1747" s="3" t="s">
        <v>20</v>
      </c>
      <c r="G1747" s="3" t="s">
        <v>7169</v>
      </c>
      <c r="H1747" s="1" t="s">
        <v>22</v>
      </c>
      <c r="I1747" s="1" t="n">
        <v>20240430080012</v>
      </c>
      <c r="J1747" s="3" t="s">
        <v>7170</v>
      </c>
      <c r="K1747" s="3" t="s">
        <v>7171</v>
      </c>
      <c r="L1747" s="3" t="s">
        <v>7172</v>
      </c>
      <c r="M1747" s="3" t="n">
        <v>182664</v>
      </c>
      <c r="N1747" s="3" t="s">
        <v>7173</v>
      </c>
      <c r="O1747" s="1" t="n">
        <v>166278</v>
      </c>
      <c r="P1747" s="1" t="n">
        <v>91.03</v>
      </c>
      <c r="Q1747" s="1" t="s">
        <v>20</v>
      </c>
      <c r="R1747" s="1" t="s">
        <v>27</v>
      </c>
      <c r="S1747" s="1" t="s">
        <v>28</v>
      </c>
      <c r="T1747" s="1" t="s">
        <v>29</v>
      </c>
    </row>
    <row r="1748" customFormat="false" ht="18.7" hidden="false" customHeight="true" outlineLevel="0" collapsed="false">
      <c r="A1748" s="1" t="n">
        <v>1747</v>
      </c>
      <c r="B1748" s="6" t="str">
        <f aca="false">HYPERLINK("https://mncourtfraud.com/file/MCRO_27-CR-21-1980_Returned Mail_2023-12-08_20240430075953.pdf","MCRO_27-CR-21-1980_Returned Mail_2023-12-08_20240430075953.pdf")</f>
        <v>MCRO_27-CR-21-1980_Returned Mail_2023-12-08_20240430075953.pdf</v>
      </c>
      <c r="C1748" s="1" t="n">
        <v>4</v>
      </c>
      <c r="D1748" s="1" t="n">
        <v>1</v>
      </c>
      <c r="E1748" s="1" t="n">
        <v>1</v>
      </c>
      <c r="F1748" s="3" t="s">
        <v>20</v>
      </c>
      <c r="G1748" s="3" t="s">
        <v>7174</v>
      </c>
      <c r="H1748" s="1" t="s">
        <v>22</v>
      </c>
      <c r="I1748" s="1" t="n">
        <v>20240430075953</v>
      </c>
      <c r="J1748" s="3" t="s">
        <v>7175</v>
      </c>
      <c r="K1748" s="3" t="s">
        <v>7176</v>
      </c>
      <c r="L1748" s="3" t="s">
        <v>7177</v>
      </c>
      <c r="M1748" s="3" t="n">
        <v>308665</v>
      </c>
      <c r="N1748" s="3" t="s">
        <v>158</v>
      </c>
      <c r="O1748" s="1" t="n">
        <v>292279</v>
      </c>
      <c r="P1748" s="1" t="n">
        <v>94.69</v>
      </c>
      <c r="Q1748" s="1" t="s">
        <v>20</v>
      </c>
      <c r="R1748" s="1" t="s">
        <v>27</v>
      </c>
      <c r="S1748" s="1" t="s">
        <v>28</v>
      </c>
      <c r="T1748" s="1" t="s">
        <v>29</v>
      </c>
    </row>
    <row r="1749" customFormat="false" ht="18.7" hidden="false" customHeight="true" outlineLevel="0" collapsed="false">
      <c r="A1749" s="1" t="n">
        <v>1748</v>
      </c>
      <c r="B1749" s="6" t="str">
        <f aca="false">HYPERLINK("https://mncourtfraud.com/file/MCRO_27-CR-21-1980_Returned Mail_2023-12-29_20240430075952.pdf","MCRO_27-CR-21-1980_Returned Mail_2023-12-29_20240430075952.pdf")</f>
        <v>MCRO_27-CR-21-1980_Returned Mail_2023-12-29_20240430075952.pdf</v>
      </c>
      <c r="C1749" s="1" t="n">
        <v>4</v>
      </c>
      <c r="D1749" s="1" t="n">
        <v>1</v>
      </c>
      <c r="E1749" s="1" t="n">
        <v>1</v>
      </c>
      <c r="F1749" s="3" t="s">
        <v>20</v>
      </c>
      <c r="G1749" s="3" t="s">
        <v>7178</v>
      </c>
      <c r="H1749" s="1" t="s">
        <v>22</v>
      </c>
      <c r="I1749" s="1" t="n">
        <v>20240430075952</v>
      </c>
      <c r="J1749" s="3" t="s">
        <v>7179</v>
      </c>
      <c r="K1749" s="3" t="s">
        <v>7180</v>
      </c>
      <c r="L1749" s="3" t="s">
        <v>7181</v>
      </c>
      <c r="M1749" s="3" t="n">
        <v>281526</v>
      </c>
      <c r="N1749" s="3" t="s">
        <v>158</v>
      </c>
      <c r="O1749" s="1" t="n">
        <v>265140</v>
      </c>
      <c r="P1749" s="1" t="n">
        <v>94.18</v>
      </c>
      <c r="Q1749" s="1" t="s">
        <v>20</v>
      </c>
      <c r="R1749" s="1" t="s">
        <v>27</v>
      </c>
      <c r="S1749" s="1" t="s">
        <v>28</v>
      </c>
      <c r="T1749" s="1" t="s">
        <v>29</v>
      </c>
    </row>
    <row r="1750" customFormat="false" ht="18.7" hidden="false" customHeight="true" outlineLevel="0" collapsed="false">
      <c r="A1750" s="1" t="n">
        <v>1749</v>
      </c>
      <c r="B1750" s="6" t="str">
        <f aca="false">HYPERLINK("https://mncourtfraud.com/file/MCRO_27-CR-21-20072_Demand or Request for Discovery_2021-11-03_20240430083115.pdf","MCRO_27-CR-21-20072_Demand or Request for Discovery_2021-11-03_20240430083115.pdf")</f>
        <v>MCRO_27-CR-21-20072_Demand or Request for Discovery_2021-11-03_20240430083115.pdf</v>
      </c>
      <c r="C1750" s="1" t="n">
        <v>3</v>
      </c>
      <c r="D1750" s="1" t="n">
        <v>1</v>
      </c>
      <c r="E1750" s="1" t="n">
        <v>1</v>
      </c>
      <c r="F1750" s="3" t="s">
        <v>20</v>
      </c>
      <c r="G1750" s="3" t="s">
        <v>7182</v>
      </c>
      <c r="H1750" s="1" t="s">
        <v>22</v>
      </c>
      <c r="I1750" s="1" t="n">
        <v>20240430083115</v>
      </c>
      <c r="J1750" s="3" t="s">
        <v>7183</v>
      </c>
      <c r="K1750" s="3" t="s">
        <v>7184</v>
      </c>
      <c r="L1750" s="3" t="s">
        <v>7185</v>
      </c>
      <c r="M1750" s="3" t="n">
        <v>498463</v>
      </c>
      <c r="N1750" s="3" t="s">
        <v>7186</v>
      </c>
      <c r="O1750" s="1" t="n">
        <v>482077</v>
      </c>
      <c r="P1750" s="1" t="n">
        <v>96.71</v>
      </c>
      <c r="Q1750" s="1" t="s">
        <v>20</v>
      </c>
      <c r="R1750" s="1" t="s">
        <v>27</v>
      </c>
      <c r="S1750" s="1" t="s">
        <v>28</v>
      </c>
      <c r="T1750" s="1" t="s">
        <v>29</v>
      </c>
    </row>
    <row r="1751" customFormat="false" ht="18.7" hidden="false" customHeight="true" outlineLevel="0" collapsed="false">
      <c r="A1751" s="1" t="n">
        <v>1750</v>
      </c>
      <c r="B1751" s="6" t="str">
        <f aca="false">HYPERLINK("https://mncourtfraud.com/file/MCRO_27-CR-21-20072_E-filed Comp-Order for Detention_2021-10-28_20240430083118.pdf","MCRO_27-CR-21-20072_E-filed Comp-Order for Detention_2021-10-28_20240430083118.pdf")</f>
        <v>MCRO_27-CR-21-20072_E-filed Comp-Order for Detention_2021-10-28_20240430083118.pdf</v>
      </c>
      <c r="C1751" s="1" t="n">
        <v>4</v>
      </c>
      <c r="D1751" s="1" t="n">
        <v>2</v>
      </c>
      <c r="E1751" s="1" t="n">
        <v>2</v>
      </c>
      <c r="F1751" s="3" t="s">
        <v>20</v>
      </c>
      <c r="G1751" s="3" t="s">
        <v>7187</v>
      </c>
      <c r="H1751" s="1" t="s">
        <v>22</v>
      </c>
      <c r="I1751" s="1" t="n">
        <v>20240430083118</v>
      </c>
      <c r="J1751" s="3" t="s">
        <v>7188</v>
      </c>
      <c r="K1751" s="3" t="s">
        <v>7189</v>
      </c>
      <c r="L1751" s="3" t="s">
        <v>7190</v>
      </c>
      <c r="M1751" s="3" t="n">
        <v>496326</v>
      </c>
      <c r="N1751" s="3" t="s">
        <v>4568</v>
      </c>
      <c r="O1751" s="1" t="n">
        <v>479940</v>
      </c>
      <c r="P1751" s="1" t="n">
        <v>96.7</v>
      </c>
      <c r="Q1751" s="1" t="s">
        <v>20</v>
      </c>
      <c r="R1751" s="1" t="s">
        <v>27</v>
      </c>
      <c r="S1751" s="1" t="s">
        <v>28</v>
      </c>
      <c r="T1751" s="1" t="s">
        <v>29</v>
      </c>
    </row>
    <row r="1752" customFormat="false" ht="18.7" hidden="false" customHeight="true" outlineLevel="0" collapsed="false">
      <c r="A1752" s="1" t="n">
        <v>1751</v>
      </c>
      <c r="B1752" s="6" t="str">
        <f aca="false">HYPERLINK("https://mncourtfraud.com/file/MCRO_27-CR-21-20072_Finding of Incompetency and Order_2023-06-01_20240430083050.pdf","MCRO_27-CR-21-20072_Finding of Incompetency and Order_2023-06-01_20240430083050.pdf")</f>
        <v>MCRO_27-CR-21-20072_Finding of Incompetency and Order_2023-06-01_20240430083050.pdf</v>
      </c>
      <c r="C1752" s="1" t="n">
        <v>9</v>
      </c>
      <c r="D1752" s="1" t="n">
        <v>3</v>
      </c>
      <c r="E1752" s="1" t="n">
        <v>3</v>
      </c>
      <c r="F1752" s="3" t="s">
        <v>27</v>
      </c>
      <c r="G1752" s="3" t="s">
        <v>7191</v>
      </c>
      <c r="H1752" s="1" t="s">
        <v>22</v>
      </c>
      <c r="I1752" s="1" t="n">
        <v>20240430083050</v>
      </c>
      <c r="J1752" s="3" t="s">
        <v>7192</v>
      </c>
      <c r="K1752" s="3" t="s">
        <v>7193</v>
      </c>
      <c r="L1752" s="3" t="s">
        <v>7194</v>
      </c>
      <c r="M1752" s="3" t="n">
        <v>957989</v>
      </c>
      <c r="N1752" s="3" t="s">
        <v>7046</v>
      </c>
      <c r="O1752" s="1" t="n">
        <v>941603</v>
      </c>
      <c r="P1752" s="1" t="n">
        <v>98.29</v>
      </c>
      <c r="Q1752" s="1" t="s">
        <v>20</v>
      </c>
      <c r="R1752" s="1" t="s">
        <v>27</v>
      </c>
      <c r="S1752" s="1" t="s">
        <v>28</v>
      </c>
      <c r="T1752" s="1" t="s">
        <v>29</v>
      </c>
    </row>
    <row r="1753" customFormat="false" ht="18.7" hidden="false" customHeight="true" outlineLevel="0" collapsed="false">
      <c r="A1753" s="1" t="n">
        <v>1752</v>
      </c>
      <c r="B1753" s="6" t="str">
        <f aca="false">HYPERLINK("https://mncourtfraud.com/file/MCRO_27-CR-21-20072_Findings and Order_2022-09-13_20240430083055.pdf","MCRO_27-CR-21-20072_Findings and Order_2022-09-13_20240430083055.pdf")</f>
        <v>MCRO_27-CR-21-20072_Findings and Order_2022-09-13_20240430083055.pdf</v>
      </c>
      <c r="C1753" s="1" t="n">
        <v>6</v>
      </c>
      <c r="D1753" s="1" t="n">
        <v>1</v>
      </c>
      <c r="E1753" s="1" t="n">
        <v>1</v>
      </c>
      <c r="F1753" s="3" t="s">
        <v>20</v>
      </c>
      <c r="G1753" s="3" t="s">
        <v>7195</v>
      </c>
      <c r="H1753" s="1" t="s">
        <v>22</v>
      </c>
      <c r="I1753" s="1" t="n">
        <v>20240430083055</v>
      </c>
      <c r="J1753" s="3" t="s">
        <v>7196</v>
      </c>
      <c r="K1753" s="3" t="s">
        <v>7197</v>
      </c>
      <c r="L1753" s="3" t="s">
        <v>7198</v>
      </c>
      <c r="M1753" s="3" t="n">
        <v>293935</v>
      </c>
      <c r="N1753" s="3" t="s">
        <v>7051</v>
      </c>
      <c r="O1753" s="1" t="n">
        <v>277549</v>
      </c>
      <c r="P1753" s="1" t="n">
        <v>94.43</v>
      </c>
      <c r="Q1753" s="1" t="s">
        <v>20</v>
      </c>
      <c r="R1753" s="1" t="s">
        <v>27</v>
      </c>
      <c r="S1753" s="1" t="s">
        <v>28</v>
      </c>
      <c r="T1753" s="1" t="s">
        <v>29</v>
      </c>
    </row>
    <row r="1754" customFormat="false" ht="18.7" hidden="false" customHeight="true" outlineLevel="0" collapsed="false">
      <c r="A1754" s="1" t="n">
        <v>1753</v>
      </c>
      <c r="B1754" s="6" t="str">
        <f aca="false">HYPERLINK("https://mncourtfraud.com/file/MCRO_27-CR-21-20072_Findings of Fact, Conclusions of Law and Order_2022-03-16_20240430083102.pdf","MCRO_27-CR-21-20072_Findings of Fact, Conclusions of Law and Order_2022-03-16_20240430083102.pdf")</f>
        <v>MCRO_27-CR-21-20072_Findings of Fact, Conclusions of Law and Order_2022-03-16_20240430083102.pdf</v>
      </c>
      <c r="C1754" s="1" t="n">
        <v>3</v>
      </c>
      <c r="D1754" s="1" t="n">
        <v>1</v>
      </c>
      <c r="E1754" s="1" t="n">
        <v>1</v>
      </c>
      <c r="F1754" s="3" t="s">
        <v>20</v>
      </c>
      <c r="G1754" s="3" t="s">
        <v>7199</v>
      </c>
      <c r="H1754" s="1" t="s">
        <v>22</v>
      </c>
      <c r="I1754" s="1" t="n">
        <v>20240430083102</v>
      </c>
      <c r="J1754" s="3" t="s">
        <v>7200</v>
      </c>
      <c r="K1754" s="3" t="s">
        <v>7201</v>
      </c>
      <c r="L1754" s="3" t="s">
        <v>7202</v>
      </c>
      <c r="M1754" s="3" t="n">
        <v>418342</v>
      </c>
      <c r="N1754" s="3" t="s">
        <v>7203</v>
      </c>
      <c r="O1754" s="1" t="n">
        <v>401956</v>
      </c>
      <c r="P1754" s="1" t="n">
        <v>96.08</v>
      </c>
      <c r="Q1754" s="1" t="s">
        <v>20</v>
      </c>
      <c r="R1754" s="1" t="s">
        <v>27</v>
      </c>
      <c r="S1754" s="1" t="s">
        <v>28</v>
      </c>
      <c r="T1754" s="1" t="s">
        <v>29</v>
      </c>
    </row>
    <row r="1755" customFormat="false" ht="18.7" hidden="false" customHeight="true" outlineLevel="0" collapsed="false">
      <c r="A1755" s="1" t="n">
        <v>1754</v>
      </c>
      <c r="B1755" s="6" t="str">
        <f aca="false">HYPERLINK("https://mncourtfraud.com/file/MCRO_27-CR-21-20072_Motion_2022-03-15_20240430083104.pdf","MCRO_27-CR-21-20072_Motion_2022-03-15_20240430083104.pdf")</f>
        <v>MCRO_27-CR-21-20072_Motion_2022-03-15_20240430083104.pdf</v>
      </c>
      <c r="C1755" s="1" t="n">
        <v>3</v>
      </c>
      <c r="D1755" s="1" t="n">
        <v>1</v>
      </c>
      <c r="E1755" s="1" t="n">
        <v>1</v>
      </c>
      <c r="F1755" s="3" t="s">
        <v>20</v>
      </c>
      <c r="G1755" s="3" t="s">
        <v>7204</v>
      </c>
      <c r="H1755" s="1" t="s">
        <v>22</v>
      </c>
      <c r="I1755" s="1" t="n">
        <v>20240430083104</v>
      </c>
      <c r="J1755" s="3" t="s">
        <v>7205</v>
      </c>
      <c r="K1755" s="3" t="s">
        <v>7206</v>
      </c>
      <c r="L1755" s="3" t="s">
        <v>7207</v>
      </c>
      <c r="M1755" s="3" t="n">
        <v>200506</v>
      </c>
      <c r="N1755" s="3" t="s">
        <v>7208</v>
      </c>
      <c r="O1755" s="1" t="n">
        <v>184120</v>
      </c>
      <c r="P1755" s="1" t="n">
        <v>91.83</v>
      </c>
      <c r="Q1755" s="1" t="s">
        <v>20</v>
      </c>
      <c r="R1755" s="1" t="s">
        <v>27</v>
      </c>
      <c r="S1755" s="1" t="s">
        <v>28</v>
      </c>
      <c r="T1755" s="1" t="s">
        <v>29</v>
      </c>
    </row>
    <row r="1756" customFormat="false" ht="18.7" hidden="false" customHeight="true" outlineLevel="0" collapsed="false">
      <c r="A1756" s="1" t="n">
        <v>1755</v>
      </c>
      <c r="B1756" s="6" t="str">
        <f aca="false">HYPERLINK("https://mncourtfraud.com/file/MCRO_27-CR-21-20072_Notice of Appearance_2022-06-17_20240430083057.pdf","MCRO_27-CR-21-20072_Notice of Appearance_2022-06-17_20240430083057.pdf")</f>
        <v>MCRO_27-CR-21-20072_Notice of Appearance_2022-06-17_20240430083057.pdf</v>
      </c>
      <c r="C1756" s="1" t="n">
        <v>4</v>
      </c>
      <c r="D1756" s="1" t="n">
        <v>1</v>
      </c>
      <c r="E1756" s="1" t="n">
        <v>1</v>
      </c>
      <c r="F1756" s="3" t="s">
        <v>20</v>
      </c>
      <c r="G1756" s="3" t="s">
        <v>7209</v>
      </c>
      <c r="H1756" s="1" t="s">
        <v>22</v>
      </c>
      <c r="I1756" s="1" t="n">
        <v>20240430083057</v>
      </c>
      <c r="J1756" s="3" t="s">
        <v>7210</v>
      </c>
      <c r="K1756" s="3" t="s">
        <v>7211</v>
      </c>
      <c r="L1756" s="3" t="s">
        <v>7212</v>
      </c>
      <c r="M1756" s="3" t="n">
        <v>1272615</v>
      </c>
      <c r="N1756" s="3" t="s">
        <v>5096</v>
      </c>
      <c r="O1756" s="1" t="n">
        <v>1256229</v>
      </c>
      <c r="P1756" s="1" t="n">
        <v>98.71</v>
      </c>
      <c r="Q1756" s="1" t="s">
        <v>20</v>
      </c>
      <c r="R1756" s="1" t="s">
        <v>27</v>
      </c>
      <c r="S1756" s="1" t="s">
        <v>28</v>
      </c>
      <c r="T1756" s="1" t="s">
        <v>29</v>
      </c>
    </row>
    <row r="1757" customFormat="false" ht="18.7" hidden="false" customHeight="true" outlineLevel="0" collapsed="false">
      <c r="A1757" s="1" t="n">
        <v>1756</v>
      </c>
      <c r="B1757" s="6" t="str">
        <f aca="false">HYPERLINK("https://mncourtfraud.com/file/MCRO_27-CR-21-20072_Notice of Case Reassignment_2023-06-16_20240430083048.pdf","MCRO_27-CR-21-20072_Notice of Case Reassignment_2023-06-16_20240430083048.pdf")</f>
        <v>MCRO_27-CR-21-20072_Notice of Case Reassignment_2023-06-16_20240430083048.pdf</v>
      </c>
      <c r="C1757" s="1" t="n">
        <v>3</v>
      </c>
      <c r="D1757" s="1" t="n">
        <v>1</v>
      </c>
      <c r="E1757" s="1" t="n">
        <v>1</v>
      </c>
      <c r="F1757" s="3" t="s">
        <v>20</v>
      </c>
      <c r="G1757" s="3" t="s">
        <v>7213</v>
      </c>
      <c r="H1757" s="1" t="s">
        <v>22</v>
      </c>
      <c r="I1757" s="1" t="n">
        <v>20240430083048</v>
      </c>
      <c r="J1757" s="3" t="s">
        <v>7214</v>
      </c>
      <c r="K1757" s="3" t="s">
        <v>7215</v>
      </c>
      <c r="L1757" s="3" t="s">
        <v>7216</v>
      </c>
      <c r="M1757" s="3" t="n">
        <v>113625</v>
      </c>
      <c r="N1757" s="3" t="s">
        <v>128</v>
      </c>
      <c r="O1757" s="1" t="n">
        <v>97239</v>
      </c>
      <c r="P1757" s="1" t="n">
        <v>85.58</v>
      </c>
      <c r="Q1757" s="1" t="s">
        <v>20</v>
      </c>
      <c r="R1757" s="1" t="s">
        <v>27</v>
      </c>
      <c r="S1757" s="1" t="s">
        <v>28</v>
      </c>
      <c r="T1757" s="1" t="s">
        <v>29</v>
      </c>
    </row>
    <row r="1758" customFormat="false" ht="18.7" hidden="false" customHeight="true" outlineLevel="0" collapsed="false">
      <c r="A1758" s="1" t="n">
        <v>1757</v>
      </c>
      <c r="B1758" s="6" t="str">
        <f aca="false">HYPERLINK("https://mncourtfraud.com/file/MCRO_27-CR-21-20072_Notice of Hearing_2024-01-26_20240430083042.pdf","MCRO_27-CR-21-20072_Notice of Hearing_2024-01-26_20240430083042.pdf")</f>
        <v>MCRO_27-CR-21-20072_Notice of Hearing_2024-01-26_20240430083042.pdf</v>
      </c>
      <c r="C1758" s="1" t="n">
        <v>4</v>
      </c>
      <c r="D1758" s="1" t="n">
        <v>1</v>
      </c>
      <c r="E1758" s="1" t="n">
        <v>1</v>
      </c>
      <c r="F1758" s="3" t="s">
        <v>20</v>
      </c>
      <c r="G1758" s="3" t="s">
        <v>7217</v>
      </c>
      <c r="H1758" s="1" t="s">
        <v>22</v>
      </c>
      <c r="I1758" s="1" t="n">
        <v>20240430083042</v>
      </c>
      <c r="J1758" s="3" t="s">
        <v>7218</v>
      </c>
      <c r="K1758" s="3" t="s">
        <v>7219</v>
      </c>
      <c r="L1758" s="3" t="s">
        <v>7220</v>
      </c>
      <c r="M1758" s="3" t="n">
        <v>714354</v>
      </c>
      <c r="N1758" s="3" t="s">
        <v>727</v>
      </c>
      <c r="O1758" s="1" t="n">
        <v>697968</v>
      </c>
      <c r="P1758" s="1" t="n">
        <v>97.71</v>
      </c>
      <c r="Q1758" s="1" t="s">
        <v>20</v>
      </c>
      <c r="R1758" s="1" t="s">
        <v>27</v>
      </c>
      <c r="S1758" s="1" t="s">
        <v>28</v>
      </c>
      <c r="T1758" s="1" t="s">
        <v>29</v>
      </c>
    </row>
    <row r="1759" customFormat="false" ht="18.7" hidden="false" customHeight="true" outlineLevel="0" collapsed="false">
      <c r="A1759" s="1" t="n">
        <v>1758</v>
      </c>
      <c r="B1759" s="6" t="str">
        <f aca="false">HYPERLINK("https://mncourtfraud.com/file/MCRO_27-CR-21-20072_Notice of Hearing_2024-03-19_20240430083041.pdf","MCRO_27-CR-21-20072_Notice of Hearing_2024-03-19_20240430083041.pdf")</f>
        <v>MCRO_27-CR-21-20072_Notice of Hearing_2024-03-19_20240430083041.pdf</v>
      </c>
      <c r="C1759" s="1" t="n">
        <v>5</v>
      </c>
      <c r="D1759" s="1" t="n">
        <v>1</v>
      </c>
      <c r="E1759" s="1" t="n">
        <v>1</v>
      </c>
      <c r="F1759" s="3" t="s">
        <v>20</v>
      </c>
      <c r="G1759" s="3" t="s">
        <v>7221</v>
      </c>
      <c r="H1759" s="1" t="s">
        <v>22</v>
      </c>
      <c r="I1759" s="1" t="n">
        <v>20240430083041</v>
      </c>
      <c r="J1759" s="3" t="s">
        <v>7222</v>
      </c>
      <c r="K1759" s="3" t="s">
        <v>7223</v>
      </c>
      <c r="L1759" s="3" t="s">
        <v>7224</v>
      </c>
      <c r="M1759" s="3" t="n">
        <v>729077</v>
      </c>
      <c r="N1759" s="3" t="s">
        <v>1278</v>
      </c>
      <c r="O1759" s="1" t="n">
        <v>712691</v>
      </c>
      <c r="P1759" s="1" t="n">
        <v>97.75</v>
      </c>
      <c r="Q1759" s="1" t="s">
        <v>20</v>
      </c>
      <c r="R1759" s="1" t="s">
        <v>27</v>
      </c>
      <c r="S1759" s="1" t="s">
        <v>28</v>
      </c>
      <c r="T1759" s="1" t="s">
        <v>29</v>
      </c>
    </row>
    <row r="1760" customFormat="false" ht="18.7" hidden="false" customHeight="true" outlineLevel="0" collapsed="false">
      <c r="A1760" s="1" t="n">
        <v>1759</v>
      </c>
      <c r="B1760" s="6" t="str">
        <f aca="false">HYPERLINK("https://mncourtfraud.com/file/MCRO_27-CR-21-20072_Notice of Intent to Impeach_2022-03-18_20240430083100.pdf","MCRO_27-CR-21-20072_Notice of Intent to Impeach_2022-03-18_20240430083100.pdf")</f>
        <v>MCRO_27-CR-21-20072_Notice of Intent to Impeach_2022-03-18_20240430083100.pdf</v>
      </c>
      <c r="C1760" s="1" t="n">
        <v>3</v>
      </c>
      <c r="D1760" s="1" t="n">
        <v>1</v>
      </c>
      <c r="E1760" s="1" t="n">
        <v>1</v>
      </c>
      <c r="F1760" s="3" t="s">
        <v>20</v>
      </c>
      <c r="G1760" s="3" t="s">
        <v>7225</v>
      </c>
      <c r="H1760" s="1" t="s">
        <v>22</v>
      </c>
      <c r="I1760" s="1" t="n">
        <v>20240430083100</v>
      </c>
      <c r="J1760" s="3" t="s">
        <v>7226</v>
      </c>
      <c r="K1760" s="3" t="s">
        <v>7227</v>
      </c>
      <c r="L1760" s="3" t="s">
        <v>7228</v>
      </c>
      <c r="M1760" s="3" t="n">
        <v>175003</v>
      </c>
      <c r="N1760" s="3" t="s">
        <v>922</v>
      </c>
      <c r="O1760" s="1" t="n">
        <v>158617</v>
      </c>
      <c r="P1760" s="1" t="n">
        <v>90.64</v>
      </c>
      <c r="Q1760" s="1" t="s">
        <v>20</v>
      </c>
      <c r="R1760" s="1" t="s">
        <v>27</v>
      </c>
      <c r="S1760" s="1" t="s">
        <v>28</v>
      </c>
      <c r="T1760" s="1" t="s">
        <v>29</v>
      </c>
    </row>
    <row r="1761" customFormat="false" ht="18.7" hidden="false" customHeight="true" outlineLevel="0" collapsed="false">
      <c r="A1761" s="1" t="n">
        <v>1760</v>
      </c>
      <c r="B1761" s="6" t="str">
        <f aca="false">HYPERLINK("https://mncourtfraud.com/file/MCRO_27-CR-21-20072_Notice of Remote Hearing with Instructions_2021-10-29_20240430083117.pdf","MCRO_27-CR-21-20072_Notice of Remote Hearing with Instructions_2021-10-29_20240430083117.pdf")</f>
        <v>MCRO_27-CR-21-20072_Notice of Remote Hearing with Instructions_2021-10-29_20240430083117.pdf</v>
      </c>
      <c r="C1761" s="1" t="n">
        <v>4</v>
      </c>
      <c r="D1761" s="1" t="n">
        <v>1</v>
      </c>
      <c r="E1761" s="1" t="n">
        <v>1</v>
      </c>
      <c r="F1761" s="3" t="s">
        <v>20</v>
      </c>
      <c r="G1761" s="3" t="s">
        <v>7229</v>
      </c>
      <c r="H1761" s="1" t="s">
        <v>22</v>
      </c>
      <c r="I1761" s="1" t="n">
        <v>20240430083117</v>
      </c>
      <c r="J1761" s="3" t="s">
        <v>7230</v>
      </c>
      <c r="K1761" s="3" t="s">
        <v>7231</v>
      </c>
      <c r="L1761" s="3" t="s">
        <v>7232</v>
      </c>
      <c r="M1761" s="3" t="n">
        <v>160345</v>
      </c>
      <c r="N1761" s="3" t="s">
        <v>1065</v>
      </c>
      <c r="O1761" s="1" t="n">
        <v>143959</v>
      </c>
      <c r="P1761" s="1" t="n">
        <v>89.78</v>
      </c>
      <c r="Q1761" s="1" t="s">
        <v>20</v>
      </c>
      <c r="R1761" s="1" t="s">
        <v>27</v>
      </c>
      <c r="S1761" s="1" t="s">
        <v>28</v>
      </c>
      <c r="T1761" s="1" t="s">
        <v>29</v>
      </c>
    </row>
    <row r="1762" customFormat="false" ht="18.7" hidden="false" customHeight="true" outlineLevel="0" collapsed="false">
      <c r="A1762" s="1" t="n">
        <v>1761</v>
      </c>
      <c r="B1762" s="6" t="str">
        <f aca="false">HYPERLINK("https://mncourtfraud.com/file/MCRO_27-CR-21-20072_Notice of Remote Hearing with Instructions_2023-11-28_20240430083046.pdf","MCRO_27-CR-21-20072_Notice of Remote Hearing with Instructions_2023-11-28_20240430083046.pdf")</f>
        <v>MCRO_27-CR-21-20072_Notice of Remote Hearing with Instructions_2023-11-28_20240430083046.pdf</v>
      </c>
      <c r="C1762" s="1" t="n">
        <v>4</v>
      </c>
      <c r="D1762" s="1" t="n">
        <v>1</v>
      </c>
      <c r="E1762" s="1" t="n">
        <v>1</v>
      </c>
      <c r="F1762" s="3" t="s">
        <v>20</v>
      </c>
      <c r="G1762" s="3" t="s">
        <v>7233</v>
      </c>
      <c r="H1762" s="1" t="s">
        <v>22</v>
      </c>
      <c r="I1762" s="1" t="n">
        <v>20240430083046</v>
      </c>
      <c r="J1762" s="3" t="s">
        <v>7234</v>
      </c>
      <c r="K1762" s="3" t="s">
        <v>7235</v>
      </c>
      <c r="L1762" s="3" t="s">
        <v>7236</v>
      </c>
      <c r="M1762" s="3" t="n">
        <v>269241</v>
      </c>
      <c r="N1762" s="3" t="s">
        <v>74</v>
      </c>
      <c r="O1762" s="1" t="n">
        <v>252855</v>
      </c>
      <c r="P1762" s="1" t="n">
        <v>93.91</v>
      </c>
      <c r="Q1762" s="1" t="s">
        <v>20</v>
      </c>
      <c r="R1762" s="1" t="s">
        <v>27</v>
      </c>
      <c r="S1762" s="1" t="s">
        <v>28</v>
      </c>
      <c r="T1762" s="1" t="s">
        <v>29</v>
      </c>
    </row>
    <row r="1763" customFormat="false" ht="18.7" hidden="false" customHeight="true" outlineLevel="0" collapsed="false">
      <c r="A1763" s="1" t="n">
        <v>1762</v>
      </c>
      <c r="B1763" s="6" t="str">
        <f aca="false">HYPERLINK("https://mncourtfraud.com/file/MCRO_27-CR-21-20072_Notice of Remote Hearing with Instructions_2023-12-05_20240430083045.pdf","MCRO_27-CR-21-20072_Notice of Remote Hearing with Instructions_2023-12-05_20240430083045.pdf")</f>
        <v>MCRO_27-CR-21-20072_Notice of Remote Hearing with Instructions_2023-12-05_20240430083045.pdf</v>
      </c>
      <c r="C1763" s="1" t="n">
        <v>5</v>
      </c>
      <c r="D1763" s="1" t="n">
        <v>1</v>
      </c>
      <c r="E1763" s="1" t="n">
        <v>1</v>
      </c>
      <c r="F1763" s="3" t="s">
        <v>20</v>
      </c>
      <c r="G1763" s="3" t="s">
        <v>7237</v>
      </c>
      <c r="H1763" s="1" t="s">
        <v>22</v>
      </c>
      <c r="I1763" s="1" t="n">
        <v>20240430083045</v>
      </c>
      <c r="J1763" s="3" t="s">
        <v>7238</v>
      </c>
      <c r="K1763" s="3" t="s">
        <v>7239</v>
      </c>
      <c r="L1763" s="3" t="s">
        <v>7240</v>
      </c>
      <c r="M1763" s="3" t="n">
        <v>843402</v>
      </c>
      <c r="N1763" s="3" t="s">
        <v>3164</v>
      </c>
      <c r="O1763" s="1" t="n">
        <v>827016</v>
      </c>
      <c r="P1763" s="1" t="n">
        <v>98.06</v>
      </c>
      <c r="Q1763" s="1" t="s">
        <v>20</v>
      </c>
      <c r="R1763" s="1" t="s">
        <v>27</v>
      </c>
      <c r="S1763" s="1" t="s">
        <v>28</v>
      </c>
      <c r="T1763" s="1" t="s">
        <v>29</v>
      </c>
    </row>
    <row r="1764" customFormat="false" ht="18.7" hidden="false" customHeight="true" outlineLevel="0" collapsed="false">
      <c r="A1764" s="1" t="n">
        <v>1763</v>
      </c>
      <c r="B1764" s="6" t="str">
        <f aca="false">HYPERLINK("https://mncourtfraud.com/file/MCRO_27-CR-21-20072_Order-Evaluation for Competency to Proceed (Rule 20.01)_2021-12-20_20240430083107.pdf","MCRO_27-CR-21-20072_Order-Evaluation for Competency to Proceed (Rule 20.01)_2021-12-20_20240430083107.pdf")</f>
        <v>MCRO_27-CR-21-20072_Order-Evaluation for Competency to Proceed (Rule 20.01)_2021-12-20_20240430083107.pdf</v>
      </c>
      <c r="C1764" s="1" t="n">
        <v>4</v>
      </c>
      <c r="D1764" s="1" t="n">
        <v>1</v>
      </c>
      <c r="E1764" s="1" t="n">
        <v>1</v>
      </c>
      <c r="F1764" s="3" t="s">
        <v>20</v>
      </c>
      <c r="G1764" s="3" t="s">
        <v>7241</v>
      </c>
      <c r="H1764" s="1" t="s">
        <v>22</v>
      </c>
      <c r="I1764" s="1" t="n">
        <v>20240430083107</v>
      </c>
      <c r="J1764" s="3" t="s">
        <v>7242</v>
      </c>
      <c r="K1764" s="3" t="s">
        <v>7243</v>
      </c>
      <c r="L1764" s="3" t="s">
        <v>7244</v>
      </c>
      <c r="M1764" s="3" t="n">
        <v>1502624</v>
      </c>
      <c r="N1764" s="3" t="s">
        <v>6293</v>
      </c>
      <c r="O1764" s="1" t="n">
        <v>1486238</v>
      </c>
      <c r="P1764" s="1" t="n">
        <v>98.91</v>
      </c>
      <c r="Q1764" s="1" t="s">
        <v>20</v>
      </c>
      <c r="R1764" s="1" t="s">
        <v>27</v>
      </c>
      <c r="S1764" s="1" t="s">
        <v>28</v>
      </c>
      <c r="T1764" s="1" t="s">
        <v>29</v>
      </c>
    </row>
    <row r="1765" customFormat="false" ht="18.7" hidden="false" customHeight="true" outlineLevel="0" collapsed="false">
      <c r="A1765" s="1" t="n">
        <v>1764</v>
      </c>
      <c r="B1765" s="6" t="str">
        <f aca="false">HYPERLINK("https://mncourtfraud.com/file/MCRO_27-CR-21-20072_Order-Evaluation for Competency to Proceed (Rule 20.01)_2022-08-09_20240430083056.pdf","MCRO_27-CR-21-20072_Order-Evaluation for Competency to Proceed (Rule 20.01)_2022-08-09_20240430083056.pdf")</f>
        <v>MCRO_27-CR-21-20072_Order-Evaluation for Competency to Proceed (Rule 20.01)_2022-08-09_20240430083056.pdf</v>
      </c>
      <c r="C1765" s="1" t="n">
        <v>4</v>
      </c>
      <c r="D1765" s="1" t="n">
        <v>1</v>
      </c>
      <c r="E1765" s="1" t="n">
        <v>1</v>
      </c>
      <c r="F1765" s="3" t="s">
        <v>20</v>
      </c>
      <c r="G1765" s="3" t="s">
        <v>7245</v>
      </c>
      <c r="H1765" s="1" t="s">
        <v>22</v>
      </c>
      <c r="I1765" s="1" t="n">
        <v>20240430083056</v>
      </c>
      <c r="J1765" s="3" t="s">
        <v>7246</v>
      </c>
      <c r="K1765" s="3" t="s">
        <v>7247</v>
      </c>
      <c r="L1765" s="3" t="s">
        <v>7248</v>
      </c>
      <c r="M1765" s="3" t="n">
        <v>924334</v>
      </c>
      <c r="N1765" s="3" t="s">
        <v>602</v>
      </c>
      <c r="O1765" s="1" t="n">
        <v>907948</v>
      </c>
      <c r="P1765" s="1" t="n">
        <v>98.23</v>
      </c>
      <c r="Q1765" s="1" t="s">
        <v>20</v>
      </c>
      <c r="R1765" s="1" t="s">
        <v>27</v>
      </c>
      <c r="S1765" s="1" t="s">
        <v>28</v>
      </c>
      <c r="T1765" s="1" t="s">
        <v>29</v>
      </c>
    </row>
    <row r="1766" customFormat="false" ht="18.7" hidden="false" customHeight="true" outlineLevel="0" collapsed="false">
      <c r="A1766" s="1" t="n">
        <v>1765</v>
      </c>
      <c r="B1766" s="6" t="str">
        <f aca="false">HYPERLINK("https://mncourtfraud.com/file/MCRO_27-CR-21-20072_Order-Evaluation for Competency to Proceed (Rule 20.01)_2023-01-05_20240430083053.pdf","MCRO_27-CR-21-20072_Order-Evaluation for Competency to Proceed (Rule 20.01)_2023-01-05_20240430083053.pdf")</f>
        <v>MCRO_27-CR-21-20072_Order-Evaluation for Competency to Proceed (Rule 20.01)_2023-01-05_20240430083053.pdf</v>
      </c>
      <c r="C1766" s="1" t="n">
        <v>6</v>
      </c>
      <c r="D1766" s="1" t="n">
        <v>2</v>
      </c>
      <c r="E1766" s="1" t="n">
        <v>2</v>
      </c>
      <c r="F1766" s="3" t="s">
        <v>27</v>
      </c>
      <c r="G1766" s="3" t="s">
        <v>7249</v>
      </c>
      <c r="H1766" s="1" t="s">
        <v>22</v>
      </c>
      <c r="I1766" s="1" t="n">
        <v>20240430083053</v>
      </c>
      <c r="J1766" s="3" t="s">
        <v>7250</v>
      </c>
      <c r="K1766" s="3" t="s">
        <v>7251</v>
      </c>
      <c r="L1766" s="3" t="s">
        <v>7252</v>
      </c>
      <c r="M1766" s="3" t="n">
        <v>889992</v>
      </c>
      <c r="N1766" s="3" t="s">
        <v>810</v>
      </c>
      <c r="O1766" s="1" t="n">
        <v>873606</v>
      </c>
      <c r="P1766" s="1" t="n">
        <v>98.16</v>
      </c>
      <c r="Q1766" s="1" t="s">
        <v>20</v>
      </c>
      <c r="R1766" s="1" t="s">
        <v>27</v>
      </c>
      <c r="S1766" s="1" t="s">
        <v>28</v>
      </c>
      <c r="T1766" s="1" t="s">
        <v>29</v>
      </c>
    </row>
    <row r="1767" customFormat="false" ht="18.7" hidden="false" customHeight="true" outlineLevel="0" collapsed="false">
      <c r="A1767" s="1" t="n">
        <v>1766</v>
      </c>
      <c r="B1767" s="6" t="str">
        <f aca="false">HYPERLINK("https://mncourtfraud.com/file/MCRO_27-CR-21-20072_Order-Evaluation for Competency to Proceed (Rule 20.01)_2023-04-03_20240430083051.pdf","MCRO_27-CR-21-20072_Order-Evaluation for Competency to Proceed (Rule 20.01)_2023-04-03_20240430083051.pdf")</f>
        <v>MCRO_27-CR-21-20072_Order-Evaluation for Competency to Proceed (Rule 20.01)_2023-04-03_20240430083051.pdf</v>
      </c>
      <c r="C1767" s="1" t="n">
        <v>4</v>
      </c>
      <c r="D1767" s="1" t="n">
        <v>1</v>
      </c>
      <c r="E1767" s="1" t="n">
        <v>1</v>
      </c>
      <c r="F1767" s="3" t="s">
        <v>20</v>
      </c>
      <c r="G1767" s="3" t="s">
        <v>7253</v>
      </c>
      <c r="H1767" s="1" t="s">
        <v>22</v>
      </c>
      <c r="I1767" s="1" t="n">
        <v>20240430083051</v>
      </c>
      <c r="J1767" s="3" t="s">
        <v>7254</v>
      </c>
      <c r="K1767" s="3" t="s">
        <v>7255</v>
      </c>
      <c r="L1767" s="3" t="s">
        <v>7256</v>
      </c>
      <c r="M1767" s="3" t="n">
        <v>1093764</v>
      </c>
      <c r="N1767" s="3" t="s">
        <v>1128</v>
      </c>
      <c r="O1767" s="1" t="n">
        <v>1077378</v>
      </c>
      <c r="P1767" s="1" t="n">
        <v>98.5</v>
      </c>
      <c r="Q1767" s="1" t="s">
        <v>20</v>
      </c>
      <c r="R1767" s="1" t="s">
        <v>27</v>
      </c>
      <c r="S1767" s="1" t="s">
        <v>28</v>
      </c>
      <c r="T1767" s="1" t="s">
        <v>29</v>
      </c>
    </row>
    <row r="1768" customFormat="false" ht="18.7" hidden="false" customHeight="true" outlineLevel="0" collapsed="false">
      <c r="A1768" s="1" t="n">
        <v>1767</v>
      </c>
      <c r="B1768" s="6" t="str">
        <f aca="false">HYPERLINK("https://mncourtfraud.com/file/MCRO_27-CR-21-20072_Order-Evaluation for Competency to Proceed (Rule 20.01)_2023-09-18_20240430083048.pdf","MCRO_27-CR-21-20072_Order-Evaluation for Competency to Proceed (Rule 20.01)_2023-09-18_20240430083048.pdf")</f>
        <v>MCRO_27-CR-21-20072_Order-Evaluation for Competency to Proceed (Rule 20.01)_2023-09-18_20240430083048.pdf</v>
      </c>
      <c r="C1768" s="1" t="n">
        <v>6</v>
      </c>
      <c r="D1768" s="1" t="n">
        <v>2</v>
      </c>
      <c r="E1768" s="1" t="n">
        <v>2</v>
      </c>
      <c r="F1768" s="3" t="s">
        <v>27</v>
      </c>
      <c r="G1768" s="3" t="s">
        <v>7257</v>
      </c>
      <c r="H1768" s="1" t="s">
        <v>22</v>
      </c>
      <c r="I1768" s="1" t="n">
        <v>20240430083048</v>
      </c>
      <c r="J1768" s="3" t="s">
        <v>7258</v>
      </c>
      <c r="K1768" s="3" t="s">
        <v>7259</v>
      </c>
      <c r="L1768" s="3" t="s">
        <v>7260</v>
      </c>
      <c r="M1768" s="3" t="n">
        <v>868841</v>
      </c>
      <c r="N1768" s="3" t="s">
        <v>554</v>
      </c>
      <c r="O1768" s="1" t="n">
        <v>852455</v>
      </c>
      <c r="P1768" s="1" t="n">
        <v>98.11</v>
      </c>
      <c r="Q1768" s="1" t="s">
        <v>20</v>
      </c>
      <c r="R1768" s="1" t="s">
        <v>27</v>
      </c>
      <c r="S1768" s="1" t="s">
        <v>28</v>
      </c>
      <c r="T1768" s="1" t="s">
        <v>29</v>
      </c>
    </row>
    <row r="1769" customFormat="false" ht="18.7" hidden="false" customHeight="true" outlineLevel="0" collapsed="false">
      <c r="A1769" s="1" t="n">
        <v>1768</v>
      </c>
      <c r="B1769" s="6" t="str">
        <f aca="false">HYPERLINK("https://mncourtfraud.com/file/MCRO_27-CR-21-20072_Order-Evaluation for Competency to Proceed (Rule 20.01)_2024-01-26_20240430083043.pdf","MCRO_27-CR-21-20072_Order-Evaluation for Competency to Proceed (Rule 20.01)_2024-01-26_20240430083043.pdf")</f>
        <v>MCRO_27-CR-21-20072_Order-Evaluation for Competency to Proceed (Rule 20.01)_2024-01-26_20240430083043.pdf</v>
      </c>
      <c r="C1769" s="1" t="n">
        <v>6</v>
      </c>
      <c r="D1769" s="1" t="n">
        <v>2</v>
      </c>
      <c r="E1769" s="1" t="n">
        <v>2</v>
      </c>
      <c r="F1769" s="3" t="s">
        <v>20</v>
      </c>
      <c r="G1769" s="3" t="s">
        <v>7261</v>
      </c>
      <c r="H1769" s="1" t="s">
        <v>22</v>
      </c>
      <c r="I1769" s="1" t="n">
        <v>20240430083043</v>
      </c>
      <c r="J1769" s="3" t="s">
        <v>7262</v>
      </c>
      <c r="K1769" s="3" t="s">
        <v>7263</v>
      </c>
      <c r="L1769" s="3" t="s">
        <v>7264</v>
      </c>
      <c r="M1769" s="3" t="n">
        <v>868593</v>
      </c>
      <c r="N1769" s="3" t="s">
        <v>6214</v>
      </c>
      <c r="O1769" s="1" t="n">
        <v>852207</v>
      </c>
      <c r="P1769" s="1" t="n">
        <v>98.11</v>
      </c>
      <c r="Q1769" s="1" t="s">
        <v>20</v>
      </c>
      <c r="R1769" s="1" t="s">
        <v>27</v>
      </c>
      <c r="S1769" s="1" t="s">
        <v>28</v>
      </c>
      <c r="T1769" s="1" t="s">
        <v>29</v>
      </c>
    </row>
    <row r="1770" customFormat="false" ht="18.7" hidden="false" customHeight="true" outlineLevel="0" collapsed="false">
      <c r="A1770" s="1" t="n">
        <v>1769</v>
      </c>
      <c r="B1770" s="6" t="str">
        <f aca="false">HYPERLINK("https://mncourtfraud.com/file/MCRO_27-CR-21-20072_Order for Conditional Release_2021-10-29_20240430083116.pdf","MCRO_27-CR-21-20072_Order for Conditional Release_2021-10-29_20240430083116.pdf")</f>
        <v>MCRO_27-CR-21-20072_Order for Conditional Release_2021-10-29_20240430083116.pdf</v>
      </c>
      <c r="C1770" s="1" t="n">
        <v>4</v>
      </c>
      <c r="D1770" s="1" t="n">
        <v>1</v>
      </c>
      <c r="E1770" s="1" t="n">
        <v>1</v>
      </c>
      <c r="F1770" s="3" t="s">
        <v>20</v>
      </c>
      <c r="G1770" s="3" t="s">
        <v>7265</v>
      </c>
      <c r="H1770" s="1" t="s">
        <v>22</v>
      </c>
      <c r="I1770" s="1" t="n">
        <v>20240430083116</v>
      </c>
      <c r="J1770" s="3" t="s">
        <v>7266</v>
      </c>
      <c r="K1770" s="3" t="s">
        <v>7267</v>
      </c>
      <c r="L1770" s="3" t="s">
        <v>7268</v>
      </c>
      <c r="M1770" s="3" t="n">
        <v>130094</v>
      </c>
      <c r="N1770" s="3" t="s">
        <v>456</v>
      </c>
      <c r="O1770" s="1" t="n">
        <v>113708</v>
      </c>
      <c r="P1770" s="1" t="n">
        <v>87.4</v>
      </c>
      <c r="Q1770" s="1" t="s">
        <v>20</v>
      </c>
      <c r="R1770" s="1" t="s">
        <v>27</v>
      </c>
      <c r="S1770" s="1" t="s">
        <v>28</v>
      </c>
      <c r="T1770" s="1" t="s">
        <v>29</v>
      </c>
    </row>
    <row r="1771" customFormat="false" ht="18.7" hidden="false" customHeight="true" outlineLevel="0" collapsed="false">
      <c r="A1771" s="1" t="n">
        <v>1770</v>
      </c>
      <c r="B1771" s="6" t="str">
        <f aca="false">HYPERLINK("https://mncourtfraud.com/file/MCRO_27-CR-21-20072_Order for Conditional Release_2021-11-18_20240430083111.pdf","MCRO_27-CR-21-20072_Order for Conditional Release_2021-11-18_20240430083111.pdf")</f>
        <v>MCRO_27-CR-21-20072_Order for Conditional Release_2021-11-18_20240430083111.pdf</v>
      </c>
      <c r="C1771" s="1" t="n">
        <v>4</v>
      </c>
      <c r="D1771" s="1" t="n">
        <v>1</v>
      </c>
      <c r="E1771" s="1" t="n">
        <v>1</v>
      </c>
      <c r="F1771" s="3" t="s">
        <v>20</v>
      </c>
      <c r="G1771" s="3" t="s">
        <v>7269</v>
      </c>
      <c r="H1771" s="1" t="s">
        <v>22</v>
      </c>
      <c r="I1771" s="1" t="n">
        <v>20240430083111</v>
      </c>
      <c r="J1771" s="3" t="s">
        <v>7270</v>
      </c>
      <c r="K1771" s="3" t="s">
        <v>7271</v>
      </c>
      <c r="L1771" s="3" t="s">
        <v>7272</v>
      </c>
      <c r="M1771" s="3" t="n">
        <v>828535</v>
      </c>
      <c r="N1771" s="3" t="s">
        <v>456</v>
      </c>
      <c r="O1771" s="1" t="n">
        <v>812149</v>
      </c>
      <c r="P1771" s="1" t="n">
        <v>98.02</v>
      </c>
      <c r="Q1771" s="1" t="s">
        <v>20</v>
      </c>
      <c r="R1771" s="1" t="s">
        <v>27</v>
      </c>
      <c r="S1771" s="1" t="s">
        <v>28</v>
      </c>
      <c r="T1771" s="1" t="s">
        <v>29</v>
      </c>
    </row>
    <row r="1772" customFormat="false" ht="18.7" hidden="false" customHeight="true" outlineLevel="0" collapsed="false">
      <c r="A1772" s="1" t="n">
        <v>1771</v>
      </c>
      <c r="B1772" s="6" t="str">
        <f aca="false">HYPERLINK("https://mncourtfraud.com/file/MCRO_27-CR-21-20072_Order for Conditional Release_2021-12-01_20240430083110.pdf","MCRO_27-CR-21-20072_Order for Conditional Release_2021-12-01_20240430083110.pdf")</f>
        <v>MCRO_27-CR-21-20072_Order for Conditional Release_2021-12-01_20240430083110.pdf</v>
      </c>
      <c r="C1772" s="1" t="n">
        <v>3</v>
      </c>
      <c r="D1772" s="1" t="n">
        <v>1</v>
      </c>
      <c r="E1772" s="1" t="n">
        <v>1</v>
      </c>
      <c r="F1772" s="3" t="s">
        <v>20</v>
      </c>
      <c r="G1772" s="3" t="s">
        <v>7273</v>
      </c>
      <c r="H1772" s="1" t="s">
        <v>22</v>
      </c>
      <c r="I1772" s="1" t="n">
        <v>20240430083110</v>
      </c>
      <c r="J1772" s="3" t="s">
        <v>7274</v>
      </c>
      <c r="K1772" s="3" t="s">
        <v>7275</v>
      </c>
      <c r="L1772" s="3" t="s">
        <v>7276</v>
      </c>
      <c r="M1772" s="3" t="n">
        <v>248372</v>
      </c>
      <c r="N1772" s="3" t="s">
        <v>3404</v>
      </c>
      <c r="O1772" s="1" t="n">
        <v>231986</v>
      </c>
      <c r="P1772" s="1" t="n">
        <v>93.4</v>
      </c>
      <c r="Q1772" s="1" t="s">
        <v>20</v>
      </c>
      <c r="R1772" s="1" t="s">
        <v>27</v>
      </c>
      <c r="S1772" s="1" t="s">
        <v>28</v>
      </c>
      <c r="T1772" s="1" t="s">
        <v>29</v>
      </c>
    </row>
    <row r="1773" customFormat="false" ht="18.7" hidden="false" customHeight="true" outlineLevel="0" collapsed="false">
      <c r="A1773" s="1" t="n">
        <v>1772</v>
      </c>
      <c r="B1773" s="6" t="str">
        <f aca="false">HYPERLINK("https://mncourtfraud.com/file/MCRO_27-CR-21-20072_Order for Conditional Release_2021-12-20_20240430083106.pdf","MCRO_27-CR-21-20072_Order for Conditional Release_2021-12-20_20240430083106.pdf")</f>
        <v>MCRO_27-CR-21-20072_Order for Conditional Release_2021-12-20_20240430083106.pdf</v>
      </c>
      <c r="C1773" s="1" t="n">
        <v>4</v>
      </c>
      <c r="D1773" s="1" t="n">
        <v>1</v>
      </c>
      <c r="E1773" s="1" t="n">
        <v>1</v>
      </c>
      <c r="F1773" s="3" t="s">
        <v>20</v>
      </c>
      <c r="G1773" s="3" t="s">
        <v>7277</v>
      </c>
      <c r="H1773" s="1" t="s">
        <v>22</v>
      </c>
      <c r="I1773" s="1" t="n">
        <v>20240430083106</v>
      </c>
      <c r="J1773" s="3" t="s">
        <v>7278</v>
      </c>
      <c r="K1773" s="3" t="s">
        <v>7279</v>
      </c>
      <c r="L1773" s="3" t="s">
        <v>7280</v>
      </c>
      <c r="M1773" s="3" t="n">
        <v>815260</v>
      </c>
      <c r="N1773" s="3" t="s">
        <v>680</v>
      </c>
      <c r="O1773" s="1" t="n">
        <v>798874</v>
      </c>
      <c r="P1773" s="1" t="n">
        <v>97.99</v>
      </c>
      <c r="Q1773" s="1" t="s">
        <v>20</v>
      </c>
      <c r="R1773" s="1" t="s">
        <v>27</v>
      </c>
      <c r="S1773" s="1" t="s">
        <v>28</v>
      </c>
      <c r="T1773" s="1" t="s">
        <v>29</v>
      </c>
    </row>
    <row r="1774" customFormat="false" ht="18.7" hidden="false" customHeight="true" outlineLevel="0" collapsed="false">
      <c r="A1774" s="1" t="n">
        <v>1773</v>
      </c>
      <c r="B1774" s="6" t="str">
        <f aca="false">HYPERLINK("https://mncourtfraud.com/file/MCRO_27-CR-21-20072_Order for Conditional Release_2022-05-31_20240430083059.pdf","MCRO_27-CR-21-20072_Order for Conditional Release_2022-05-31_20240430083059.pdf")</f>
        <v>MCRO_27-CR-21-20072_Order for Conditional Release_2022-05-31_20240430083059.pdf</v>
      </c>
      <c r="C1774" s="1" t="n">
        <v>4</v>
      </c>
      <c r="D1774" s="1" t="n">
        <v>1</v>
      </c>
      <c r="E1774" s="1" t="n">
        <v>1</v>
      </c>
      <c r="F1774" s="3" t="s">
        <v>20</v>
      </c>
      <c r="G1774" s="3" t="s">
        <v>7281</v>
      </c>
      <c r="H1774" s="1" t="s">
        <v>22</v>
      </c>
      <c r="I1774" s="1" t="n">
        <v>20240430083059</v>
      </c>
      <c r="J1774" s="3" t="s">
        <v>7282</v>
      </c>
      <c r="K1774" s="3" t="s">
        <v>7283</v>
      </c>
      <c r="L1774" s="3" t="s">
        <v>7284</v>
      </c>
      <c r="M1774" s="3" t="n">
        <v>809373</v>
      </c>
      <c r="N1774" s="3" t="s">
        <v>456</v>
      </c>
      <c r="O1774" s="1" t="n">
        <v>792987</v>
      </c>
      <c r="P1774" s="1" t="n">
        <v>97.98</v>
      </c>
      <c r="Q1774" s="1" t="s">
        <v>20</v>
      </c>
      <c r="R1774" s="1" t="s">
        <v>27</v>
      </c>
      <c r="S1774" s="1" t="s">
        <v>28</v>
      </c>
      <c r="T1774" s="1" t="s">
        <v>29</v>
      </c>
    </row>
    <row r="1775" customFormat="false" ht="18.7" hidden="false" customHeight="true" outlineLevel="0" collapsed="false">
      <c r="A1775" s="1" t="n">
        <v>1774</v>
      </c>
      <c r="B1775" s="6" t="str">
        <f aca="false">HYPERLINK("https://mncourtfraud.com/file/MCRO_27-CR-21-20072_Order for Conditional Release_2022-10-04_20240430083054.pdf","MCRO_27-CR-21-20072_Order for Conditional Release_2022-10-04_20240430083054.pdf")</f>
        <v>MCRO_27-CR-21-20072_Order for Conditional Release_2022-10-04_20240430083054.pdf</v>
      </c>
      <c r="C1775" s="1" t="n">
        <v>5</v>
      </c>
      <c r="D1775" s="1" t="n">
        <v>1</v>
      </c>
      <c r="E1775" s="1" t="n">
        <v>1</v>
      </c>
      <c r="F1775" s="3" t="s">
        <v>20</v>
      </c>
      <c r="G1775" s="3" t="s">
        <v>7285</v>
      </c>
      <c r="H1775" s="1" t="s">
        <v>22</v>
      </c>
      <c r="I1775" s="1" t="n">
        <v>20240430083054</v>
      </c>
      <c r="J1775" s="3" t="s">
        <v>7286</v>
      </c>
      <c r="K1775" s="3" t="s">
        <v>7287</v>
      </c>
      <c r="L1775" s="3" t="s">
        <v>7288</v>
      </c>
      <c r="M1775" s="3" t="n">
        <v>793301</v>
      </c>
      <c r="N1775" s="3" t="s">
        <v>7151</v>
      </c>
      <c r="O1775" s="1" t="n">
        <v>776915</v>
      </c>
      <c r="P1775" s="1" t="n">
        <v>97.93</v>
      </c>
      <c r="Q1775" s="1" t="s">
        <v>20</v>
      </c>
      <c r="R1775" s="1" t="s">
        <v>27</v>
      </c>
      <c r="S1775" s="1" t="s">
        <v>28</v>
      </c>
      <c r="T1775" s="1" t="s">
        <v>29</v>
      </c>
    </row>
    <row r="1776" customFormat="false" ht="18.7" hidden="false" customHeight="true" outlineLevel="0" collapsed="false">
      <c r="A1776" s="1" t="n">
        <v>1775</v>
      </c>
      <c r="B1776" s="6" t="str">
        <f aca="false">HYPERLINK("https://mncourtfraud.com/file/MCRO_27-CR-21-20072_Order for Conditional Release_2023-04-03_20240430083052.pdf","MCRO_27-CR-21-20072_Order for Conditional Release_2023-04-03_20240430083052.pdf")</f>
        <v>MCRO_27-CR-21-20072_Order for Conditional Release_2023-04-03_20240430083052.pdf</v>
      </c>
      <c r="C1776" s="1" t="n">
        <v>4</v>
      </c>
      <c r="D1776" s="1" t="n">
        <v>1</v>
      </c>
      <c r="E1776" s="1" t="n">
        <v>1</v>
      </c>
      <c r="F1776" s="3" t="s">
        <v>20</v>
      </c>
      <c r="G1776" s="3" t="s">
        <v>7289</v>
      </c>
      <c r="H1776" s="1" t="s">
        <v>22</v>
      </c>
      <c r="I1776" s="1" t="n">
        <v>20240430083052</v>
      </c>
      <c r="J1776" s="3" t="s">
        <v>7290</v>
      </c>
      <c r="K1776" s="3" t="s">
        <v>7291</v>
      </c>
      <c r="L1776" s="3" t="s">
        <v>7292</v>
      </c>
      <c r="M1776" s="3" t="n">
        <v>825623</v>
      </c>
      <c r="N1776" s="3" t="s">
        <v>158</v>
      </c>
      <c r="O1776" s="1" t="n">
        <v>809237</v>
      </c>
      <c r="P1776" s="1" t="n">
        <v>98.02</v>
      </c>
      <c r="Q1776" s="1" t="s">
        <v>20</v>
      </c>
      <c r="R1776" s="1" t="s">
        <v>27</v>
      </c>
      <c r="S1776" s="1" t="s">
        <v>28</v>
      </c>
      <c r="T1776" s="1" t="s">
        <v>29</v>
      </c>
    </row>
    <row r="1777" customFormat="false" ht="18.7" hidden="false" customHeight="true" outlineLevel="0" collapsed="false">
      <c r="A1777" s="1" t="n">
        <v>1776</v>
      </c>
      <c r="B1777" s="6" t="str">
        <f aca="false">HYPERLINK("https://mncourtfraud.com/file/MCRO_27-CR-21-20072_Order Revoking Interim Conditions of Release_2021-11-12_20240430083113.pdf","MCRO_27-CR-21-20072_Order Revoking Interim Conditions of Release_2021-11-12_20240430083113.pdf")</f>
        <v>MCRO_27-CR-21-20072_Order Revoking Interim Conditions of Release_2021-11-12_20240430083113.pdf</v>
      </c>
      <c r="C1777" s="1" t="n">
        <v>5</v>
      </c>
      <c r="D1777" s="1" t="n">
        <v>4</v>
      </c>
      <c r="E1777" s="1" t="n">
        <v>4</v>
      </c>
      <c r="F1777" s="3" t="s">
        <v>20</v>
      </c>
      <c r="G1777" s="3" t="s">
        <v>7293</v>
      </c>
      <c r="H1777" s="1" t="s">
        <v>22</v>
      </c>
      <c r="I1777" s="1" t="n">
        <v>20240430083113</v>
      </c>
      <c r="J1777" s="3" t="s">
        <v>7294</v>
      </c>
      <c r="K1777" s="3" t="s">
        <v>7295</v>
      </c>
      <c r="L1777" s="3" t="s">
        <v>7296</v>
      </c>
      <c r="M1777" s="3" t="n">
        <v>382850</v>
      </c>
      <c r="N1777" s="3" t="s">
        <v>4183</v>
      </c>
      <c r="O1777" s="1" t="n">
        <v>366464</v>
      </c>
      <c r="P1777" s="1" t="n">
        <v>95.72</v>
      </c>
      <c r="Q1777" s="1" t="s">
        <v>20</v>
      </c>
      <c r="R1777" s="1" t="s">
        <v>27</v>
      </c>
      <c r="S1777" s="1" t="s">
        <v>28</v>
      </c>
      <c r="T1777" s="1" t="s">
        <v>29</v>
      </c>
    </row>
    <row r="1778" customFormat="false" ht="18.7" hidden="false" customHeight="true" outlineLevel="0" collapsed="false">
      <c r="A1778" s="1" t="n">
        <v>1777</v>
      </c>
      <c r="B1778" s="6" t="str">
        <f aca="false">HYPERLINK("https://mncourtfraud.com/file/MCRO_27-CR-21-20072_Order Revoking Interim Conditions of Release_2021-12-14_20240430083108.pdf","MCRO_27-CR-21-20072_Order Revoking Interim Conditions of Release_2021-12-14_20240430083108.pdf")</f>
        <v>MCRO_27-CR-21-20072_Order Revoking Interim Conditions of Release_2021-12-14_20240430083108.pdf</v>
      </c>
      <c r="C1778" s="1" t="n">
        <v>5</v>
      </c>
      <c r="D1778" s="1" t="n">
        <v>3</v>
      </c>
      <c r="E1778" s="1" t="n">
        <v>3</v>
      </c>
      <c r="F1778" s="3" t="s">
        <v>20</v>
      </c>
      <c r="G1778" s="3" t="s">
        <v>7297</v>
      </c>
      <c r="H1778" s="1" t="s">
        <v>22</v>
      </c>
      <c r="I1778" s="1" t="n">
        <v>20240430083108</v>
      </c>
      <c r="J1778" s="3" t="s">
        <v>7298</v>
      </c>
      <c r="K1778" s="3" t="s">
        <v>7299</v>
      </c>
      <c r="L1778" s="3" t="s">
        <v>7300</v>
      </c>
      <c r="M1778" s="3" t="n">
        <v>365816</v>
      </c>
      <c r="N1778" s="3" t="s">
        <v>7301</v>
      </c>
      <c r="O1778" s="1" t="n">
        <v>349430</v>
      </c>
      <c r="P1778" s="1" t="n">
        <v>95.52</v>
      </c>
      <c r="Q1778" s="1" t="s">
        <v>20</v>
      </c>
      <c r="R1778" s="1" t="s">
        <v>27</v>
      </c>
      <c r="S1778" s="1" t="s">
        <v>28</v>
      </c>
      <c r="T1778" s="1" t="s">
        <v>29</v>
      </c>
    </row>
    <row r="1779" customFormat="false" ht="18.7" hidden="false" customHeight="true" outlineLevel="0" collapsed="false">
      <c r="A1779" s="1" t="n">
        <v>1778</v>
      </c>
      <c r="B1779" s="6" t="str">
        <f aca="false">HYPERLINK("https://mncourtfraud.com/file/MCRO_27-CR-21-20072_Other Document_2021-11-18_20240430083112.pdf","MCRO_27-CR-21-20072_Other Document_2021-11-18_20240430083112.pdf")</f>
        <v>MCRO_27-CR-21-20072_Other Document_2021-11-18_20240430083112.pdf</v>
      </c>
      <c r="C1779" s="1" t="n">
        <v>4</v>
      </c>
      <c r="D1779" s="1" t="n">
        <v>1</v>
      </c>
      <c r="E1779" s="1" t="n">
        <v>1</v>
      </c>
      <c r="F1779" s="3" t="s">
        <v>20</v>
      </c>
      <c r="G1779" s="3" t="s">
        <v>7302</v>
      </c>
      <c r="H1779" s="1" t="s">
        <v>22</v>
      </c>
      <c r="I1779" s="1" t="n">
        <v>20240430083112</v>
      </c>
      <c r="J1779" s="3" t="s">
        <v>7303</v>
      </c>
      <c r="K1779" s="3" t="s">
        <v>7304</v>
      </c>
      <c r="L1779" s="3" t="s">
        <v>7305</v>
      </c>
      <c r="M1779" s="3" t="n">
        <v>532030</v>
      </c>
      <c r="N1779" s="3" t="s">
        <v>1065</v>
      </c>
      <c r="O1779" s="1" t="n">
        <v>515644</v>
      </c>
      <c r="P1779" s="1" t="n">
        <v>96.92</v>
      </c>
      <c r="Q1779" s="1" t="s">
        <v>20</v>
      </c>
      <c r="R1779" s="1" t="s">
        <v>27</v>
      </c>
      <c r="S1779" s="1" t="s">
        <v>28</v>
      </c>
      <c r="T1779" s="1" t="s">
        <v>29</v>
      </c>
    </row>
    <row r="1780" customFormat="false" ht="18.7" hidden="false" customHeight="true" outlineLevel="0" collapsed="false">
      <c r="A1780" s="1" t="n">
        <v>1779</v>
      </c>
      <c r="B1780" s="6" t="str">
        <f aca="false">HYPERLINK("https://mncourtfraud.com/file/MCRO_27-CR-21-20072_Other Document_2022-02-28_20240430083105.pdf","MCRO_27-CR-21-20072_Other Document_2022-02-28_20240430083105.pdf")</f>
        <v>MCRO_27-CR-21-20072_Other Document_2022-02-28_20240430083105.pdf</v>
      </c>
      <c r="C1780" s="1" t="n">
        <v>5</v>
      </c>
      <c r="D1780" s="1" t="n">
        <v>1</v>
      </c>
      <c r="E1780" s="1" t="n">
        <v>1</v>
      </c>
      <c r="F1780" s="3" t="s">
        <v>20</v>
      </c>
      <c r="G1780" s="3" t="s">
        <v>7306</v>
      </c>
      <c r="H1780" s="1" t="s">
        <v>22</v>
      </c>
      <c r="I1780" s="1" t="n">
        <v>20240430083105</v>
      </c>
      <c r="J1780" s="3" t="s">
        <v>7278</v>
      </c>
      <c r="K1780" s="3" t="s">
        <v>7279</v>
      </c>
      <c r="L1780" s="3" t="s">
        <v>7307</v>
      </c>
      <c r="M1780" s="3" t="n">
        <v>737958</v>
      </c>
      <c r="N1780" s="3" t="s">
        <v>6298</v>
      </c>
      <c r="O1780" s="1" t="n">
        <v>721572</v>
      </c>
      <c r="P1780" s="1" t="n">
        <v>97.78</v>
      </c>
      <c r="Q1780" s="1" t="s">
        <v>20</v>
      </c>
      <c r="R1780" s="1" t="s">
        <v>27</v>
      </c>
      <c r="S1780" s="1" t="s">
        <v>28</v>
      </c>
      <c r="T1780" s="1" t="s">
        <v>29</v>
      </c>
    </row>
    <row r="1781" customFormat="false" ht="18.7" hidden="false" customHeight="true" outlineLevel="0" collapsed="false">
      <c r="A1781" s="1" t="n">
        <v>1780</v>
      </c>
      <c r="B1781" s="6" t="str">
        <f aca="false">HYPERLINK("https://mncourtfraud.com/file/MCRO_27-CR-21-20072_Other Document_2022-05-31_20240430083058.pdf","MCRO_27-CR-21-20072_Other Document_2022-05-31_20240430083058.pdf")</f>
        <v>MCRO_27-CR-21-20072_Other Document_2022-05-31_20240430083058.pdf</v>
      </c>
      <c r="C1781" s="1" t="n">
        <v>4</v>
      </c>
      <c r="D1781" s="1" t="n">
        <v>1</v>
      </c>
      <c r="E1781" s="1" t="n">
        <v>1</v>
      </c>
      <c r="F1781" s="3" t="s">
        <v>20</v>
      </c>
      <c r="G1781" s="3" t="s">
        <v>7308</v>
      </c>
      <c r="H1781" s="1" t="s">
        <v>22</v>
      </c>
      <c r="I1781" s="1" t="n">
        <v>20240430083058</v>
      </c>
      <c r="J1781" s="3" t="s">
        <v>7309</v>
      </c>
      <c r="K1781" s="3" t="s">
        <v>7310</v>
      </c>
      <c r="L1781" s="3" t="s">
        <v>7168</v>
      </c>
      <c r="M1781" s="3" t="n">
        <v>274168</v>
      </c>
      <c r="N1781" s="3" t="s">
        <v>4614</v>
      </c>
      <c r="O1781" s="1" t="n">
        <v>257782</v>
      </c>
      <c r="P1781" s="1" t="n">
        <v>94.02</v>
      </c>
      <c r="Q1781" s="1" t="s">
        <v>20</v>
      </c>
      <c r="R1781" s="1" t="s">
        <v>27</v>
      </c>
      <c r="S1781" s="1" t="s">
        <v>28</v>
      </c>
      <c r="T1781" s="1" t="s">
        <v>29</v>
      </c>
    </row>
    <row r="1782" customFormat="false" ht="18.7" hidden="false" customHeight="true" outlineLevel="0" collapsed="false">
      <c r="A1782" s="1" t="n">
        <v>1781</v>
      </c>
      <c r="B1782" s="6" t="str">
        <f aca="false">HYPERLINK("https://mncourtfraud.com/file/MCRO_27-CR-21-20072_Proposed Order or Document_2021-11-12_20240430083116.pdf","MCRO_27-CR-21-20072_Proposed Order or Document_2021-11-12_20240430083116.pdf")</f>
        <v>MCRO_27-CR-21-20072_Proposed Order or Document_2021-11-12_20240430083116.pdf</v>
      </c>
      <c r="C1782" s="1" t="n">
        <v>4</v>
      </c>
      <c r="D1782" s="1" t="n">
        <v>1</v>
      </c>
      <c r="E1782" s="1" t="n">
        <v>1</v>
      </c>
      <c r="F1782" s="3" t="s">
        <v>20</v>
      </c>
      <c r="G1782" s="3" t="s">
        <v>7311</v>
      </c>
      <c r="H1782" s="1" t="s">
        <v>22</v>
      </c>
      <c r="I1782" s="1" t="n">
        <v>20240430083116</v>
      </c>
      <c r="J1782" s="3" t="s">
        <v>7266</v>
      </c>
      <c r="K1782" s="3" t="s">
        <v>7312</v>
      </c>
      <c r="L1782" s="3" t="s">
        <v>7313</v>
      </c>
      <c r="M1782" s="3" t="n">
        <v>205262</v>
      </c>
      <c r="N1782" s="3" t="s">
        <v>3929</v>
      </c>
      <c r="O1782" s="1" t="n">
        <v>188876</v>
      </c>
      <c r="P1782" s="1" t="n">
        <v>92.02</v>
      </c>
      <c r="Q1782" s="1" t="s">
        <v>20</v>
      </c>
      <c r="R1782" s="1" t="s">
        <v>27</v>
      </c>
      <c r="S1782" s="1" t="s">
        <v>28</v>
      </c>
      <c r="T1782" s="1" t="s">
        <v>29</v>
      </c>
    </row>
    <row r="1783" customFormat="false" ht="18.7" hidden="false" customHeight="true" outlineLevel="0" collapsed="false">
      <c r="A1783" s="1" t="n">
        <v>1782</v>
      </c>
      <c r="B1783" s="6" t="str">
        <f aca="false">HYPERLINK("https://mncourtfraud.com/file/MCRO_27-CR-21-20072_Proposed Order or Document_2021-12-14_20240430083109.pdf","MCRO_27-CR-21-20072_Proposed Order or Document_2021-12-14_20240430083109.pdf")</f>
        <v>MCRO_27-CR-21-20072_Proposed Order or Document_2021-12-14_20240430083109.pdf</v>
      </c>
      <c r="C1783" s="1" t="n">
        <v>3</v>
      </c>
      <c r="D1783" s="1" t="n">
        <v>1</v>
      </c>
      <c r="E1783" s="1" t="n">
        <v>1</v>
      </c>
      <c r="F1783" s="3" t="s">
        <v>20</v>
      </c>
      <c r="G1783" s="3" t="s">
        <v>7314</v>
      </c>
      <c r="H1783" s="1" t="s">
        <v>22</v>
      </c>
      <c r="I1783" s="1" t="n">
        <v>20240430083109</v>
      </c>
      <c r="J1783" s="3" t="s">
        <v>7315</v>
      </c>
      <c r="K1783" s="3" t="s">
        <v>7316</v>
      </c>
      <c r="L1783" s="3" t="s">
        <v>7317</v>
      </c>
      <c r="M1783" s="3" t="n">
        <v>178710</v>
      </c>
      <c r="N1783" s="3" t="s">
        <v>577</v>
      </c>
      <c r="O1783" s="1" t="n">
        <v>162324</v>
      </c>
      <c r="P1783" s="1" t="n">
        <v>90.83</v>
      </c>
      <c r="Q1783" s="1" t="s">
        <v>20</v>
      </c>
      <c r="R1783" s="1" t="s">
        <v>27</v>
      </c>
      <c r="S1783" s="1" t="s">
        <v>28</v>
      </c>
      <c r="T1783" s="1" t="s">
        <v>29</v>
      </c>
    </row>
    <row r="1784" customFormat="false" ht="18.7" hidden="false" customHeight="true" outlineLevel="0" collapsed="false">
      <c r="A1784" s="1" t="n">
        <v>1783</v>
      </c>
      <c r="B1784" s="6" t="str">
        <f aca="false">HYPERLINK("https://mncourtfraud.com/file/MCRO_27-CR-21-20072_Returned Mail_2023-12-29_20240430083044.pdf","MCRO_27-CR-21-20072_Returned Mail_2023-12-29_20240430083044.pdf")</f>
        <v>MCRO_27-CR-21-20072_Returned Mail_2023-12-29_20240430083044.pdf</v>
      </c>
      <c r="C1784" s="1" t="n">
        <v>4</v>
      </c>
      <c r="D1784" s="1" t="n">
        <v>1</v>
      </c>
      <c r="E1784" s="1" t="n">
        <v>1</v>
      </c>
      <c r="F1784" s="3" t="s">
        <v>20</v>
      </c>
      <c r="G1784" s="3" t="s">
        <v>7318</v>
      </c>
      <c r="H1784" s="1" t="s">
        <v>22</v>
      </c>
      <c r="I1784" s="1" t="n">
        <v>20240430083044</v>
      </c>
      <c r="J1784" s="3" t="s">
        <v>7319</v>
      </c>
      <c r="K1784" s="3" t="s">
        <v>7320</v>
      </c>
      <c r="L1784" s="3" t="s">
        <v>7321</v>
      </c>
      <c r="M1784" s="3" t="n">
        <v>297145</v>
      </c>
      <c r="N1784" s="3" t="s">
        <v>158</v>
      </c>
      <c r="O1784" s="1" t="n">
        <v>280759</v>
      </c>
      <c r="P1784" s="1" t="n">
        <v>94.49</v>
      </c>
      <c r="Q1784" s="1" t="s">
        <v>20</v>
      </c>
      <c r="R1784" s="1" t="s">
        <v>27</v>
      </c>
      <c r="S1784" s="1" t="s">
        <v>28</v>
      </c>
      <c r="T1784" s="1" t="s">
        <v>29</v>
      </c>
    </row>
    <row r="1785" customFormat="false" ht="18.7" hidden="false" customHeight="true" outlineLevel="0" collapsed="false">
      <c r="A1785" s="1" t="n">
        <v>1784</v>
      </c>
      <c r="B1785" s="6" t="str">
        <f aca="false">HYPERLINK("https://mncourtfraud.com/file/MCRO_27-CR-21-20072_Witness List_2022-03-18_20240430083101.pdf","MCRO_27-CR-21-20072_Witness List_2022-03-18_20240430083101.pdf")</f>
        <v>MCRO_27-CR-21-20072_Witness List_2022-03-18_20240430083101.pdf</v>
      </c>
      <c r="C1785" s="1" t="n">
        <v>3</v>
      </c>
      <c r="D1785" s="1" t="n">
        <v>1</v>
      </c>
      <c r="E1785" s="1" t="n">
        <v>1</v>
      </c>
      <c r="F1785" s="3" t="s">
        <v>20</v>
      </c>
      <c r="G1785" s="3" t="s">
        <v>7322</v>
      </c>
      <c r="H1785" s="1" t="s">
        <v>22</v>
      </c>
      <c r="I1785" s="1" t="n">
        <v>20240430083101</v>
      </c>
      <c r="J1785" s="3" t="s">
        <v>7323</v>
      </c>
      <c r="K1785" s="3" t="s">
        <v>7324</v>
      </c>
      <c r="L1785" s="3" t="s">
        <v>7325</v>
      </c>
      <c r="M1785" s="3" t="n">
        <v>113811</v>
      </c>
      <c r="N1785" s="3" t="s">
        <v>1273</v>
      </c>
      <c r="O1785" s="1" t="n">
        <v>97425</v>
      </c>
      <c r="P1785" s="1" t="n">
        <v>85.6</v>
      </c>
      <c r="Q1785" s="1" t="s">
        <v>20</v>
      </c>
      <c r="R1785" s="1" t="s">
        <v>27</v>
      </c>
      <c r="S1785" s="1" t="s">
        <v>28</v>
      </c>
      <c r="T1785" s="1" t="s">
        <v>29</v>
      </c>
    </row>
    <row r="1786" customFormat="false" ht="18.7" hidden="false" customHeight="true" outlineLevel="0" collapsed="false">
      <c r="A1786" s="1" t="n">
        <v>1785</v>
      </c>
      <c r="B1786" s="6" t="str">
        <f aca="false">HYPERLINK("https://mncourtfraud.com/file/MCRO_27-CR-21-20529_Demand or Request for Discovery_2021-11-08_20240430083209.pdf","MCRO_27-CR-21-20529_Demand or Request for Discovery_2021-11-08_20240430083209.pdf")</f>
        <v>MCRO_27-CR-21-20529_Demand or Request for Discovery_2021-11-08_20240430083209.pdf</v>
      </c>
      <c r="C1786" s="1" t="n">
        <v>3</v>
      </c>
      <c r="D1786" s="1" t="n">
        <v>1</v>
      </c>
      <c r="E1786" s="1" t="n">
        <v>1</v>
      </c>
      <c r="F1786" s="3" t="s">
        <v>20</v>
      </c>
      <c r="G1786" s="3" t="s">
        <v>7326</v>
      </c>
      <c r="H1786" s="1" t="s">
        <v>22</v>
      </c>
      <c r="I1786" s="1" t="n">
        <v>20240430083209</v>
      </c>
      <c r="J1786" s="3" t="s">
        <v>7327</v>
      </c>
      <c r="K1786" s="3" t="s">
        <v>7328</v>
      </c>
      <c r="L1786" s="3" t="s">
        <v>7329</v>
      </c>
      <c r="M1786" s="3" t="n">
        <v>539841</v>
      </c>
      <c r="N1786" s="3" t="s">
        <v>6571</v>
      </c>
      <c r="O1786" s="1" t="n">
        <v>523455</v>
      </c>
      <c r="P1786" s="1" t="n">
        <v>96.96</v>
      </c>
      <c r="Q1786" s="1" t="s">
        <v>20</v>
      </c>
      <c r="R1786" s="1" t="s">
        <v>27</v>
      </c>
      <c r="S1786" s="1" t="s">
        <v>28</v>
      </c>
      <c r="T1786" s="1" t="s">
        <v>29</v>
      </c>
    </row>
    <row r="1787" customFormat="false" ht="18.7" hidden="false" customHeight="true" outlineLevel="0" collapsed="false">
      <c r="A1787" s="1" t="n">
        <v>1786</v>
      </c>
      <c r="B1787" s="6" t="str">
        <f aca="false">HYPERLINK("https://mncourtfraud.com/file/MCRO_27-CR-21-20529_E-filed Comp-Order for Detention_2021-11-04_20240430083213.pdf","MCRO_27-CR-21-20529_E-filed Comp-Order for Detention_2021-11-04_20240430083213.pdf")</f>
        <v>MCRO_27-CR-21-20529_E-filed Comp-Order for Detention_2021-11-04_20240430083213.pdf</v>
      </c>
      <c r="C1787" s="1" t="n">
        <v>4</v>
      </c>
      <c r="D1787" s="1" t="n">
        <v>2</v>
      </c>
      <c r="E1787" s="1" t="n">
        <v>2</v>
      </c>
      <c r="F1787" s="3" t="s">
        <v>20</v>
      </c>
      <c r="G1787" s="3" t="s">
        <v>7330</v>
      </c>
      <c r="H1787" s="1" t="s">
        <v>22</v>
      </c>
      <c r="I1787" s="1" t="n">
        <v>20240430083213</v>
      </c>
      <c r="J1787" s="3" t="s">
        <v>7331</v>
      </c>
      <c r="K1787" s="3" t="s">
        <v>7332</v>
      </c>
      <c r="L1787" s="3" t="s">
        <v>7333</v>
      </c>
      <c r="M1787" s="3" t="n">
        <v>509341</v>
      </c>
      <c r="N1787" s="3" t="s">
        <v>7334</v>
      </c>
      <c r="O1787" s="1" t="n">
        <v>492955</v>
      </c>
      <c r="P1787" s="1" t="n">
        <v>96.78</v>
      </c>
      <c r="Q1787" s="1" t="s">
        <v>20</v>
      </c>
      <c r="R1787" s="1" t="s">
        <v>27</v>
      </c>
      <c r="S1787" s="1" t="s">
        <v>28</v>
      </c>
      <c r="T1787" s="1" t="s">
        <v>29</v>
      </c>
    </row>
    <row r="1788" customFormat="false" ht="18.7" hidden="false" customHeight="true" outlineLevel="0" collapsed="false">
      <c r="A1788" s="1" t="n">
        <v>1787</v>
      </c>
      <c r="B1788" s="6" t="str">
        <f aca="false">HYPERLINK("https://mncourtfraud.com/file/MCRO_27-CR-21-20529_Findings and Order_2022-05-17_20240430083200.pdf","MCRO_27-CR-21-20529_Findings and Order_2022-05-17_20240430083200.pdf")</f>
        <v>MCRO_27-CR-21-20529_Findings and Order_2022-05-17_20240430083200.pdf</v>
      </c>
      <c r="C1788" s="1" t="n">
        <v>4</v>
      </c>
      <c r="D1788" s="1" t="n">
        <v>1</v>
      </c>
      <c r="E1788" s="1" t="n">
        <v>1</v>
      </c>
      <c r="F1788" s="3" t="s">
        <v>20</v>
      </c>
      <c r="G1788" s="3" t="s">
        <v>7335</v>
      </c>
      <c r="H1788" s="1" t="s">
        <v>22</v>
      </c>
      <c r="I1788" s="1" t="n">
        <v>20240430083200</v>
      </c>
      <c r="J1788" s="3" t="s">
        <v>7336</v>
      </c>
      <c r="K1788" s="3" t="s">
        <v>7337</v>
      </c>
      <c r="L1788" s="3" t="s">
        <v>7338</v>
      </c>
      <c r="M1788" s="3" t="n">
        <v>356457</v>
      </c>
      <c r="N1788" s="3" t="s">
        <v>395</v>
      </c>
      <c r="O1788" s="1" t="n">
        <v>340071</v>
      </c>
      <c r="P1788" s="1" t="n">
        <v>95.4</v>
      </c>
      <c r="Q1788" s="1" t="s">
        <v>20</v>
      </c>
      <c r="R1788" s="1" t="s">
        <v>27</v>
      </c>
      <c r="S1788" s="1" t="s">
        <v>28</v>
      </c>
      <c r="T1788" s="1" t="s">
        <v>29</v>
      </c>
    </row>
    <row r="1789" customFormat="false" ht="18.7" hidden="false" customHeight="true" outlineLevel="0" collapsed="false">
      <c r="A1789" s="1" t="n">
        <v>1788</v>
      </c>
      <c r="B1789" s="6" t="str">
        <f aca="false">HYPERLINK("https://mncourtfraud.com/file/MCRO_27-CR-21-20529_Notice of Case Reassignment_2022-05-06_20240430083201.pdf","MCRO_27-CR-21-20529_Notice of Case Reassignment_2022-05-06_20240430083201.pdf")</f>
        <v>MCRO_27-CR-21-20529_Notice of Case Reassignment_2022-05-06_20240430083201.pdf</v>
      </c>
      <c r="C1789" s="1" t="n">
        <v>4</v>
      </c>
      <c r="D1789" s="1" t="n">
        <v>1</v>
      </c>
      <c r="E1789" s="1" t="n">
        <v>1</v>
      </c>
      <c r="F1789" s="3" t="s">
        <v>20</v>
      </c>
      <c r="G1789" s="3" t="s">
        <v>7339</v>
      </c>
      <c r="H1789" s="1" t="s">
        <v>22</v>
      </c>
      <c r="I1789" s="1" t="n">
        <v>20240430083201</v>
      </c>
      <c r="J1789" s="3" t="s">
        <v>7340</v>
      </c>
      <c r="K1789" s="3" t="s">
        <v>7341</v>
      </c>
      <c r="L1789" s="3" t="s">
        <v>7342</v>
      </c>
      <c r="M1789" s="3" t="n">
        <v>92982</v>
      </c>
      <c r="N1789" s="3" t="s">
        <v>456</v>
      </c>
      <c r="O1789" s="1" t="n">
        <v>76596</v>
      </c>
      <c r="P1789" s="1" t="n">
        <v>82.38</v>
      </c>
      <c r="Q1789" s="1" t="s">
        <v>20</v>
      </c>
      <c r="R1789" s="1" t="s">
        <v>27</v>
      </c>
      <c r="S1789" s="1" t="s">
        <v>28</v>
      </c>
      <c r="T1789" s="1" t="s">
        <v>29</v>
      </c>
    </row>
    <row r="1790" customFormat="false" ht="18.7" hidden="false" customHeight="true" outlineLevel="0" collapsed="false">
      <c r="A1790" s="1" t="n">
        <v>1789</v>
      </c>
      <c r="B1790" s="6" t="str">
        <f aca="false">HYPERLINK("https://mncourtfraud.com/file/MCRO_27-CR-21-20529_Notice of Case Reassignment_2023-01-20_20240430083152.pdf","MCRO_27-CR-21-20529_Notice of Case Reassignment_2023-01-20_20240430083152.pdf")</f>
        <v>MCRO_27-CR-21-20529_Notice of Case Reassignment_2023-01-20_20240430083152.pdf</v>
      </c>
      <c r="C1790" s="1" t="n">
        <v>4</v>
      </c>
      <c r="D1790" s="1" t="n">
        <v>1</v>
      </c>
      <c r="E1790" s="1" t="n">
        <v>1</v>
      </c>
      <c r="F1790" s="3" t="s">
        <v>20</v>
      </c>
      <c r="G1790" s="3" t="s">
        <v>7343</v>
      </c>
      <c r="H1790" s="1" t="s">
        <v>22</v>
      </c>
      <c r="I1790" s="1" t="n">
        <v>20240430083152</v>
      </c>
      <c r="J1790" s="3" t="s">
        <v>7344</v>
      </c>
      <c r="K1790" s="3" t="s">
        <v>7345</v>
      </c>
      <c r="L1790" s="3" t="s">
        <v>7346</v>
      </c>
      <c r="M1790" s="3" t="n">
        <v>89484</v>
      </c>
      <c r="N1790" s="3" t="s">
        <v>435</v>
      </c>
      <c r="O1790" s="1" t="n">
        <v>73098</v>
      </c>
      <c r="P1790" s="1" t="n">
        <v>81.69</v>
      </c>
      <c r="Q1790" s="1" t="s">
        <v>20</v>
      </c>
      <c r="R1790" s="1" t="s">
        <v>27</v>
      </c>
      <c r="S1790" s="1" t="s">
        <v>28</v>
      </c>
      <c r="T1790" s="1" t="s">
        <v>29</v>
      </c>
    </row>
    <row r="1791" customFormat="false" ht="18.7" hidden="false" customHeight="true" outlineLevel="0" collapsed="false">
      <c r="A1791" s="1" t="n">
        <v>1790</v>
      </c>
      <c r="B1791" s="6" t="str">
        <f aca="false">HYPERLINK("https://mncourtfraud.com/file/MCRO_27-CR-21-20529_Notice of Case Reassignment_2024-02-15_20240430083149.pdf","MCRO_27-CR-21-20529_Notice of Case Reassignment_2024-02-15_20240430083149.pdf")</f>
        <v>MCRO_27-CR-21-20529_Notice of Case Reassignment_2024-02-15_20240430083149.pdf</v>
      </c>
      <c r="C1791" s="1" t="n">
        <v>3</v>
      </c>
      <c r="D1791" s="1" t="n">
        <v>1</v>
      </c>
      <c r="E1791" s="1" t="n">
        <v>1</v>
      </c>
      <c r="F1791" s="3" t="s">
        <v>20</v>
      </c>
      <c r="G1791" s="3" t="s">
        <v>7347</v>
      </c>
      <c r="H1791" s="1" t="s">
        <v>22</v>
      </c>
      <c r="I1791" s="1" t="n">
        <v>20240430083149</v>
      </c>
      <c r="J1791" s="3" t="s">
        <v>7348</v>
      </c>
      <c r="K1791" s="3" t="s">
        <v>7349</v>
      </c>
      <c r="L1791" s="3" t="s">
        <v>7350</v>
      </c>
      <c r="M1791" s="3" t="n">
        <v>114051</v>
      </c>
      <c r="N1791" s="3" t="s">
        <v>128</v>
      </c>
      <c r="O1791" s="1" t="n">
        <v>97665</v>
      </c>
      <c r="P1791" s="1" t="n">
        <v>85.63</v>
      </c>
      <c r="Q1791" s="1" t="s">
        <v>20</v>
      </c>
      <c r="R1791" s="1" t="s">
        <v>27</v>
      </c>
      <c r="S1791" s="1" t="s">
        <v>28</v>
      </c>
      <c r="T1791" s="1" t="s">
        <v>29</v>
      </c>
    </row>
    <row r="1792" customFormat="false" ht="18.7" hidden="false" customHeight="true" outlineLevel="0" collapsed="false">
      <c r="A1792" s="1" t="n">
        <v>1791</v>
      </c>
      <c r="B1792" s="6" t="str">
        <f aca="false">HYPERLINK("https://mncourtfraud.com/file/MCRO_27-CR-21-20529_Notice of Hearing_2023-10-17_20240430083150.pdf","MCRO_27-CR-21-20529_Notice of Hearing_2023-10-17_20240430083150.pdf")</f>
        <v>MCRO_27-CR-21-20529_Notice of Hearing_2023-10-17_20240430083150.pdf</v>
      </c>
      <c r="C1792" s="1" t="n">
        <v>5</v>
      </c>
      <c r="D1792" s="1" t="n">
        <v>1</v>
      </c>
      <c r="E1792" s="1" t="n">
        <v>1</v>
      </c>
      <c r="F1792" s="3" t="s">
        <v>20</v>
      </c>
      <c r="G1792" s="3" t="s">
        <v>7351</v>
      </c>
      <c r="H1792" s="1" t="s">
        <v>22</v>
      </c>
      <c r="I1792" s="1" t="n">
        <v>20240430083150</v>
      </c>
      <c r="J1792" s="3" t="s">
        <v>7352</v>
      </c>
      <c r="K1792" s="3" t="s">
        <v>7353</v>
      </c>
      <c r="L1792" s="3" t="s">
        <v>7354</v>
      </c>
      <c r="M1792" s="3" t="n">
        <v>740074</v>
      </c>
      <c r="N1792" s="3" t="s">
        <v>2768</v>
      </c>
      <c r="O1792" s="1" t="n">
        <v>723688</v>
      </c>
      <c r="P1792" s="1" t="n">
        <v>97.79</v>
      </c>
      <c r="Q1792" s="1" t="s">
        <v>20</v>
      </c>
      <c r="R1792" s="1" t="s">
        <v>27</v>
      </c>
      <c r="S1792" s="1" t="s">
        <v>28</v>
      </c>
      <c r="T1792" s="1" t="s">
        <v>29</v>
      </c>
    </row>
    <row r="1793" customFormat="false" ht="18.7" hidden="false" customHeight="true" outlineLevel="0" collapsed="false">
      <c r="A1793" s="1" t="n">
        <v>1792</v>
      </c>
      <c r="B1793" s="6" t="str">
        <f aca="false">HYPERLINK("https://mncourtfraud.com/file/MCRO_27-CR-21-20529_Notice of Intent to Prosecute_2022-06-13_20240430083157.pdf","MCRO_27-CR-21-20529_Notice of Intent to Prosecute_2022-06-13_20240430083157.pdf")</f>
        <v>MCRO_27-CR-21-20529_Notice of Intent to Prosecute_2022-06-13_20240430083157.pdf</v>
      </c>
      <c r="C1793" s="1" t="n">
        <v>3</v>
      </c>
      <c r="D1793" s="1" t="n">
        <v>1</v>
      </c>
      <c r="E1793" s="1" t="n">
        <v>1</v>
      </c>
      <c r="F1793" s="3" t="s">
        <v>20</v>
      </c>
      <c r="G1793" s="3" t="s">
        <v>7355</v>
      </c>
      <c r="H1793" s="1" t="s">
        <v>22</v>
      </c>
      <c r="I1793" s="1" t="n">
        <v>20240430083157</v>
      </c>
      <c r="J1793" s="3" t="s">
        <v>7356</v>
      </c>
      <c r="K1793" s="3" t="s">
        <v>7357</v>
      </c>
      <c r="L1793" s="3" t="s">
        <v>7358</v>
      </c>
      <c r="M1793" s="3" t="n">
        <v>122290</v>
      </c>
      <c r="N1793" s="3" t="s">
        <v>3225</v>
      </c>
      <c r="O1793" s="1" t="n">
        <v>105904</v>
      </c>
      <c r="P1793" s="1" t="n">
        <v>86.6</v>
      </c>
      <c r="Q1793" s="1" t="s">
        <v>20</v>
      </c>
      <c r="R1793" s="1" t="s">
        <v>27</v>
      </c>
      <c r="S1793" s="1" t="s">
        <v>28</v>
      </c>
      <c r="T1793" s="1" t="s">
        <v>29</v>
      </c>
    </row>
    <row r="1794" customFormat="false" ht="18.7" hidden="false" customHeight="true" outlineLevel="0" collapsed="false">
      <c r="A1794" s="1" t="n">
        <v>1793</v>
      </c>
      <c r="B1794" s="6" t="str">
        <f aca="false">HYPERLINK("https://mncourtfraud.com/file/MCRO_27-CR-21-20529_Notice of Remote Hearing with Instructions_2022-01-14_20240430083207.pdf","MCRO_27-CR-21-20529_Notice of Remote Hearing with Instructions_2022-01-14_20240430083207.pdf")</f>
        <v>MCRO_27-CR-21-20529_Notice of Remote Hearing with Instructions_2022-01-14_20240430083207.pdf</v>
      </c>
      <c r="C1794" s="1" t="n">
        <v>4</v>
      </c>
      <c r="D1794" s="1" t="n">
        <v>1</v>
      </c>
      <c r="E1794" s="1" t="n">
        <v>1</v>
      </c>
      <c r="F1794" s="3" t="s">
        <v>20</v>
      </c>
      <c r="G1794" s="3" t="s">
        <v>7359</v>
      </c>
      <c r="H1794" s="1" t="s">
        <v>22</v>
      </c>
      <c r="I1794" s="1" t="n">
        <v>20240430083207</v>
      </c>
      <c r="J1794" s="3" t="s">
        <v>7360</v>
      </c>
      <c r="K1794" s="3" t="s">
        <v>7361</v>
      </c>
      <c r="L1794" s="3" t="s">
        <v>7362</v>
      </c>
      <c r="M1794" s="3" t="n">
        <v>822822</v>
      </c>
      <c r="N1794" s="3" t="s">
        <v>2818</v>
      </c>
      <c r="O1794" s="1" t="n">
        <v>806436</v>
      </c>
      <c r="P1794" s="1" t="n">
        <v>98.01</v>
      </c>
      <c r="Q1794" s="1" t="s">
        <v>20</v>
      </c>
      <c r="R1794" s="1" t="s">
        <v>27</v>
      </c>
      <c r="S1794" s="1" t="s">
        <v>28</v>
      </c>
      <c r="T1794" s="1" t="s">
        <v>29</v>
      </c>
    </row>
    <row r="1795" customFormat="false" ht="18.7" hidden="false" customHeight="true" outlineLevel="0" collapsed="false">
      <c r="A1795" s="1" t="n">
        <v>1794</v>
      </c>
      <c r="B1795" s="6" t="str">
        <f aca="false">HYPERLINK("https://mncourtfraud.com/file/MCRO_27-CR-21-20529_Notice of Remote Hearing with Instructions_2022-11-15_20240430083154.pdf","MCRO_27-CR-21-20529_Notice of Remote Hearing with Instructions_2022-11-15_20240430083154.pdf")</f>
        <v>MCRO_27-CR-21-20529_Notice of Remote Hearing with Instructions_2022-11-15_20240430083154.pdf</v>
      </c>
      <c r="C1795" s="1" t="n">
        <v>6</v>
      </c>
      <c r="D1795" s="1" t="n">
        <v>1</v>
      </c>
      <c r="E1795" s="1" t="n">
        <v>1</v>
      </c>
      <c r="F1795" s="3" t="s">
        <v>20</v>
      </c>
      <c r="G1795" s="3" t="s">
        <v>7363</v>
      </c>
      <c r="H1795" s="1" t="s">
        <v>22</v>
      </c>
      <c r="I1795" s="1" t="n">
        <v>20240430083154</v>
      </c>
      <c r="J1795" s="3" t="s">
        <v>7364</v>
      </c>
      <c r="K1795" s="3" t="s">
        <v>7365</v>
      </c>
      <c r="L1795" s="3" t="s">
        <v>7366</v>
      </c>
      <c r="M1795" s="3" t="n">
        <v>362080</v>
      </c>
      <c r="N1795" s="3" t="s">
        <v>7367</v>
      </c>
      <c r="O1795" s="1" t="n">
        <v>345694</v>
      </c>
      <c r="P1795" s="1" t="n">
        <v>95.47</v>
      </c>
      <c r="Q1795" s="1" t="s">
        <v>20</v>
      </c>
      <c r="R1795" s="1" t="s">
        <v>27</v>
      </c>
      <c r="S1795" s="1" t="s">
        <v>28</v>
      </c>
      <c r="T1795" s="1" t="s">
        <v>29</v>
      </c>
    </row>
    <row r="1796" customFormat="false" ht="18.7" hidden="false" customHeight="true" outlineLevel="0" collapsed="false">
      <c r="A1796" s="1" t="n">
        <v>1795</v>
      </c>
      <c r="B1796" s="6" t="str">
        <f aca="false">HYPERLINK("https://mncourtfraud.com/file/MCRO_27-CR-21-20529_Order-Evaluation for Competency to Proceed (Rule 20.01)_2022-01-14_20240430083206.pdf","MCRO_27-CR-21-20529_Order-Evaluation for Competency to Proceed (Rule 20.01)_2022-01-14_20240430083206.pdf")</f>
        <v>MCRO_27-CR-21-20529_Order-Evaluation for Competency to Proceed (Rule 20.01)_2022-01-14_20240430083206.pdf</v>
      </c>
      <c r="C1796" s="1" t="n">
        <v>4</v>
      </c>
      <c r="D1796" s="1" t="n">
        <v>1</v>
      </c>
      <c r="E1796" s="1" t="n">
        <v>1</v>
      </c>
      <c r="F1796" s="3" t="s">
        <v>20</v>
      </c>
      <c r="G1796" s="3" t="s">
        <v>7368</v>
      </c>
      <c r="H1796" s="1" t="s">
        <v>22</v>
      </c>
      <c r="I1796" s="1" t="n">
        <v>20240430083206</v>
      </c>
      <c r="J1796" s="3" t="s">
        <v>7369</v>
      </c>
      <c r="K1796" s="3" t="s">
        <v>7370</v>
      </c>
      <c r="L1796" s="3" t="s">
        <v>7371</v>
      </c>
      <c r="M1796" s="3" t="n">
        <v>899339</v>
      </c>
      <c r="N1796" s="3" t="s">
        <v>79</v>
      </c>
      <c r="O1796" s="1" t="n">
        <v>882953</v>
      </c>
      <c r="P1796" s="1" t="n">
        <v>98.18</v>
      </c>
      <c r="Q1796" s="1" t="s">
        <v>20</v>
      </c>
      <c r="R1796" s="1" t="s">
        <v>27</v>
      </c>
      <c r="S1796" s="1" t="s">
        <v>28</v>
      </c>
      <c r="T1796" s="1" t="s">
        <v>29</v>
      </c>
    </row>
    <row r="1797" customFormat="false" ht="18.7" hidden="false" customHeight="true" outlineLevel="0" collapsed="false">
      <c r="A1797" s="1" t="n">
        <v>1796</v>
      </c>
      <c r="B1797" s="6" t="str">
        <f aca="false">HYPERLINK("https://mncourtfraud.com/file/MCRO_27-CR-21-20529_Order-Evaluation for Competency to Proceed (Rule 20.01)_2022-04-19_20240430083202.pdf","MCRO_27-CR-21-20529_Order-Evaluation for Competency to Proceed (Rule 20.01)_2022-04-19_20240430083202.pdf")</f>
        <v>MCRO_27-CR-21-20529_Order-Evaluation for Competency to Proceed (Rule 20.01)_2022-04-19_20240430083202.pdf</v>
      </c>
      <c r="C1797" s="1" t="n">
        <v>4</v>
      </c>
      <c r="D1797" s="1" t="n">
        <v>1</v>
      </c>
      <c r="E1797" s="1" t="n">
        <v>1</v>
      </c>
      <c r="F1797" s="3" t="s">
        <v>20</v>
      </c>
      <c r="G1797" s="3" t="s">
        <v>7372</v>
      </c>
      <c r="H1797" s="1" t="s">
        <v>22</v>
      </c>
      <c r="I1797" s="1" t="n">
        <v>20240430083202</v>
      </c>
      <c r="J1797" s="3" t="s">
        <v>7373</v>
      </c>
      <c r="K1797" s="3" t="s">
        <v>7374</v>
      </c>
      <c r="L1797" s="3" t="s">
        <v>7375</v>
      </c>
      <c r="M1797" s="3" t="n">
        <v>255502</v>
      </c>
      <c r="N1797" s="3" t="s">
        <v>4568</v>
      </c>
      <c r="O1797" s="1" t="n">
        <v>239116</v>
      </c>
      <c r="P1797" s="1" t="n">
        <v>93.59</v>
      </c>
      <c r="Q1797" s="1" t="s">
        <v>20</v>
      </c>
      <c r="R1797" s="1" t="s">
        <v>27</v>
      </c>
      <c r="S1797" s="1" t="s">
        <v>28</v>
      </c>
      <c r="T1797" s="1" t="s">
        <v>29</v>
      </c>
    </row>
    <row r="1798" customFormat="false" ht="18.7" hidden="false" customHeight="true" outlineLevel="0" collapsed="false">
      <c r="A1798" s="1" t="n">
        <v>1797</v>
      </c>
      <c r="B1798" s="6" t="str">
        <f aca="false">HYPERLINK("https://mncourtfraud.com/file/MCRO_27-CR-21-20529_Order-Evaluation for Competency to Proceed (Rule 20.01)_2022-09-08_20240430083156.pdf","MCRO_27-CR-21-20529_Order-Evaluation for Competency to Proceed (Rule 20.01)_2022-09-08_20240430083156.pdf")</f>
        <v>MCRO_27-CR-21-20529_Order-Evaluation for Competency to Proceed (Rule 20.01)_2022-09-08_20240430083156.pdf</v>
      </c>
      <c r="C1798" s="1" t="n">
        <v>5</v>
      </c>
      <c r="D1798" s="1" t="n">
        <v>1</v>
      </c>
      <c r="E1798" s="1" t="n">
        <v>1</v>
      </c>
      <c r="F1798" s="3" t="s">
        <v>20</v>
      </c>
      <c r="G1798" s="3" t="s">
        <v>7376</v>
      </c>
      <c r="H1798" s="1" t="s">
        <v>22</v>
      </c>
      <c r="I1798" s="1" t="n">
        <v>20240430083156</v>
      </c>
      <c r="J1798" s="3" t="s">
        <v>7377</v>
      </c>
      <c r="K1798" s="3" t="s">
        <v>7378</v>
      </c>
      <c r="L1798" s="3" t="s">
        <v>7379</v>
      </c>
      <c r="M1798" s="3" t="n">
        <v>820942</v>
      </c>
      <c r="N1798" s="3" t="s">
        <v>7380</v>
      </c>
      <c r="O1798" s="1" t="n">
        <v>804556</v>
      </c>
      <c r="P1798" s="1" t="n">
        <v>98</v>
      </c>
      <c r="Q1798" s="1" t="s">
        <v>20</v>
      </c>
      <c r="R1798" s="1" t="s">
        <v>27</v>
      </c>
      <c r="S1798" s="1" t="s">
        <v>28</v>
      </c>
      <c r="T1798" s="1" t="s">
        <v>29</v>
      </c>
    </row>
    <row r="1799" customFormat="false" ht="18.7" hidden="false" customHeight="true" outlineLevel="0" collapsed="false">
      <c r="A1799" s="1" t="n">
        <v>1798</v>
      </c>
      <c r="B1799" s="6" t="str">
        <f aca="false">HYPERLINK("https://mncourtfraud.com/file/MCRO_27-CR-21-20529_Order-Evaluation for Competency to Proceed (Rule 20.01)_2023-02-14_20240430083151.pdf","MCRO_27-CR-21-20529_Order-Evaluation for Competency to Proceed (Rule 20.01)_2023-02-14_20240430083151.pdf")</f>
        <v>MCRO_27-CR-21-20529_Order-Evaluation for Competency to Proceed (Rule 20.01)_2023-02-14_20240430083151.pdf</v>
      </c>
      <c r="C1799" s="1" t="n">
        <v>7</v>
      </c>
      <c r="D1799" s="1" t="n">
        <v>2</v>
      </c>
      <c r="E1799" s="1" t="n">
        <v>2</v>
      </c>
      <c r="F1799" s="3" t="s">
        <v>27</v>
      </c>
      <c r="G1799" s="3" t="s">
        <v>7381</v>
      </c>
      <c r="H1799" s="1" t="s">
        <v>22</v>
      </c>
      <c r="I1799" s="1" t="n">
        <v>20240430083151</v>
      </c>
      <c r="J1799" s="3" t="s">
        <v>7382</v>
      </c>
      <c r="K1799" s="3" t="s">
        <v>7383</v>
      </c>
      <c r="L1799" s="3" t="s">
        <v>7384</v>
      </c>
      <c r="M1799" s="3" t="n">
        <v>880582</v>
      </c>
      <c r="N1799" s="3" t="s">
        <v>7385</v>
      </c>
      <c r="O1799" s="1" t="n">
        <v>864196</v>
      </c>
      <c r="P1799" s="1" t="n">
        <v>98.14</v>
      </c>
      <c r="Q1799" s="1" t="s">
        <v>20</v>
      </c>
      <c r="R1799" s="1" t="s">
        <v>27</v>
      </c>
      <c r="S1799" s="1" t="s">
        <v>28</v>
      </c>
      <c r="T1799" s="1" t="s">
        <v>29</v>
      </c>
    </row>
    <row r="1800" customFormat="false" ht="18.7" hidden="false" customHeight="true" outlineLevel="0" collapsed="false">
      <c r="A1800" s="1" t="n">
        <v>1799</v>
      </c>
      <c r="B1800" s="6" t="str">
        <f aca="false">HYPERLINK("https://mncourtfraud.com/file/MCRO_27-CR-21-20529_Order for Conditional Release_2021-11-05_20240430083211.pdf","MCRO_27-CR-21-20529_Order for Conditional Release_2021-11-05_20240430083211.pdf")</f>
        <v>MCRO_27-CR-21-20529_Order for Conditional Release_2021-11-05_20240430083211.pdf</v>
      </c>
      <c r="C1800" s="1" t="n">
        <v>4</v>
      </c>
      <c r="D1800" s="1" t="n">
        <v>1</v>
      </c>
      <c r="E1800" s="1" t="n">
        <v>1</v>
      </c>
      <c r="F1800" s="3" t="s">
        <v>20</v>
      </c>
      <c r="G1800" s="3" t="s">
        <v>7386</v>
      </c>
      <c r="H1800" s="1" t="s">
        <v>22</v>
      </c>
      <c r="I1800" s="1" t="n">
        <v>20240430083211</v>
      </c>
      <c r="J1800" s="3" t="s">
        <v>7387</v>
      </c>
      <c r="K1800" s="3" t="s">
        <v>7388</v>
      </c>
      <c r="L1800" s="3" t="s">
        <v>7389</v>
      </c>
      <c r="M1800" s="3" t="n">
        <v>130610</v>
      </c>
      <c r="N1800" s="3" t="s">
        <v>456</v>
      </c>
      <c r="O1800" s="1" t="n">
        <v>114224</v>
      </c>
      <c r="P1800" s="1" t="n">
        <v>87.45</v>
      </c>
      <c r="Q1800" s="1" t="s">
        <v>20</v>
      </c>
      <c r="R1800" s="1" t="s">
        <v>27</v>
      </c>
      <c r="S1800" s="1" t="s">
        <v>28</v>
      </c>
      <c r="T1800" s="1" t="s">
        <v>29</v>
      </c>
    </row>
    <row r="1801" customFormat="false" ht="18.7" hidden="false" customHeight="true" outlineLevel="0" collapsed="false">
      <c r="A1801" s="1" t="n">
        <v>1800</v>
      </c>
      <c r="B1801" s="6" t="str">
        <f aca="false">HYPERLINK("https://mncourtfraud.com/file/MCRO_27-CR-21-20529_Order for Conditional Release_2021-11-17_20240430083208.pdf","MCRO_27-CR-21-20529_Order for Conditional Release_2021-11-17_20240430083208.pdf")</f>
        <v>MCRO_27-CR-21-20529_Order for Conditional Release_2021-11-17_20240430083208.pdf</v>
      </c>
      <c r="C1801" s="1" t="n">
        <v>3</v>
      </c>
      <c r="D1801" s="1" t="n">
        <v>1</v>
      </c>
      <c r="E1801" s="1" t="n">
        <v>1</v>
      </c>
      <c r="F1801" s="3" t="s">
        <v>20</v>
      </c>
      <c r="G1801" s="3" t="s">
        <v>7390</v>
      </c>
      <c r="H1801" s="1" t="s">
        <v>22</v>
      </c>
      <c r="I1801" s="1" t="n">
        <v>20240430083208</v>
      </c>
      <c r="J1801" s="3" t="s">
        <v>7391</v>
      </c>
      <c r="K1801" s="3" t="s">
        <v>7392</v>
      </c>
      <c r="L1801" s="3" t="s">
        <v>7393</v>
      </c>
      <c r="M1801" s="3" t="n">
        <v>191280</v>
      </c>
      <c r="N1801" s="3" t="s">
        <v>1624</v>
      </c>
      <c r="O1801" s="1" t="n">
        <v>174894</v>
      </c>
      <c r="P1801" s="1" t="n">
        <v>91.43</v>
      </c>
      <c r="Q1801" s="1" t="s">
        <v>20</v>
      </c>
      <c r="R1801" s="1" t="s">
        <v>27</v>
      </c>
      <c r="S1801" s="1" t="s">
        <v>28</v>
      </c>
      <c r="T1801" s="1" t="s">
        <v>29</v>
      </c>
    </row>
    <row r="1802" customFormat="false" ht="18.7" hidden="false" customHeight="true" outlineLevel="0" collapsed="false">
      <c r="A1802" s="1" t="n">
        <v>1801</v>
      </c>
      <c r="B1802" s="6" t="str">
        <f aca="false">HYPERLINK("https://mncourtfraud.com/file/MCRO_27-CR-21-20529_Order for Conditional Release_2022-03-28_20240430083203.pdf","MCRO_27-CR-21-20529_Order for Conditional Release_2022-03-28_20240430083203.pdf")</f>
        <v>MCRO_27-CR-21-20529_Order for Conditional Release_2022-03-28_20240430083203.pdf</v>
      </c>
      <c r="C1802" s="1" t="n">
        <v>4</v>
      </c>
      <c r="D1802" s="1" t="n">
        <v>54</v>
      </c>
      <c r="E1802" s="1" t="n">
        <v>2</v>
      </c>
      <c r="F1802" s="3" t="s">
        <v>20</v>
      </c>
      <c r="G1802" s="3" t="s">
        <v>7394</v>
      </c>
      <c r="H1802" s="1" t="s">
        <v>22</v>
      </c>
      <c r="I1802" s="1" t="n">
        <v>20240430083203</v>
      </c>
      <c r="J1802" s="3" t="s">
        <v>7395</v>
      </c>
      <c r="K1802" s="3" t="s">
        <v>7396</v>
      </c>
      <c r="L1802" s="3" t="s">
        <v>7397</v>
      </c>
      <c r="M1802" s="3" t="n">
        <v>326646</v>
      </c>
      <c r="N1802" s="3" t="s">
        <v>5842</v>
      </c>
      <c r="O1802" s="1" t="n">
        <v>310260</v>
      </c>
      <c r="P1802" s="1" t="n">
        <v>94.98</v>
      </c>
      <c r="Q1802" s="1" t="s">
        <v>20</v>
      </c>
      <c r="R1802" s="1" t="s">
        <v>27</v>
      </c>
      <c r="S1802" s="1" t="s">
        <v>28</v>
      </c>
      <c r="T1802" s="1" t="s">
        <v>29</v>
      </c>
    </row>
    <row r="1803" customFormat="false" ht="18.7" hidden="false" customHeight="true" outlineLevel="0" collapsed="false">
      <c r="A1803" s="1" t="n">
        <v>1802</v>
      </c>
      <c r="B1803" s="6" t="str">
        <f aca="false">HYPERLINK("https://mncourtfraud.com/file/MCRO_27-CR-21-20529_Order for Conditional Release_2022-06-21_20240430083157.pdf","MCRO_27-CR-21-20529_Order for Conditional Release_2022-06-21_20240430083157.pdf")</f>
        <v>MCRO_27-CR-21-20529_Order for Conditional Release_2022-06-21_20240430083157.pdf</v>
      </c>
      <c r="C1803" s="1" t="n">
        <v>4</v>
      </c>
      <c r="D1803" s="1" t="n">
        <v>1</v>
      </c>
      <c r="E1803" s="1" t="n">
        <v>1</v>
      </c>
      <c r="F1803" s="3" t="s">
        <v>20</v>
      </c>
      <c r="G1803" s="3" t="s">
        <v>7398</v>
      </c>
      <c r="H1803" s="1" t="s">
        <v>22</v>
      </c>
      <c r="I1803" s="1" t="n">
        <v>20240430083157</v>
      </c>
      <c r="J1803" s="3" t="s">
        <v>7377</v>
      </c>
      <c r="K1803" s="3" t="s">
        <v>7378</v>
      </c>
      <c r="L1803" s="3" t="s">
        <v>7399</v>
      </c>
      <c r="M1803" s="3" t="n">
        <v>745342</v>
      </c>
      <c r="N1803" s="3" t="s">
        <v>39</v>
      </c>
      <c r="O1803" s="1" t="n">
        <v>728956</v>
      </c>
      <c r="P1803" s="1" t="n">
        <v>97.8</v>
      </c>
      <c r="Q1803" s="1" t="s">
        <v>20</v>
      </c>
      <c r="R1803" s="1" t="s">
        <v>27</v>
      </c>
      <c r="S1803" s="1" t="s">
        <v>28</v>
      </c>
      <c r="T1803" s="1" t="s">
        <v>29</v>
      </c>
    </row>
    <row r="1804" customFormat="false" ht="18.7" hidden="false" customHeight="true" outlineLevel="0" collapsed="false">
      <c r="A1804" s="1" t="n">
        <v>1803</v>
      </c>
      <c r="B1804" s="6" t="str">
        <f aca="false">HYPERLINK("https://mncourtfraud.com/file/MCRO_27-CR-21-20529_Order Revoking Interim Conditions of Release_2022-03-25_20240430083204.pdf","MCRO_27-CR-21-20529_Order Revoking Interim Conditions of Release_2022-03-25_20240430083204.pdf")</f>
        <v>MCRO_27-CR-21-20529_Order Revoking Interim Conditions of Release_2022-03-25_20240430083204.pdf</v>
      </c>
      <c r="C1804" s="1" t="n">
        <v>5</v>
      </c>
      <c r="D1804" s="1" t="n">
        <v>4</v>
      </c>
      <c r="E1804" s="1" t="n">
        <v>4</v>
      </c>
      <c r="F1804" s="3" t="s">
        <v>20</v>
      </c>
      <c r="G1804" s="3" t="s">
        <v>7400</v>
      </c>
      <c r="H1804" s="1" t="s">
        <v>22</v>
      </c>
      <c r="I1804" s="1" t="n">
        <v>20240430083204</v>
      </c>
      <c r="J1804" s="3" t="s">
        <v>7401</v>
      </c>
      <c r="K1804" s="3" t="s">
        <v>7402</v>
      </c>
      <c r="L1804" s="3" t="s">
        <v>7403</v>
      </c>
      <c r="M1804" s="3" t="n">
        <v>383051</v>
      </c>
      <c r="N1804" s="3" t="s">
        <v>44</v>
      </c>
      <c r="O1804" s="1" t="n">
        <v>366665</v>
      </c>
      <c r="P1804" s="1" t="n">
        <v>95.72</v>
      </c>
      <c r="Q1804" s="1" t="s">
        <v>20</v>
      </c>
      <c r="R1804" s="1" t="s">
        <v>27</v>
      </c>
      <c r="S1804" s="1" t="s">
        <v>28</v>
      </c>
      <c r="T1804" s="1" t="s">
        <v>29</v>
      </c>
    </row>
    <row r="1805" customFormat="false" ht="18.7" hidden="false" customHeight="true" outlineLevel="0" collapsed="false">
      <c r="A1805" s="1" t="n">
        <v>1804</v>
      </c>
      <c r="B1805" s="6" t="str">
        <f aca="false">HYPERLINK("https://mncourtfraud.com/file/MCRO_27-CR-21-20529_Other Document_2021-11-05_20240430083210.pdf","MCRO_27-CR-21-20529_Other Document_2021-11-05_20240430083210.pdf")</f>
        <v>MCRO_27-CR-21-20529_Other Document_2021-11-05_20240430083210.pdf</v>
      </c>
      <c r="C1805" s="1" t="n">
        <v>4</v>
      </c>
      <c r="D1805" s="1" t="n">
        <v>1</v>
      </c>
      <c r="E1805" s="1" t="n">
        <v>1</v>
      </c>
      <c r="F1805" s="3" t="s">
        <v>20</v>
      </c>
      <c r="G1805" s="3" t="s">
        <v>7404</v>
      </c>
      <c r="H1805" s="1" t="s">
        <v>22</v>
      </c>
      <c r="I1805" s="1" t="n">
        <v>20240430083210</v>
      </c>
      <c r="J1805" s="3" t="s">
        <v>7405</v>
      </c>
      <c r="K1805" s="3" t="s">
        <v>7406</v>
      </c>
      <c r="L1805" s="3" t="s">
        <v>7407</v>
      </c>
      <c r="M1805" s="3" t="n">
        <v>107917</v>
      </c>
      <c r="N1805" s="3" t="s">
        <v>456</v>
      </c>
      <c r="O1805" s="1" t="n">
        <v>91531</v>
      </c>
      <c r="P1805" s="1" t="n">
        <v>84.82</v>
      </c>
      <c r="Q1805" s="1" t="s">
        <v>20</v>
      </c>
      <c r="R1805" s="1" t="s">
        <v>27</v>
      </c>
      <c r="S1805" s="1" t="s">
        <v>28</v>
      </c>
      <c r="T1805" s="1" t="s">
        <v>29</v>
      </c>
    </row>
    <row r="1806" customFormat="false" ht="18.7" hidden="false" customHeight="true" outlineLevel="0" collapsed="false">
      <c r="A1806" s="1" t="n">
        <v>1805</v>
      </c>
      <c r="B1806" s="6" t="str">
        <f aca="false">HYPERLINK("https://mncourtfraud.com/file/MCRO_27-CR-21-20529_Proposed Order or Document_2022-03-25_20240430083205.pdf","MCRO_27-CR-21-20529_Proposed Order or Document_2022-03-25_20240430083205.pdf")</f>
        <v>MCRO_27-CR-21-20529_Proposed Order or Document_2022-03-25_20240430083205.pdf</v>
      </c>
      <c r="C1806" s="1" t="n">
        <v>3</v>
      </c>
      <c r="D1806" s="1" t="n">
        <v>1</v>
      </c>
      <c r="E1806" s="1" t="n">
        <v>1</v>
      </c>
      <c r="F1806" s="3" t="s">
        <v>20</v>
      </c>
      <c r="G1806" s="3" t="s">
        <v>7408</v>
      </c>
      <c r="H1806" s="1" t="s">
        <v>22</v>
      </c>
      <c r="I1806" s="1" t="n">
        <v>20240430083205</v>
      </c>
      <c r="J1806" s="3" t="s">
        <v>7409</v>
      </c>
      <c r="K1806" s="3" t="s">
        <v>7410</v>
      </c>
      <c r="L1806" s="3" t="s">
        <v>7411</v>
      </c>
      <c r="M1806" s="3" t="n">
        <v>218724</v>
      </c>
      <c r="N1806" s="3" t="s">
        <v>1145</v>
      </c>
      <c r="O1806" s="1" t="n">
        <v>202338</v>
      </c>
      <c r="P1806" s="1" t="n">
        <v>92.51</v>
      </c>
      <c r="Q1806" s="1" t="s">
        <v>20</v>
      </c>
      <c r="R1806" s="1" t="s">
        <v>27</v>
      </c>
      <c r="S1806" s="1" t="s">
        <v>28</v>
      </c>
      <c r="T1806" s="1" t="s">
        <v>29</v>
      </c>
    </row>
    <row r="1807" customFormat="false" ht="18.7" hidden="false" customHeight="true" outlineLevel="0" collapsed="false">
      <c r="A1807" s="1" t="n">
        <v>1806</v>
      </c>
      <c r="B1807" s="6" t="str">
        <f aca="false">HYPERLINK("https://mncourtfraud.com/file/MCRO_27-CR-21-20529_Returned Mail_2022-05-20_20240430083159.pdf","MCRO_27-CR-21-20529_Returned Mail_2022-05-20_20240430083159.pdf")</f>
        <v>MCRO_27-CR-21-20529_Returned Mail_2022-05-20_20240430083159.pdf</v>
      </c>
      <c r="C1807" s="1" t="n">
        <v>4</v>
      </c>
      <c r="D1807" s="1" t="n">
        <v>1</v>
      </c>
      <c r="E1807" s="1" t="n">
        <v>1</v>
      </c>
      <c r="F1807" s="3" t="s">
        <v>20</v>
      </c>
      <c r="G1807" s="3" t="s">
        <v>7412</v>
      </c>
      <c r="H1807" s="1" t="s">
        <v>22</v>
      </c>
      <c r="I1807" s="1" t="n">
        <v>20240430083159</v>
      </c>
      <c r="J1807" s="3" t="s">
        <v>7413</v>
      </c>
      <c r="K1807" s="3" t="s">
        <v>7414</v>
      </c>
      <c r="L1807" s="3" t="s">
        <v>7415</v>
      </c>
      <c r="M1807" s="3" t="n">
        <v>71624</v>
      </c>
      <c r="N1807" s="3" t="s">
        <v>1307</v>
      </c>
      <c r="O1807" s="1" t="n">
        <v>55238</v>
      </c>
      <c r="P1807" s="1" t="n">
        <v>77.12</v>
      </c>
      <c r="Q1807" s="1" t="s">
        <v>20</v>
      </c>
      <c r="R1807" s="1" t="s">
        <v>27</v>
      </c>
      <c r="S1807" s="1" t="s">
        <v>28</v>
      </c>
      <c r="T1807" s="1" t="s">
        <v>29</v>
      </c>
    </row>
    <row r="1808" customFormat="false" ht="18.7" hidden="false" customHeight="true" outlineLevel="0" collapsed="false">
      <c r="A1808" s="1" t="n">
        <v>1807</v>
      </c>
      <c r="B1808" s="6" t="str">
        <f aca="false">HYPERLINK("https://mncourtfraud.com/file/MCRO_27-CR-21-20529_Returned Mail_2022-12-07_20240430083153.pdf","MCRO_27-CR-21-20529_Returned Mail_2022-12-07_20240430083153.pdf")</f>
        <v>MCRO_27-CR-21-20529_Returned Mail_2022-12-07_20240430083153.pdf</v>
      </c>
      <c r="C1808" s="1" t="n">
        <v>4</v>
      </c>
      <c r="D1808" s="1" t="n">
        <v>1</v>
      </c>
      <c r="E1808" s="1" t="n">
        <v>1</v>
      </c>
      <c r="F1808" s="3" t="s">
        <v>20</v>
      </c>
      <c r="G1808" s="3" t="s">
        <v>7416</v>
      </c>
      <c r="H1808" s="1" t="s">
        <v>22</v>
      </c>
      <c r="I1808" s="1" t="n">
        <v>20240430083153</v>
      </c>
      <c r="J1808" s="3" t="s">
        <v>7417</v>
      </c>
      <c r="K1808" s="3" t="s">
        <v>7418</v>
      </c>
      <c r="L1808" s="3" t="s">
        <v>7419</v>
      </c>
      <c r="M1808" s="3" t="n">
        <v>1088556</v>
      </c>
      <c r="N1808" s="3" t="s">
        <v>104</v>
      </c>
      <c r="O1808" s="1" t="n">
        <v>1072170</v>
      </c>
      <c r="P1808" s="1" t="n">
        <v>98.49</v>
      </c>
      <c r="Q1808" s="1" t="s">
        <v>20</v>
      </c>
      <c r="R1808" s="1" t="s">
        <v>27</v>
      </c>
      <c r="S1808" s="1" t="s">
        <v>28</v>
      </c>
      <c r="T1808" s="1" t="s">
        <v>29</v>
      </c>
    </row>
    <row r="1809" customFormat="false" ht="18.7" hidden="false" customHeight="true" outlineLevel="0" collapsed="false">
      <c r="A1809" s="1" t="n">
        <v>1808</v>
      </c>
      <c r="B1809" s="6" t="str">
        <f aca="false">HYPERLINK("https://mncourtfraud.com/file/MCRO_27-CR-21-20637_Correspondence for Judicial Approval_2022-01-27_20240430083258.pdf","MCRO_27-CR-21-20637_Correspondence for Judicial Approval_2022-01-27_20240430083258.pdf")</f>
        <v>MCRO_27-CR-21-20637_Correspondence for Judicial Approval_2022-01-27_20240430083258.pdf</v>
      </c>
      <c r="C1809" s="1" t="n">
        <v>4</v>
      </c>
      <c r="D1809" s="1" t="n">
        <v>1</v>
      </c>
      <c r="E1809" s="1" t="n">
        <v>1</v>
      </c>
      <c r="F1809" s="3" t="s">
        <v>20</v>
      </c>
      <c r="G1809" s="3" t="s">
        <v>7420</v>
      </c>
      <c r="H1809" s="1" t="s">
        <v>22</v>
      </c>
      <c r="I1809" s="1" t="n">
        <v>20240430083258</v>
      </c>
      <c r="J1809" s="3" t="s">
        <v>7421</v>
      </c>
      <c r="K1809" s="3" t="s">
        <v>7422</v>
      </c>
      <c r="L1809" s="3" t="s">
        <v>7423</v>
      </c>
      <c r="M1809" s="3" t="n">
        <v>206215</v>
      </c>
      <c r="N1809" s="3" t="s">
        <v>1690</v>
      </c>
      <c r="O1809" s="1" t="n">
        <v>189829</v>
      </c>
      <c r="P1809" s="1" t="n">
        <v>92.05</v>
      </c>
      <c r="Q1809" s="1" t="s">
        <v>20</v>
      </c>
      <c r="R1809" s="1" t="s">
        <v>27</v>
      </c>
      <c r="S1809" s="1" t="s">
        <v>28</v>
      </c>
      <c r="T1809" s="1" t="s">
        <v>29</v>
      </c>
    </row>
    <row r="1810" customFormat="false" ht="18.7" hidden="false" customHeight="true" outlineLevel="0" collapsed="false">
      <c r="A1810" s="1" t="n">
        <v>1809</v>
      </c>
      <c r="B1810" s="6" t="str">
        <f aca="false">HYPERLINK("https://mncourtfraud.com/file/MCRO_27-CR-21-20637_Demand or Request for Discovery_2021-11-09_20240430083301.pdf","MCRO_27-CR-21-20637_Demand or Request for Discovery_2021-11-09_20240430083301.pdf")</f>
        <v>MCRO_27-CR-21-20637_Demand or Request for Discovery_2021-11-09_20240430083301.pdf</v>
      </c>
      <c r="C1810" s="1" t="n">
        <v>3</v>
      </c>
      <c r="D1810" s="1" t="n">
        <v>1</v>
      </c>
      <c r="E1810" s="1" t="n">
        <v>1</v>
      </c>
      <c r="F1810" s="3" t="s">
        <v>20</v>
      </c>
      <c r="G1810" s="3" t="s">
        <v>7424</v>
      </c>
      <c r="H1810" s="1" t="s">
        <v>22</v>
      </c>
      <c r="I1810" s="1" t="n">
        <v>20240430083301</v>
      </c>
      <c r="J1810" s="3" t="s">
        <v>7425</v>
      </c>
      <c r="K1810" s="3" t="s">
        <v>7426</v>
      </c>
      <c r="L1810" s="3" t="s">
        <v>7427</v>
      </c>
      <c r="M1810" s="3" t="n">
        <v>316738</v>
      </c>
      <c r="N1810" s="3" t="s">
        <v>2768</v>
      </c>
      <c r="O1810" s="1" t="n">
        <v>300352</v>
      </c>
      <c r="P1810" s="1" t="n">
        <v>94.83</v>
      </c>
      <c r="Q1810" s="1" t="s">
        <v>20</v>
      </c>
      <c r="R1810" s="1" t="s">
        <v>27</v>
      </c>
      <c r="S1810" s="1" t="s">
        <v>28</v>
      </c>
      <c r="T1810" s="1" t="s">
        <v>29</v>
      </c>
    </row>
    <row r="1811" customFormat="false" ht="18.7" hidden="false" customHeight="true" outlineLevel="0" collapsed="false">
      <c r="A1811" s="1" t="n">
        <v>1810</v>
      </c>
      <c r="B1811" s="6" t="str">
        <f aca="false">HYPERLINK("https://mncourtfraud.com/file/MCRO_27-CR-21-20637_E-filed Comp-Order for Detention_2021-11-05_20240430083304.pdf","MCRO_27-CR-21-20637_E-filed Comp-Order for Detention_2021-11-05_20240430083304.pdf")</f>
        <v>MCRO_27-CR-21-20637_E-filed Comp-Order for Detention_2021-11-05_20240430083304.pdf</v>
      </c>
      <c r="C1811" s="1" t="n">
        <v>4</v>
      </c>
      <c r="D1811" s="1" t="n">
        <v>2</v>
      </c>
      <c r="E1811" s="1" t="n">
        <v>2</v>
      </c>
      <c r="F1811" s="3" t="s">
        <v>20</v>
      </c>
      <c r="G1811" s="3" t="s">
        <v>7428</v>
      </c>
      <c r="H1811" s="1" t="s">
        <v>22</v>
      </c>
      <c r="I1811" s="1" t="n">
        <v>20240430083304</v>
      </c>
      <c r="J1811" s="3" t="s">
        <v>7429</v>
      </c>
      <c r="K1811" s="3" t="s">
        <v>7430</v>
      </c>
      <c r="L1811" s="3" t="s">
        <v>7431</v>
      </c>
      <c r="M1811" s="3" t="n">
        <v>501225</v>
      </c>
      <c r="N1811" s="3" t="s">
        <v>1707</v>
      </c>
      <c r="O1811" s="1" t="n">
        <v>484839</v>
      </c>
      <c r="P1811" s="1" t="n">
        <v>96.73</v>
      </c>
      <c r="Q1811" s="1" t="s">
        <v>20</v>
      </c>
      <c r="R1811" s="1" t="s">
        <v>27</v>
      </c>
      <c r="S1811" s="1" t="s">
        <v>28</v>
      </c>
      <c r="T1811" s="1" t="s">
        <v>29</v>
      </c>
    </row>
    <row r="1812" customFormat="false" ht="18.7" hidden="false" customHeight="true" outlineLevel="0" collapsed="false">
      <c r="A1812" s="1" t="n">
        <v>1811</v>
      </c>
      <c r="B1812" s="6" t="str">
        <f aca="false">HYPERLINK("https://mncourtfraud.com/file/MCRO_27-CR-21-20637_Findings and Order_2021-11-23_20240430083300.pdf","MCRO_27-CR-21-20637_Findings and Order_2021-11-23_20240430083300.pdf")</f>
        <v>MCRO_27-CR-21-20637_Findings and Order_2021-11-23_20240430083300.pdf</v>
      </c>
      <c r="C1812" s="1" t="n">
        <v>4</v>
      </c>
      <c r="D1812" s="1" t="n">
        <v>2</v>
      </c>
      <c r="E1812" s="1" t="n">
        <v>2</v>
      </c>
      <c r="F1812" s="3" t="s">
        <v>20</v>
      </c>
      <c r="G1812" s="3" t="s">
        <v>7432</v>
      </c>
      <c r="H1812" s="1" t="s">
        <v>22</v>
      </c>
      <c r="I1812" s="1" t="n">
        <v>20240430083300</v>
      </c>
      <c r="J1812" s="3" t="s">
        <v>7433</v>
      </c>
      <c r="K1812" s="3" t="s">
        <v>7434</v>
      </c>
      <c r="L1812" s="3" t="s">
        <v>7435</v>
      </c>
      <c r="M1812" s="3" t="n">
        <v>302346</v>
      </c>
      <c r="N1812" s="3" t="s">
        <v>7436</v>
      </c>
      <c r="O1812" s="1" t="n">
        <v>285960</v>
      </c>
      <c r="P1812" s="1" t="n">
        <v>94.58</v>
      </c>
      <c r="Q1812" s="1" t="s">
        <v>20</v>
      </c>
      <c r="R1812" s="1" t="s">
        <v>27</v>
      </c>
      <c r="S1812" s="1" t="s">
        <v>28</v>
      </c>
      <c r="T1812" s="1" t="s">
        <v>29</v>
      </c>
    </row>
    <row r="1813" customFormat="false" ht="18.7" hidden="false" customHeight="true" outlineLevel="0" collapsed="false">
      <c r="A1813" s="1" t="n">
        <v>1812</v>
      </c>
      <c r="B1813" s="6" t="str">
        <f aca="false">HYPERLINK("https://mncourtfraud.com/file/MCRO_27-CR-21-20637_Notice of Remote Hearing with Instructions_2023-06-28_20240430083252.pdf","MCRO_27-CR-21-20637_Notice of Remote Hearing with Instructions_2023-06-28_20240430083252.pdf")</f>
        <v>MCRO_27-CR-21-20637_Notice of Remote Hearing with Instructions_2023-06-28_20240430083252.pdf</v>
      </c>
      <c r="C1813" s="1" t="n">
        <v>5</v>
      </c>
      <c r="D1813" s="1" t="n">
        <v>1</v>
      </c>
      <c r="E1813" s="1" t="n">
        <v>1</v>
      </c>
      <c r="F1813" s="3" t="s">
        <v>20</v>
      </c>
      <c r="G1813" s="3" t="s">
        <v>7437</v>
      </c>
      <c r="H1813" s="1" t="s">
        <v>22</v>
      </c>
      <c r="I1813" s="1" t="n">
        <v>20240430083252</v>
      </c>
      <c r="J1813" s="3" t="s">
        <v>7438</v>
      </c>
      <c r="K1813" s="3" t="s">
        <v>7439</v>
      </c>
      <c r="L1813" s="3" t="s">
        <v>7440</v>
      </c>
      <c r="M1813" s="3" t="n">
        <v>844883</v>
      </c>
      <c r="N1813" s="3" t="s">
        <v>510</v>
      </c>
      <c r="O1813" s="1" t="n">
        <v>828497</v>
      </c>
      <c r="P1813" s="1" t="n">
        <v>98.06</v>
      </c>
      <c r="Q1813" s="1" t="s">
        <v>20</v>
      </c>
      <c r="R1813" s="1" t="s">
        <v>27</v>
      </c>
      <c r="S1813" s="1" t="s">
        <v>28</v>
      </c>
      <c r="T1813" s="1" t="s">
        <v>29</v>
      </c>
    </row>
    <row r="1814" customFormat="false" ht="18.7" hidden="false" customHeight="true" outlineLevel="0" collapsed="false">
      <c r="A1814" s="1" t="n">
        <v>1813</v>
      </c>
      <c r="B1814" s="6" t="str">
        <f aca="false">HYPERLINK("https://mncourtfraud.com/file/MCRO_27-CR-21-20637_Notice of Remote Hearing with Instructions_2023-11-09_20240430083250.pdf","MCRO_27-CR-21-20637_Notice of Remote Hearing with Instructions_2023-11-09_20240430083250.pdf")</f>
        <v>MCRO_27-CR-21-20637_Notice of Remote Hearing with Instructions_2023-11-09_20240430083250.pdf</v>
      </c>
      <c r="C1814" s="1" t="n">
        <v>3</v>
      </c>
      <c r="D1814" s="1" t="n">
        <v>1</v>
      </c>
      <c r="E1814" s="1" t="n">
        <v>1</v>
      </c>
      <c r="F1814" s="3" t="s">
        <v>20</v>
      </c>
      <c r="G1814" s="3" t="s">
        <v>7441</v>
      </c>
      <c r="H1814" s="1" t="s">
        <v>22</v>
      </c>
      <c r="I1814" s="1" t="n">
        <v>20240430083250</v>
      </c>
      <c r="J1814" s="3" t="s">
        <v>7442</v>
      </c>
      <c r="K1814" s="3" t="s">
        <v>7443</v>
      </c>
      <c r="L1814" s="3" t="s">
        <v>7444</v>
      </c>
      <c r="M1814" s="3" t="n">
        <v>741958</v>
      </c>
      <c r="N1814" s="3" t="s">
        <v>7445</v>
      </c>
      <c r="O1814" s="1" t="n">
        <v>725572</v>
      </c>
      <c r="P1814" s="1" t="n">
        <v>97.79</v>
      </c>
      <c r="Q1814" s="1" t="s">
        <v>20</v>
      </c>
      <c r="R1814" s="1" t="s">
        <v>27</v>
      </c>
      <c r="S1814" s="1" t="s">
        <v>28</v>
      </c>
      <c r="T1814" s="1" t="s">
        <v>29</v>
      </c>
    </row>
    <row r="1815" customFormat="false" ht="18.7" hidden="false" customHeight="true" outlineLevel="0" collapsed="false">
      <c r="A1815" s="1" t="n">
        <v>1814</v>
      </c>
      <c r="B1815" s="6" t="str">
        <f aca="false">HYPERLINK("https://mncourtfraud.com/file/MCRO_27-CR-21-20637_Notice of Remote Hearing with Instructions_2024-01-23_20240430083247.pdf","MCRO_27-CR-21-20637_Notice of Remote Hearing with Instructions_2024-01-23_20240430083247.pdf")</f>
        <v>MCRO_27-CR-21-20637_Notice of Remote Hearing with Instructions_2024-01-23_20240430083247.pdf</v>
      </c>
      <c r="C1815" s="1" t="n">
        <v>4</v>
      </c>
      <c r="D1815" s="1" t="n">
        <v>1</v>
      </c>
      <c r="E1815" s="1" t="n">
        <v>1</v>
      </c>
      <c r="F1815" s="3" t="s">
        <v>20</v>
      </c>
      <c r="G1815" s="3" t="s">
        <v>7446</v>
      </c>
      <c r="H1815" s="1" t="s">
        <v>22</v>
      </c>
      <c r="I1815" s="1" t="n">
        <v>20240430083247</v>
      </c>
      <c r="J1815" s="3" t="s">
        <v>7447</v>
      </c>
      <c r="K1815" s="3" t="s">
        <v>7448</v>
      </c>
      <c r="L1815" s="3" t="s">
        <v>7449</v>
      </c>
      <c r="M1815" s="3" t="n">
        <v>286917</v>
      </c>
      <c r="N1815" s="3" t="s">
        <v>3103</v>
      </c>
      <c r="O1815" s="1" t="n">
        <v>270531</v>
      </c>
      <c r="P1815" s="1" t="n">
        <v>94.29</v>
      </c>
      <c r="Q1815" s="1" t="s">
        <v>20</v>
      </c>
      <c r="R1815" s="1" t="s">
        <v>27</v>
      </c>
      <c r="S1815" s="1" t="s">
        <v>28</v>
      </c>
      <c r="T1815" s="1" t="s">
        <v>29</v>
      </c>
    </row>
    <row r="1816" customFormat="false" ht="18.7" hidden="false" customHeight="true" outlineLevel="0" collapsed="false">
      <c r="A1816" s="1" t="n">
        <v>1815</v>
      </c>
      <c r="B1816" s="6" t="str">
        <f aca="false">HYPERLINK("https://mncourtfraud.com/file/MCRO_27-CR-21-20637_Notice of Remote Hearing with Instructions_2024-01-23_20240430083249.pdf","MCRO_27-CR-21-20637_Notice of Remote Hearing with Instructions_2024-01-23_20240430083249.pdf")</f>
        <v>MCRO_27-CR-21-20637_Notice of Remote Hearing with Instructions_2024-01-23_20240430083249.pdf</v>
      </c>
      <c r="C1816" s="1" t="n">
        <v>4</v>
      </c>
      <c r="D1816" s="1" t="n">
        <v>1</v>
      </c>
      <c r="E1816" s="1" t="n">
        <v>1</v>
      </c>
      <c r="F1816" s="3" t="s">
        <v>20</v>
      </c>
      <c r="G1816" s="3" t="s">
        <v>7450</v>
      </c>
      <c r="H1816" s="1" t="s">
        <v>22</v>
      </c>
      <c r="I1816" s="1" t="n">
        <v>20240430083249</v>
      </c>
      <c r="J1816" s="3" t="s">
        <v>7451</v>
      </c>
      <c r="K1816" s="3" t="s">
        <v>7452</v>
      </c>
      <c r="L1816" s="3" t="s">
        <v>7453</v>
      </c>
      <c r="M1816" s="3" t="n">
        <v>269228</v>
      </c>
      <c r="N1816" s="3" t="s">
        <v>74</v>
      </c>
      <c r="O1816" s="1" t="n">
        <v>252842</v>
      </c>
      <c r="P1816" s="1" t="n">
        <v>93.91</v>
      </c>
      <c r="Q1816" s="1" t="s">
        <v>20</v>
      </c>
      <c r="R1816" s="1" t="s">
        <v>27</v>
      </c>
      <c r="S1816" s="1" t="s">
        <v>28</v>
      </c>
      <c r="T1816" s="1" t="s">
        <v>29</v>
      </c>
    </row>
    <row r="1817" customFormat="false" ht="18.7" hidden="false" customHeight="true" outlineLevel="0" collapsed="false">
      <c r="A1817" s="1" t="n">
        <v>1816</v>
      </c>
      <c r="B1817" s="6" t="str">
        <f aca="false">HYPERLINK("https://mncourtfraud.com/file/MCRO_27-CR-21-20637_Notice of Remote Hearing with Instructions_2024-03-12_20240430083246.pdf","MCRO_27-CR-21-20637_Notice of Remote Hearing with Instructions_2024-03-12_20240430083246.pdf")</f>
        <v>MCRO_27-CR-21-20637_Notice of Remote Hearing with Instructions_2024-03-12_20240430083246.pdf</v>
      </c>
      <c r="C1817" s="1" t="n">
        <v>4</v>
      </c>
      <c r="D1817" s="1" t="n">
        <v>1</v>
      </c>
      <c r="E1817" s="1" t="n">
        <v>1</v>
      </c>
      <c r="F1817" s="3" t="s">
        <v>20</v>
      </c>
      <c r="G1817" s="3" t="s">
        <v>7454</v>
      </c>
      <c r="H1817" s="1" t="s">
        <v>22</v>
      </c>
      <c r="I1817" s="1" t="n">
        <v>20240430083246</v>
      </c>
      <c r="J1817" s="3" t="s">
        <v>7455</v>
      </c>
      <c r="K1817" s="3" t="s">
        <v>7456</v>
      </c>
      <c r="L1817" s="3" t="s">
        <v>7457</v>
      </c>
      <c r="M1817" s="3" t="n">
        <v>255427</v>
      </c>
      <c r="N1817" s="3" t="s">
        <v>74</v>
      </c>
      <c r="O1817" s="1" t="n">
        <v>239041</v>
      </c>
      <c r="P1817" s="1" t="n">
        <v>93.58</v>
      </c>
      <c r="Q1817" s="1" t="s">
        <v>20</v>
      </c>
      <c r="R1817" s="1" t="s">
        <v>27</v>
      </c>
      <c r="S1817" s="1" t="s">
        <v>28</v>
      </c>
      <c r="T1817" s="1" t="s">
        <v>29</v>
      </c>
    </row>
    <row r="1818" customFormat="false" ht="18.7" hidden="false" customHeight="true" outlineLevel="0" collapsed="false">
      <c r="A1818" s="1" t="n">
        <v>1817</v>
      </c>
      <c r="B1818" s="6" t="str">
        <f aca="false">HYPERLINK("https://mncourtfraud.com/file/MCRO_27-CR-21-20637_Order-Evaluation for Competency to Proceed (Rule 20.01)_2021-11-08_20240430083302.pdf","MCRO_27-CR-21-20637_Order-Evaluation for Competency to Proceed (Rule 20.01)_2021-11-08_20240430083302.pdf")</f>
        <v>MCRO_27-CR-21-20637_Order-Evaluation for Competency to Proceed (Rule 20.01)_2021-11-08_20240430083302.pdf</v>
      </c>
      <c r="C1818" s="1" t="n">
        <v>4</v>
      </c>
      <c r="D1818" s="1" t="n">
        <v>1</v>
      </c>
      <c r="E1818" s="1" t="n">
        <v>1</v>
      </c>
      <c r="F1818" s="3" t="s">
        <v>20</v>
      </c>
      <c r="G1818" s="3" t="s">
        <v>7458</v>
      </c>
      <c r="H1818" s="1" t="s">
        <v>22</v>
      </c>
      <c r="I1818" s="1" t="n">
        <v>20240430083302</v>
      </c>
      <c r="J1818" s="3" t="s">
        <v>7459</v>
      </c>
      <c r="K1818" s="3" t="s">
        <v>7460</v>
      </c>
      <c r="L1818" s="3" t="s">
        <v>7461</v>
      </c>
      <c r="M1818" s="3" t="n">
        <v>186139</v>
      </c>
      <c r="N1818" s="3" t="s">
        <v>1065</v>
      </c>
      <c r="O1818" s="1" t="n">
        <v>169753</v>
      </c>
      <c r="P1818" s="1" t="n">
        <v>91.2</v>
      </c>
      <c r="Q1818" s="1" t="s">
        <v>20</v>
      </c>
      <c r="R1818" s="1" t="s">
        <v>27</v>
      </c>
      <c r="S1818" s="1" t="s">
        <v>28</v>
      </c>
      <c r="T1818" s="1" t="s">
        <v>29</v>
      </c>
    </row>
    <row r="1819" customFormat="false" ht="18.7" hidden="false" customHeight="true" outlineLevel="0" collapsed="false">
      <c r="A1819" s="1" t="n">
        <v>1818</v>
      </c>
      <c r="B1819" s="6" t="str">
        <f aca="false">HYPERLINK("https://mncourtfraud.com/file/MCRO_27-CR-21-20637_Order-Evaluation for Competency to Proceed (Rule 20.01)_2023-03-14_20240430083253.pdf","MCRO_27-CR-21-20637_Order-Evaluation for Competency to Proceed (Rule 20.01)_2023-03-14_20240430083253.pdf")</f>
        <v>MCRO_27-CR-21-20637_Order-Evaluation for Competency to Proceed (Rule 20.01)_2023-03-14_20240430083253.pdf</v>
      </c>
      <c r="C1819" s="1" t="n">
        <v>6</v>
      </c>
      <c r="D1819" s="1" t="n">
        <v>2</v>
      </c>
      <c r="E1819" s="1" t="n">
        <v>2</v>
      </c>
      <c r="F1819" s="3" t="s">
        <v>27</v>
      </c>
      <c r="G1819" s="3" t="s">
        <v>7462</v>
      </c>
      <c r="H1819" s="1" t="s">
        <v>22</v>
      </c>
      <c r="I1819" s="1" t="n">
        <v>20240430083253</v>
      </c>
      <c r="J1819" s="3" t="s">
        <v>7463</v>
      </c>
      <c r="K1819" s="3" t="s">
        <v>7464</v>
      </c>
      <c r="L1819" s="3" t="s">
        <v>7465</v>
      </c>
      <c r="M1819" s="3" t="n">
        <v>892539</v>
      </c>
      <c r="N1819" s="3" t="s">
        <v>810</v>
      </c>
      <c r="O1819" s="1" t="n">
        <v>876153</v>
      </c>
      <c r="P1819" s="1" t="n">
        <v>98.16</v>
      </c>
      <c r="Q1819" s="1" t="s">
        <v>20</v>
      </c>
      <c r="R1819" s="1" t="s">
        <v>27</v>
      </c>
      <c r="S1819" s="1" t="s">
        <v>28</v>
      </c>
      <c r="T1819" s="1" t="s">
        <v>29</v>
      </c>
    </row>
    <row r="1820" customFormat="false" ht="18.7" hidden="false" customHeight="true" outlineLevel="0" collapsed="false">
      <c r="A1820" s="1" t="n">
        <v>1819</v>
      </c>
      <c r="B1820" s="6" t="str">
        <f aca="false">HYPERLINK("https://mncourtfraud.com/file/MCRO_27-CR-21-20637_Order-Evaluation for Competency to Proceed (Rule 20.01)_2023-11-09_20240430083251.pdf","MCRO_27-CR-21-20637_Order-Evaluation for Competency to Proceed (Rule 20.01)_2023-11-09_20240430083251.pdf")</f>
        <v>MCRO_27-CR-21-20637_Order-Evaluation for Competency to Proceed (Rule 20.01)_2023-11-09_20240430083251.pdf</v>
      </c>
      <c r="C1820" s="1" t="n">
        <v>3</v>
      </c>
      <c r="D1820" s="1" t="n">
        <v>1</v>
      </c>
      <c r="E1820" s="1" t="n">
        <v>1</v>
      </c>
      <c r="F1820" s="3" t="s">
        <v>20</v>
      </c>
      <c r="G1820" s="3" t="s">
        <v>7466</v>
      </c>
      <c r="H1820" s="1" t="s">
        <v>22</v>
      </c>
      <c r="I1820" s="1" t="n">
        <v>20240430083251</v>
      </c>
      <c r="J1820" s="3" t="s">
        <v>7467</v>
      </c>
      <c r="K1820" s="3" t="s">
        <v>7468</v>
      </c>
      <c r="L1820" s="3" t="s">
        <v>7469</v>
      </c>
      <c r="M1820" s="3" t="n">
        <v>837227</v>
      </c>
      <c r="N1820" s="3" t="s">
        <v>34</v>
      </c>
      <c r="O1820" s="1" t="n">
        <v>820841</v>
      </c>
      <c r="P1820" s="1" t="n">
        <v>98.04</v>
      </c>
      <c r="Q1820" s="1" t="s">
        <v>20</v>
      </c>
      <c r="R1820" s="1" t="s">
        <v>27</v>
      </c>
      <c r="S1820" s="1" t="s">
        <v>28</v>
      </c>
      <c r="T1820" s="1" t="s">
        <v>29</v>
      </c>
    </row>
    <row r="1821" customFormat="false" ht="18.7" hidden="false" customHeight="true" outlineLevel="0" collapsed="false">
      <c r="A1821" s="1" t="n">
        <v>1820</v>
      </c>
      <c r="B1821" s="6" t="str">
        <f aca="false">HYPERLINK("https://mncourtfraud.com/file/MCRO_27-CR-21-20637_Order for Conditional Release_2021-11-23_20240430083259.pdf","MCRO_27-CR-21-20637_Order for Conditional Release_2021-11-23_20240430083259.pdf")</f>
        <v>MCRO_27-CR-21-20637_Order for Conditional Release_2021-11-23_20240430083259.pdf</v>
      </c>
      <c r="C1821" s="1" t="n">
        <v>6</v>
      </c>
      <c r="D1821" s="1" t="n">
        <v>1</v>
      </c>
      <c r="E1821" s="1" t="n">
        <v>1</v>
      </c>
      <c r="F1821" s="3" t="s">
        <v>20</v>
      </c>
      <c r="G1821" s="3" t="s">
        <v>7470</v>
      </c>
      <c r="H1821" s="1" t="s">
        <v>22</v>
      </c>
      <c r="I1821" s="1" t="n">
        <v>20240430083259</v>
      </c>
      <c r="J1821" s="3" t="s">
        <v>7471</v>
      </c>
      <c r="K1821" s="3" t="s">
        <v>7472</v>
      </c>
      <c r="L1821" s="3" t="s">
        <v>7473</v>
      </c>
      <c r="M1821" s="3" t="n">
        <v>365395</v>
      </c>
      <c r="N1821" s="3" t="s">
        <v>7474</v>
      </c>
      <c r="O1821" s="1" t="n">
        <v>349009</v>
      </c>
      <c r="P1821" s="1" t="n">
        <v>95.52</v>
      </c>
      <c r="Q1821" s="1" t="s">
        <v>20</v>
      </c>
      <c r="R1821" s="1" t="s">
        <v>27</v>
      </c>
      <c r="S1821" s="1" t="s">
        <v>28</v>
      </c>
      <c r="T1821" s="1" t="s">
        <v>29</v>
      </c>
    </row>
    <row r="1822" customFormat="false" ht="18.7" hidden="false" customHeight="true" outlineLevel="0" collapsed="false">
      <c r="A1822" s="1" t="n">
        <v>1821</v>
      </c>
      <c r="B1822" s="6" t="str">
        <f aca="false">HYPERLINK("https://mncourtfraud.com/file/MCRO_27-CR-21-20637_Order for Production of Medical Records_2022-01-28_20240430083257.pdf","MCRO_27-CR-21-20637_Order for Production of Medical Records_2022-01-28_20240430083257.pdf")</f>
        <v>MCRO_27-CR-21-20637_Order for Production of Medical Records_2022-01-28_20240430083257.pdf</v>
      </c>
      <c r="C1822" s="1" t="n">
        <v>3</v>
      </c>
      <c r="D1822" s="1" t="n">
        <v>1</v>
      </c>
      <c r="E1822" s="1" t="n">
        <v>1</v>
      </c>
      <c r="F1822" s="3" t="s">
        <v>20</v>
      </c>
      <c r="G1822" s="3" t="s">
        <v>7475</v>
      </c>
      <c r="H1822" s="1" t="s">
        <v>22</v>
      </c>
      <c r="I1822" s="1" t="n">
        <v>20240430083257</v>
      </c>
      <c r="J1822" s="3" t="s">
        <v>7476</v>
      </c>
      <c r="K1822" s="3" t="s">
        <v>7477</v>
      </c>
      <c r="L1822" s="3" t="s">
        <v>7478</v>
      </c>
      <c r="M1822" s="3" t="n">
        <v>157696</v>
      </c>
      <c r="N1822" s="3" t="s">
        <v>7173</v>
      </c>
      <c r="O1822" s="1" t="n">
        <v>141310</v>
      </c>
      <c r="P1822" s="1" t="n">
        <v>89.61</v>
      </c>
      <c r="Q1822" s="1" t="s">
        <v>20</v>
      </c>
      <c r="R1822" s="1" t="s">
        <v>27</v>
      </c>
      <c r="S1822" s="1" t="s">
        <v>28</v>
      </c>
      <c r="T1822" s="1" t="s">
        <v>29</v>
      </c>
    </row>
    <row r="1823" customFormat="false" ht="18.7" hidden="false" customHeight="true" outlineLevel="0" collapsed="false">
      <c r="A1823" s="1" t="n">
        <v>1822</v>
      </c>
      <c r="B1823" s="6" t="str">
        <f aca="false">HYPERLINK("https://mncourtfraud.com/file/MCRO_27-CR-21-20637_Order-Other_2022-02-17_20240430083255.pdf","MCRO_27-CR-21-20637_Order-Other_2022-02-17_20240430083255.pdf")</f>
        <v>MCRO_27-CR-21-20637_Order-Other_2022-02-17_20240430083255.pdf</v>
      </c>
      <c r="C1823" s="1" t="n">
        <v>3</v>
      </c>
      <c r="D1823" s="1" t="n">
        <v>1</v>
      </c>
      <c r="E1823" s="1" t="n">
        <v>1</v>
      </c>
      <c r="F1823" s="3" t="s">
        <v>20</v>
      </c>
      <c r="G1823" s="3" t="s">
        <v>7479</v>
      </c>
      <c r="H1823" s="1" t="s">
        <v>22</v>
      </c>
      <c r="I1823" s="1" t="n">
        <v>20240430083255</v>
      </c>
      <c r="J1823" s="3" t="s">
        <v>7480</v>
      </c>
      <c r="K1823" s="3" t="s">
        <v>7481</v>
      </c>
      <c r="L1823" s="3" t="s">
        <v>7482</v>
      </c>
      <c r="M1823" s="3" t="n">
        <v>243245</v>
      </c>
      <c r="N1823" s="3" t="s">
        <v>727</v>
      </c>
      <c r="O1823" s="1" t="n">
        <v>226859</v>
      </c>
      <c r="P1823" s="1" t="n">
        <v>93.26</v>
      </c>
      <c r="Q1823" s="1" t="s">
        <v>20</v>
      </c>
      <c r="R1823" s="1" t="s">
        <v>27</v>
      </c>
      <c r="S1823" s="1" t="s">
        <v>28</v>
      </c>
      <c r="T1823" s="1" t="s">
        <v>29</v>
      </c>
    </row>
    <row r="1824" customFormat="false" ht="18.7" hidden="false" customHeight="true" outlineLevel="0" collapsed="false">
      <c r="A1824" s="1" t="n">
        <v>1823</v>
      </c>
      <c r="B1824" s="6" t="str">
        <f aca="false">HYPERLINK("https://mncourtfraud.com/file/MCRO_27-CR-21-20637_Proposed Order or Document_2022-01-27_20240430083257.pdf","MCRO_27-CR-21-20637_Proposed Order or Document_2022-01-27_20240430083257.pdf")</f>
        <v>MCRO_27-CR-21-20637_Proposed Order or Document_2022-01-27_20240430083257.pdf</v>
      </c>
      <c r="C1824" s="1" t="n">
        <v>3</v>
      </c>
      <c r="D1824" s="1" t="n">
        <v>1</v>
      </c>
      <c r="E1824" s="1" t="n">
        <v>1</v>
      </c>
      <c r="F1824" s="3" t="s">
        <v>20</v>
      </c>
      <c r="G1824" s="3" t="s">
        <v>7483</v>
      </c>
      <c r="H1824" s="1" t="s">
        <v>22</v>
      </c>
      <c r="I1824" s="1" t="n">
        <v>20240430083257</v>
      </c>
      <c r="J1824" s="3" t="s">
        <v>7476</v>
      </c>
      <c r="K1824" s="3" t="s">
        <v>7477</v>
      </c>
      <c r="L1824" s="3" t="s">
        <v>7484</v>
      </c>
      <c r="M1824" s="3" t="n">
        <v>144500</v>
      </c>
      <c r="N1824" s="3" t="s">
        <v>79</v>
      </c>
      <c r="O1824" s="1" t="n">
        <v>128114</v>
      </c>
      <c r="P1824" s="1" t="n">
        <v>88.66</v>
      </c>
      <c r="Q1824" s="1" t="s">
        <v>20</v>
      </c>
      <c r="R1824" s="1" t="s">
        <v>27</v>
      </c>
      <c r="S1824" s="1" t="s">
        <v>28</v>
      </c>
      <c r="T1824" s="1" t="s">
        <v>29</v>
      </c>
    </row>
    <row r="1825" customFormat="false" ht="18.7" hidden="false" customHeight="true" outlineLevel="0" collapsed="false">
      <c r="A1825" s="1" t="n">
        <v>1824</v>
      </c>
      <c r="B1825" s="6" t="str">
        <f aca="false">HYPERLINK("https://mncourtfraud.com/file/MCRO_27-CR-21-20637_Proposed Order or Document_2022-12-29_20240430083254.pdf","MCRO_27-CR-21-20637_Proposed Order or Document_2022-12-29_20240430083254.pdf")</f>
        <v>MCRO_27-CR-21-20637_Proposed Order or Document_2022-12-29_20240430083254.pdf</v>
      </c>
      <c r="C1825" s="1" t="n">
        <v>3</v>
      </c>
      <c r="D1825" s="1" t="n">
        <v>1</v>
      </c>
      <c r="E1825" s="1" t="n">
        <v>1</v>
      </c>
      <c r="F1825" s="3" t="s">
        <v>20</v>
      </c>
      <c r="G1825" s="3" t="s">
        <v>7485</v>
      </c>
      <c r="H1825" s="1" t="s">
        <v>22</v>
      </c>
      <c r="I1825" s="1" t="n">
        <v>20240430083254</v>
      </c>
      <c r="J1825" s="3" t="s">
        <v>7486</v>
      </c>
      <c r="K1825" s="3" t="s">
        <v>7487</v>
      </c>
      <c r="L1825" s="3" t="s">
        <v>7488</v>
      </c>
      <c r="M1825" s="3" t="n">
        <v>178533</v>
      </c>
      <c r="N1825" s="3" t="s">
        <v>1115</v>
      </c>
      <c r="O1825" s="1" t="n">
        <v>162147</v>
      </c>
      <c r="P1825" s="1" t="n">
        <v>90.82</v>
      </c>
      <c r="Q1825" s="1" t="s">
        <v>20</v>
      </c>
      <c r="R1825" s="1" t="s">
        <v>27</v>
      </c>
      <c r="S1825" s="1" t="s">
        <v>28</v>
      </c>
      <c r="T1825" s="1" t="s">
        <v>29</v>
      </c>
    </row>
    <row r="1826" customFormat="false" ht="18.7" hidden="false" customHeight="true" outlineLevel="0" collapsed="false">
      <c r="A1826" s="1" t="n">
        <v>1825</v>
      </c>
      <c r="B1826" s="6" t="str">
        <f aca="false">HYPERLINK("https://mncourtfraud.com/file/MCRO_27-CR-21-20988_Demand or Request for Discovery_2021-11-24_20240430083358.pdf","MCRO_27-CR-21-20988_Demand or Request for Discovery_2021-11-24_20240430083358.pdf")</f>
        <v>MCRO_27-CR-21-20988_Demand or Request for Discovery_2021-11-24_20240430083358.pdf</v>
      </c>
      <c r="C1826" s="1" t="n">
        <v>3</v>
      </c>
      <c r="D1826" s="1" t="n">
        <v>1</v>
      </c>
      <c r="E1826" s="1" t="n">
        <v>1</v>
      </c>
      <c r="F1826" s="3" t="s">
        <v>20</v>
      </c>
      <c r="G1826" s="3" t="s">
        <v>7489</v>
      </c>
      <c r="H1826" s="1" t="s">
        <v>22</v>
      </c>
      <c r="I1826" s="1" t="n">
        <v>20240430083358</v>
      </c>
      <c r="J1826" s="3" t="s">
        <v>7490</v>
      </c>
      <c r="K1826" s="3" t="s">
        <v>7491</v>
      </c>
      <c r="L1826" s="3" t="s">
        <v>7492</v>
      </c>
      <c r="M1826" s="3" t="n">
        <v>543302</v>
      </c>
      <c r="N1826" s="3" t="s">
        <v>6571</v>
      </c>
      <c r="O1826" s="1" t="n">
        <v>526916</v>
      </c>
      <c r="P1826" s="1" t="n">
        <v>96.98</v>
      </c>
      <c r="Q1826" s="1" t="s">
        <v>20</v>
      </c>
      <c r="R1826" s="1" t="s">
        <v>27</v>
      </c>
      <c r="S1826" s="1" t="s">
        <v>28</v>
      </c>
      <c r="T1826" s="1" t="s">
        <v>29</v>
      </c>
    </row>
    <row r="1827" customFormat="false" ht="18.7" hidden="false" customHeight="true" outlineLevel="0" collapsed="false">
      <c r="A1827" s="1" t="n">
        <v>1826</v>
      </c>
      <c r="B1827" s="6" t="str">
        <f aca="false">HYPERLINK("https://mncourtfraud.com/file/MCRO_27-CR-21-20988_E-filed Comp-Warrant_2021-11-12_20240430083400.pdf","MCRO_27-CR-21-20988_E-filed Comp-Warrant_2021-11-12_20240430083400.pdf")</f>
        <v>MCRO_27-CR-21-20988_E-filed Comp-Warrant_2021-11-12_20240430083400.pdf</v>
      </c>
      <c r="C1827" s="1" t="n">
        <v>4</v>
      </c>
      <c r="D1827" s="1" t="n">
        <v>2</v>
      </c>
      <c r="E1827" s="1" t="n">
        <v>2</v>
      </c>
      <c r="F1827" s="3" t="s">
        <v>20</v>
      </c>
      <c r="G1827" s="3" t="s">
        <v>7493</v>
      </c>
      <c r="H1827" s="1" t="s">
        <v>22</v>
      </c>
      <c r="I1827" s="1" t="n">
        <v>20240430083400</v>
      </c>
      <c r="J1827" s="3" t="s">
        <v>7494</v>
      </c>
      <c r="K1827" s="3" t="s">
        <v>7495</v>
      </c>
      <c r="L1827" s="3" t="s">
        <v>7496</v>
      </c>
      <c r="M1827" s="3" t="n">
        <v>488239</v>
      </c>
      <c r="N1827" s="3" t="s">
        <v>877</v>
      </c>
      <c r="O1827" s="1" t="n">
        <v>471853</v>
      </c>
      <c r="P1827" s="1" t="n">
        <v>96.64</v>
      </c>
      <c r="Q1827" s="1" t="s">
        <v>20</v>
      </c>
      <c r="R1827" s="1" t="s">
        <v>27</v>
      </c>
      <c r="S1827" s="1" t="s">
        <v>28</v>
      </c>
      <c r="T1827" s="1" t="s">
        <v>29</v>
      </c>
    </row>
    <row r="1828" customFormat="false" ht="18.7" hidden="false" customHeight="true" outlineLevel="0" collapsed="false">
      <c r="A1828" s="1" t="n">
        <v>1827</v>
      </c>
      <c r="B1828" s="6" t="str">
        <f aca="false">HYPERLINK("https://mncourtfraud.com/file/MCRO_27-CR-21-20988_Finding of Incompetency and Order_2023-06-01_20240430083344.pdf","MCRO_27-CR-21-20988_Finding of Incompetency and Order_2023-06-01_20240430083344.pdf")</f>
        <v>MCRO_27-CR-21-20988_Finding of Incompetency and Order_2023-06-01_20240430083344.pdf</v>
      </c>
      <c r="C1828" s="1" t="n">
        <v>9</v>
      </c>
      <c r="D1828" s="1" t="n">
        <v>3</v>
      </c>
      <c r="E1828" s="1" t="n">
        <v>3</v>
      </c>
      <c r="F1828" s="3" t="s">
        <v>27</v>
      </c>
      <c r="G1828" s="3" t="s">
        <v>7497</v>
      </c>
      <c r="H1828" s="1" t="s">
        <v>22</v>
      </c>
      <c r="I1828" s="1" t="n">
        <v>20240430083344</v>
      </c>
      <c r="J1828" s="3" t="s">
        <v>7498</v>
      </c>
      <c r="K1828" s="3" t="s">
        <v>7499</v>
      </c>
      <c r="L1828" s="3" t="s">
        <v>7500</v>
      </c>
      <c r="M1828" s="3" t="n">
        <v>957989</v>
      </c>
      <c r="N1828" s="3" t="s">
        <v>7046</v>
      </c>
      <c r="O1828" s="1" t="n">
        <v>941603</v>
      </c>
      <c r="P1828" s="1" t="n">
        <v>98.29</v>
      </c>
      <c r="Q1828" s="1" t="s">
        <v>20</v>
      </c>
      <c r="R1828" s="1" t="s">
        <v>27</v>
      </c>
      <c r="S1828" s="1" t="s">
        <v>28</v>
      </c>
      <c r="T1828" s="1" t="s">
        <v>29</v>
      </c>
    </row>
    <row r="1829" customFormat="false" ht="18.7" hidden="false" customHeight="true" outlineLevel="0" collapsed="false">
      <c r="A1829" s="1" t="n">
        <v>1828</v>
      </c>
      <c r="B1829" s="6" t="str">
        <f aca="false">HYPERLINK("https://mncourtfraud.com/file/MCRO_27-CR-21-20988_Findings and Order_2022-09-13_20240430083349.pdf","MCRO_27-CR-21-20988_Findings and Order_2022-09-13_20240430083349.pdf")</f>
        <v>MCRO_27-CR-21-20988_Findings and Order_2022-09-13_20240430083349.pdf</v>
      </c>
      <c r="C1829" s="1" t="n">
        <v>6</v>
      </c>
      <c r="D1829" s="1" t="n">
        <v>1</v>
      </c>
      <c r="E1829" s="1" t="n">
        <v>1</v>
      </c>
      <c r="F1829" s="3" t="s">
        <v>20</v>
      </c>
      <c r="G1829" s="3" t="s">
        <v>7501</v>
      </c>
      <c r="H1829" s="1" t="s">
        <v>22</v>
      </c>
      <c r="I1829" s="1" t="n">
        <v>20240430083349</v>
      </c>
      <c r="J1829" s="3" t="s">
        <v>7502</v>
      </c>
      <c r="K1829" s="3" t="s">
        <v>7503</v>
      </c>
      <c r="L1829" s="3" t="s">
        <v>7504</v>
      </c>
      <c r="M1829" s="3" t="n">
        <v>293937</v>
      </c>
      <c r="N1829" s="3" t="s">
        <v>7051</v>
      </c>
      <c r="O1829" s="1" t="n">
        <v>277551</v>
      </c>
      <c r="P1829" s="1" t="n">
        <v>94.43</v>
      </c>
      <c r="Q1829" s="1" t="s">
        <v>20</v>
      </c>
      <c r="R1829" s="1" t="s">
        <v>27</v>
      </c>
      <c r="S1829" s="1" t="s">
        <v>28</v>
      </c>
      <c r="T1829" s="1" t="s">
        <v>29</v>
      </c>
    </row>
    <row r="1830" customFormat="false" ht="18.7" hidden="false" customHeight="true" outlineLevel="0" collapsed="false">
      <c r="A1830" s="1" t="n">
        <v>1829</v>
      </c>
      <c r="B1830" s="6" t="str">
        <f aca="false">HYPERLINK("https://mncourtfraud.com/file/MCRO_27-CR-21-20988_Notice of Case Reassignment_2023-06-16_20240430083342.pdf","MCRO_27-CR-21-20988_Notice of Case Reassignment_2023-06-16_20240430083342.pdf")</f>
        <v>MCRO_27-CR-21-20988_Notice of Case Reassignment_2023-06-16_20240430083342.pdf</v>
      </c>
      <c r="C1830" s="1" t="n">
        <v>3</v>
      </c>
      <c r="D1830" s="1" t="n">
        <v>1</v>
      </c>
      <c r="E1830" s="1" t="n">
        <v>1</v>
      </c>
      <c r="F1830" s="3" t="s">
        <v>20</v>
      </c>
      <c r="G1830" s="3" t="s">
        <v>7505</v>
      </c>
      <c r="H1830" s="1" t="s">
        <v>22</v>
      </c>
      <c r="I1830" s="1" t="n">
        <v>20240430083342</v>
      </c>
      <c r="J1830" s="3" t="s">
        <v>7506</v>
      </c>
      <c r="K1830" s="3" t="s">
        <v>7507</v>
      </c>
      <c r="L1830" s="3" t="s">
        <v>7508</v>
      </c>
      <c r="M1830" s="3" t="n">
        <v>113631</v>
      </c>
      <c r="N1830" s="3" t="s">
        <v>128</v>
      </c>
      <c r="O1830" s="1" t="n">
        <v>97245</v>
      </c>
      <c r="P1830" s="1" t="n">
        <v>85.58</v>
      </c>
      <c r="Q1830" s="1" t="s">
        <v>20</v>
      </c>
      <c r="R1830" s="1" t="s">
        <v>27</v>
      </c>
      <c r="S1830" s="1" t="s">
        <v>28</v>
      </c>
      <c r="T1830" s="1" t="s">
        <v>29</v>
      </c>
    </row>
    <row r="1831" customFormat="false" ht="18.7" hidden="false" customHeight="true" outlineLevel="0" collapsed="false">
      <c r="A1831" s="1" t="n">
        <v>1830</v>
      </c>
      <c r="B1831" s="6" t="str">
        <f aca="false">HYPERLINK("https://mncourtfraud.com/file/MCRO_27-CR-21-20988_Notice of Hearing_2024-01-26_20240430083336.pdf","MCRO_27-CR-21-20988_Notice of Hearing_2024-01-26_20240430083336.pdf")</f>
        <v>MCRO_27-CR-21-20988_Notice of Hearing_2024-01-26_20240430083336.pdf</v>
      </c>
      <c r="C1831" s="1" t="n">
        <v>4</v>
      </c>
      <c r="D1831" s="1" t="n">
        <v>1</v>
      </c>
      <c r="E1831" s="1" t="n">
        <v>1</v>
      </c>
      <c r="F1831" s="3" t="s">
        <v>20</v>
      </c>
      <c r="G1831" s="3" t="s">
        <v>7509</v>
      </c>
      <c r="H1831" s="1" t="s">
        <v>22</v>
      </c>
      <c r="I1831" s="1" t="n">
        <v>20240430083336</v>
      </c>
      <c r="J1831" s="3" t="s">
        <v>7510</v>
      </c>
      <c r="K1831" s="3" t="s">
        <v>7511</v>
      </c>
      <c r="L1831" s="3" t="s">
        <v>7512</v>
      </c>
      <c r="M1831" s="3" t="n">
        <v>714351</v>
      </c>
      <c r="N1831" s="3" t="s">
        <v>727</v>
      </c>
      <c r="O1831" s="1" t="n">
        <v>697965</v>
      </c>
      <c r="P1831" s="1" t="n">
        <v>97.71</v>
      </c>
      <c r="Q1831" s="1" t="s">
        <v>20</v>
      </c>
      <c r="R1831" s="1" t="s">
        <v>27</v>
      </c>
      <c r="S1831" s="1" t="s">
        <v>28</v>
      </c>
      <c r="T1831" s="1" t="s">
        <v>29</v>
      </c>
    </row>
    <row r="1832" customFormat="false" ht="18.7" hidden="false" customHeight="true" outlineLevel="0" collapsed="false">
      <c r="A1832" s="1" t="n">
        <v>1831</v>
      </c>
      <c r="B1832" s="6" t="str">
        <f aca="false">HYPERLINK("https://mncourtfraud.com/file/MCRO_27-CR-21-20988_Notice of Hearing_2024-03-19_20240430083335.pdf","MCRO_27-CR-21-20988_Notice of Hearing_2024-03-19_20240430083335.pdf")</f>
        <v>MCRO_27-CR-21-20988_Notice of Hearing_2024-03-19_20240430083335.pdf</v>
      </c>
      <c r="C1832" s="1" t="n">
        <v>5</v>
      </c>
      <c r="D1832" s="1" t="n">
        <v>1</v>
      </c>
      <c r="E1832" s="1" t="n">
        <v>1</v>
      </c>
      <c r="F1832" s="3" t="s">
        <v>20</v>
      </c>
      <c r="G1832" s="3" t="s">
        <v>7513</v>
      </c>
      <c r="H1832" s="1" t="s">
        <v>22</v>
      </c>
      <c r="I1832" s="1" t="n">
        <v>20240430083335</v>
      </c>
      <c r="J1832" s="3" t="s">
        <v>7514</v>
      </c>
      <c r="K1832" s="3" t="s">
        <v>7515</v>
      </c>
      <c r="L1832" s="3" t="s">
        <v>7071</v>
      </c>
      <c r="M1832" s="3" t="n">
        <v>729079</v>
      </c>
      <c r="N1832" s="3" t="s">
        <v>1278</v>
      </c>
      <c r="O1832" s="1" t="n">
        <v>712693</v>
      </c>
      <c r="P1832" s="1" t="n">
        <v>97.75</v>
      </c>
      <c r="Q1832" s="1" t="s">
        <v>20</v>
      </c>
      <c r="R1832" s="1" t="s">
        <v>27</v>
      </c>
      <c r="S1832" s="1" t="s">
        <v>28</v>
      </c>
      <c r="T1832" s="1" t="s">
        <v>29</v>
      </c>
    </row>
    <row r="1833" customFormat="false" ht="18.7" hidden="false" customHeight="true" outlineLevel="0" collapsed="false">
      <c r="A1833" s="1" t="n">
        <v>1832</v>
      </c>
      <c r="B1833" s="6" t="str">
        <f aca="false">HYPERLINK("https://mncourtfraud.com/file/MCRO_27-CR-21-20988_Notice of Remote Hearing with Instructions_2023-11-28_20240430083340.pdf","MCRO_27-CR-21-20988_Notice of Remote Hearing with Instructions_2023-11-28_20240430083340.pdf")</f>
        <v>MCRO_27-CR-21-20988_Notice of Remote Hearing with Instructions_2023-11-28_20240430083340.pdf</v>
      </c>
      <c r="C1833" s="1" t="n">
        <v>4</v>
      </c>
      <c r="D1833" s="1" t="n">
        <v>1</v>
      </c>
      <c r="E1833" s="1" t="n">
        <v>1</v>
      </c>
      <c r="F1833" s="3" t="s">
        <v>20</v>
      </c>
      <c r="G1833" s="3" t="s">
        <v>7516</v>
      </c>
      <c r="H1833" s="1" t="s">
        <v>22</v>
      </c>
      <c r="I1833" s="1" t="n">
        <v>20240430083340</v>
      </c>
      <c r="J1833" s="3" t="s">
        <v>7517</v>
      </c>
      <c r="K1833" s="3" t="s">
        <v>7518</v>
      </c>
      <c r="L1833" s="3" t="s">
        <v>7236</v>
      </c>
      <c r="M1833" s="3" t="n">
        <v>269241</v>
      </c>
      <c r="N1833" s="3" t="s">
        <v>74</v>
      </c>
      <c r="O1833" s="1" t="n">
        <v>252855</v>
      </c>
      <c r="P1833" s="1" t="n">
        <v>93.91</v>
      </c>
      <c r="Q1833" s="1" t="s">
        <v>20</v>
      </c>
      <c r="R1833" s="1" t="s">
        <v>27</v>
      </c>
      <c r="S1833" s="1" t="s">
        <v>28</v>
      </c>
      <c r="T1833" s="1" t="s">
        <v>29</v>
      </c>
    </row>
    <row r="1834" customFormat="false" ht="18.7" hidden="false" customHeight="true" outlineLevel="0" collapsed="false">
      <c r="A1834" s="1" t="n">
        <v>1833</v>
      </c>
      <c r="B1834" s="6" t="str">
        <f aca="false">HYPERLINK("https://mncourtfraud.com/file/MCRO_27-CR-21-20988_Notice of Remote Hearing with Instructions_2023-12-05_20240430083339.pdf","MCRO_27-CR-21-20988_Notice of Remote Hearing with Instructions_2023-12-05_20240430083339.pdf")</f>
        <v>MCRO_27-CR-21-20988_Notice of Remote Hearing with Instructions_2023-12-05_20240430083339.pdf</v>
      </c>
      <c r="C1834" s="1" t="n">
        <v>5</v>
      </c>
      <c r="D1834" s="1" t="n">
        <v>1</v>
      </c>
      <c r="E1834" s="1" t="n">
        <v>1</v>
      </c>
      <c r="F1834" s="3" t="s">
        <v>20</v>
      </c>
      <c r="G1834" s="3" t="s">
        <v>7519</v>
      </c>
      <c r="H1834" s="1" t="s">
        <v>22</v>
      </c>
      <c r="I1834" s="1" t="n">
        <v>20240430083339</v>
      </c>
      <c r="J1834" s="3" t="s">
        <v>7520</v>
      </c>
      <c r="K1834" s="3" t="s">
        <v>7521</v>
      </c>
      <c r="L1834" s="3" t="s">
        <v>7522</v>
      </c>
      <c r="M1834" s="3" t="n">
        <v>843399</v>
      </c>
      <c r="N1834" s="3" t="s">
        <v>3164</v>
      </c>
      <c r="O1834" s="1" t="n">
        <v>827013</v>
      </c>
      <c r="P1834" s="1" t="n">
        <v>98.06</v>
      </c>
      <c r="Q1834" s="1" t="s">
        <v>20</v>
      </c>
      <c r="R1834" s="1" t="s">
        <v>27</v>
      </c>
      <c r="S1834" s="1" t="s">
        <v>28</v>
      </c>
      <c r="T1834" s="1" t="s">
        <v>29</v>
      </c>
    </row>
    <row r="1835" customFormat="false" ht="18.7" hidden="false" customHeight="true" outlineLevel="0" collapsed="false">
      <c r="A1835" s="1" t="n">
        <v>1834</v>
      </c>
      <c r="B1835" s="6" t="str">
        <f aca="false">HYPERLINK("https://mncourtfraud.com/file/MCRO_27-CR-21-20988_Order-Evaluation for Competency to Proceed (Rule 20.01)_2021-12-20_20240430083355.pdf","MCRO_27-CR-21-20988_Order-Evaluation for Competency to Proceed (Rule 20.01)_2021-12-20_20240430083355.pdf")</f>
        <v>MCRO_27-CR-21-20988_Order-Evaluation for Competency to Proceed (Rule 20.01)_2021-12-20_20240430083355.pdf</v>
      </c>
      <c r="C1835" s="1" t="n">
        <v>4</v>
      </c>
      <c r="D1835" s="1" t="n">
        <v>1</v>
      </c>
      <c r="E1835" s="1" t="n">
        <v>1</v>
      </c>
      <c r="F1835" s="3" t="s">
        <v>20</v>
      </c>
      <c r="G1835" s="3" t="s">
        <v>7523</v>
      </c>
      <c r="H1835" s="1" t="s">
        <v>22</v>
      </c>
      <c r="I1835" s="1" t="n">
        <v>20240430083355</v>
      </c>
      <c r="J1835" s="3" t="s">
        <v>7524</v>
      </c>
      <c r="K1835" s="3" t="s">
        <v>7525</v>
      </c>
      <c r="L1835" s="3" t="s">
        <v>7244</v>
      </c>
      <c r="M1835" s="3" t="n">
        <v>1502624</v>
      </c>
      <c r="N1835" s="3" t="s">
        <v>6293</v>
      </c>
      <c r="O1835" s="1" t="n">
        <v>1486238</v>
      </c>
      <c r="P1835" s="1" t="n">
        <v>98.91</v>
      </c>
      <c r="Q1835" s="1" t="s">
        <v>20</v>
      </c>
      <c r="R1835" s="1" t="s">
        <v>27</v>
      </c>
      <c r="S1835" s="1" t="s">
        <v>28</v>
      </c>
      <c r="T1835" s="1" t="s">
        <v>29</v>
      </c>
    </row>
    <row r="1836" customFormat="false" ht="18.7" hidden="false" customHeight="true" outlineLevel="0" collapsed="false">
      <c r="A1836" s="1" t="n">
        <v>1835</v>
      </c>
      <c r="B1836" s="6" t="str">
        <f aca="false">HYPERLINK("https://mncourtfraud.com/file/MCRO_27-CR-21-20988_Order-Evaluation for Competency to Proceed (Rule 20.01)_2022-08-09_20240430083350.pdf","MCRO_27-CR-21-20988_Order-Evaluation for Competency to Proceed (Rule 20.01)_2022-08-09_20240430083350.pdf")</f>
        <v>MCRO_27-CR-21-20988_Order-Evaluation for Competency to Proceed (Rule 20.01)_2022-08-09_20240430083350.pdf</v>
      </c>
      <c r="C1836" s="1" t="n">
        <v>4</v>
      </c>
      <c r="D1836" s="1" t="n">
        <v>1</v>
      </c>
      <c r="E1836" s="1" t="n">
        <v>1</v>
      </c>
      <c r="F1836" s="3" t="s">
        <v>20</v>
      </c>
      <c r="G1836" s="3" t="s">
        <v>7526</v>
      </c>
      <c r="H1836" s="1" t="s">
        <v>22</v>
      </c>
      <c r="I1836" s="1" t="n">
        <v>20240430083350</v>
      </c>
      <c r="J1836" s="3" t="s">
        <v>7527</v>
      </c>
      <c r="K1836" s="3" t="s">
        <v>7528</v>
      </c>
      <c r="L1836" s="3" t="s">
        <v>7529</v>
      </c>
      <c r="M1836" s="3" t="n">
        <v>924334</v>
      </c>
      <c r="N1836" s="3" t="s">
        <v>602</v>
      </c>
      <c r="O1836" s="1" t="n">
        <v>907948</v>
      </c>
      <c r="P1836" s="1" t="n">
        <v>98.23</v>
      </c>
      <c r="Q1836" s="1" t="s">
        <v>20</v>
      </c>
      <c r="R1836" s="1" t="s">
        <v>27</v>
      </c>
      <c r="S1836" s="1" t="s">
        <v>28</v>
      </c>
      <c r="T1836" s="1" t="s">
        <v>29</v>
      </c>
    </row>
    <row r="1837" customFormat="false" ht="18.7" hidden="false" customHeight="true" outlineLevel="0" collapsed="false">
      <c r="A1837" s="1" t="n">
        <v>1836</v>
      </c>
      <c r="B1837" s="6" t="str">
        <f aca="false">HYPERLINK("https://mncourtfraud.com/file/MCRO_27-CR-21-20988_Order-Evaluation for Competency to Proceed (Rule 20.01)_2023-01-05_20240430083347.pdf","MCRO_27-CR-21-20988_Order-Evaluation for Competency to Proceed (Rule 20.01)_2023-01-05_20240430083347.pdf")</f>
        <v>MCRO_27-CR-21-20988_Order-Evaluation for Competency to Proceed (Rule 20.01)_2023-01-05_20240430083347.pdf</v>
      </c>
      <c r="C1837" s="1" t="n">
        <v>6</v>
      </c>
      <c r="D1837" s="1" t="n">
        <v>2</v>
      </c>
      <c r="E1837" s="1" t="n">
        <v>2</v>
      </c>
      <c r="F1837" s="3" t="s">
        <v>27</v>
      </c>
      <c r="G1837" s="3" t="s">
        <v>7530</v>
      </c>
      <c r="H1837" s="1" t="s">
        <v>22</v>
      </c>
      <c r="I1837" s="1" t="n">
        <v>20240430083347</v>
      </c>
      <c r="J1837" s="3" t="s">
        <v>7531</v>
      </c>
      <c r="K1837" s="3" t="s">
        <v>7532</v>
      </c>
      <c r="L1837" s="3" t="s">
        <v>7533</v>
      </c>
      <c r="M1837" s="3" t="n">
        <v>889990</v>
      </c>
      <c r="N1837" s="3" t="s">
        <v>810</v>
      </c>
      <c r="O1837" s="1" t="n">
        <v>873604</v>
      </c>
      <c r="P1837" s="1" t="n">
        <v>98.16</v>
      </c>
      <c r="Q1837" s="1" t="s">
        <v>20</v>
      </c>
      <c r="R1837" s="1" t="s">
        <v>27</v>
      </c>
      <c r="S1837" s="1" t="s">
        <v>28</v>
      </c>
      <c r="T1837" s="1" t="s">
        <v>29</v>
      </c>
    </row>
    <row r="1838" customFormat="false" ht="18.7" hidden="false" customHeight="true" outlineLevel="0" collapsed="false">
      <c r="A1838" s="1" t="n">
        <v>1837</v>
      </c>
      <c r="B1838" s="6" t="str">
        <f aca="false">HYPERLINK("https://mncourtfraud.com/file/MCRO_27-CR-21-20988_Order-Evaluation for Competency to Proceed (Rule 20.01)_2023-04-03_20240430083345.pdf","MCRO_27-CR-21-20988_Order-Evaluation for Competency to Proceed (Rule 20.01)_2023-04-03_20240430083345.pdf")</f>
        <v>MCRO_27-CR-21-20988_Order-Evaluation for Competency to Proceed (Rule 20.01)_2023-04-03_20240430083345.pdf</v>
      </c>
      <c r="C1838" s="1" t="n">
        <v>4</v>
      </c>
      <c r="D1838" s="1" t="n">
        <v>1</v>
      </c>
      <c r="E1838" s="1" t="n">
        <v>1</v>
      </c>
      <c r="F1838" s="3" t="s">
        <v>20</v>
      </c>
      <c r="G1838" s="3" t="s">
        <v>7534</v>
      </c>
      <c r="H1838" s="1" t="s">
        <v>22</v>
      </c>
      <c r="I1838" s="1" t="n">
        <v>20240430083345</v>
      </c>
      <c r="J1838" s="3" t="s">
        <v>7535</v>
      </c>
      <c r="K1838" s="3" t="s">
        <v>7536</v>
      </c>
      <c r="L1838" s="3" t="s">
        <v>7537</v>
      </c>
      <c r="M1838" s="3" t="n">
        <v>1095616</v>
      </c>
      <c r="N1838" s="3" t="s">
        <v>1128</v>
      </c>
      <c r="O1838" s="1" t="n">
        <v>1079230</v>
      </c>
      <c r="P1838" s="1" t="n">
        <v>98.5</v>
      </c>
      <c r="Q1838" s="1" t="s">
        <v>20</v>
      </c>
      <c r="R1838" s="1" t="s">
        <v>27</v>
      </c>
      <c r="S1838" s="1" t="s">
        <v>28</v>
      </c>
      <c r="T1838" s="1" t="s">
        <v>29</v>
      </c>
    </row>
    <row r="1839" customFormat="false" ht="18.7" hidden="false" customHeight="true" outlineLevel="0" collapsed="false">
      <c r="A1839" s="1" t="n">
        <v>1838</v>
      </c>
      <c r="B1839" s="6" t="str">
        <f aca="false">HYPERLINK("https://mncourtfraud.com/file/MCRO_27-CR-21-20988_Order-Evaluation for Competency to Proceed (Rule 20.01)_2023-09-18_20240430083342.pdf","MCRO_27-CR-21-20988_Order-Evaluation for Competency to Proceed (Rule 20.01)_2023-09-18_20240430083342.pdf")</f>
        <v>MCRO_27-CR-21-20988_Order-Evaluation for Competency to Proceed (Rule 20.01)_2023-09-18_20240430083342.pdf</v>
      </c>
      <c r="C1839" s="1" t="n">
        <v>6</v>
      </c>
      <c r="D1839" s="1" t="n">
        <v>2</v>
      </c>
      <c r="E1839" s="1" t="n">
        <v>2</v>
      </c>
      <c r="F1839" s="3" t="s">
        <v>27</v>
      </c>
      <c r="G1839" s="3" t="s">
        <v>7538</v>
      </c>
      <c r="H1839" s="1" t="s">
        <v>22</v>
      </c>
      <c r="I1839" s="1" t="n">
        <v>20240430083342</v>
      </c>
      <c r="J1839" s="3" t="s">
        <v>7539</v>
      </c>
      <c r="K1839" s="3" t="s">
        <v>7540</v>
      </c>
      <c r="L1839" s="3" t="s">
        <v>7541</v>
      </c>
      <c r="M1839" s="3" t="n">
        <v>868845</v>
      </c>
      <c r="N1839" s="3" t="s">
        <v>554</v>
      </c>
      <c r="O1839" s="1" t="n">
        <v>852459</v>
      </c>
      <c r="P1839" s="1" t="n">
        <v>98.11</v>
      </c>
      <c r="Q1839" s="1" t="s">
        <v>20</v>
      </c>
      <c r="R1839" s="1" t="s">
        <v>27</v>
      </c>
      <c r="S1839" s="1" t="s">
        <v>28</v>
      </c>
      <c r="T1839" s="1" t="s">
        <v>29</v>
      </c>
    </row>
    <row r="1840" customFormat="false" ht="18.7" hidden="false" customHeight="true" outlineLevel="0" collapsed="false">
      <c r="A1840" s="1" t="n">
        <v>1839</v>
      </c>
      <c r="B1840" s="6" t="str">
        <f aca="false">HYPERLINK("https://mncourtfraud.com/file/MCRO_27-CR-21-20988_Order-Evaluation for Competency to Proceed (Rule 20.01)_2024-01-26_20240430083337.pdf","MCRO_27-CR-21-20988_Order-Evaluation for Competency to Proceed (Rule 20.01)_2024-01-26_20240430083337.pdf")</f>
        <v>MCRO_27-CR-21-20988_Order-Evaluation for Competency to Proceed (Rule 20.01)_2024-01-26_20240430083337.pdf</v>
      </c>
      <c r="C1840" s="1" t="n">
        <v>6</v>
      </c>
      <c r="D1840" s="1" t="n">
        <v>2</v>
      </c>
      <c r="E1840" s="1" t="n">
        <v>2</v>
      </c>
      <c r="F1840" s="3" t="s">
        <v>20</v>
      </c>
      <c r="G1840" s="3" t="s">
        <v>7542</v>
      </c>
      <c r="H1840" s="1" t="s">
        <v>22</v>
      </c>
      <c r="I1840" s="1" t="n">
        <v>20240430083337</v>
      </c>
      <c r="J1840" s="3" t="s">
        <v>7543</v>
      </c>
      <c r="K1840" s="3" t="s">
        <v>7544</v>
      </c>
      <c r="L1840" s="3" t="s">
        <v>7545</v>
      </c>
      <c r="M1840" s="3" t="n">
        <v>868589</v>
      </c>
      <c r="N1840" s="3" t="s">
        <v>6214</v>
      </c>
      <c r="O1840" s="1" t="n">
        <v>852203</v>
      </c>
      <c r="P1840" s="1" t="n">
        <v>98.11</v>
      </c>
      <c r="Q1840" s="1" t="s">
        <v>20</v>
      </c>
      <c r="R1840" s="1" t="s">
        <v>27</v>
      </c>
      <c r="S1840" s="1" t="s">
        <v>28</v>
      </c>
      <c r="T1840" s="1" t="s">
        <v>29</v>
      </c>
    </row>
    <row r="1841" customFormat="false" ht="18.7" hidden="false" customHeight="true" outlineLevel="0" collapsed="false">
      <c r="A1841" s="1" t="n">
        <v>1840</v>
      </c>
      <c r="B1841" s="6" t="str">
        <f aca="false">HYPERLINK("https://mncourtfraud.com/file/MCRO_27-CR-21-20988_Order for Conditional Release_2021-12-20_20240430083354.pdf","MCRO_27-CR-21-20988_Order for Conditional Release_2021-12-20_20240430083354.pdf")</f>
        <v>MCRO_27-CR-21-20988_Order for Conditional Release_2021-12-20_20240430083354.pdf</v>
      </c>
      <c r="C1841" s="1" t="n">
        <v>4</v>
      </c>
      <c r="D1841" s="1" t="n">
        <v>1</v>
      </c>
      <c r="E1841" s="1" t="n">
        <v>1</v>
      </c>
      <c r="F1841" s="3" t="s">
        <v>20</v>
      </c>
      <c r="G1841" s="3" t="s">
        <v>7546</v>
      </c>
      <c r="H1841" s="1" t="s">
        <v>22</v>
      </c>
      <c r="I1841" s="1" t="n">
        <v>20240430083354</v>
      </c>
      <c r="J1841" s="3" t="s">
        <v>7547</v>
      </c>
      <c r="K1841" s="3" t="s">
        <v>7548</v>
      </c>
      <c r="L1841" s="3" t="s">
        <v>7280</v>
      </c>
      <c r="M1841" s="3" t="n">
        <v>815260</v>
      </c>
      <c r="N1841" s="3" t="s">
        <v>680</v>
      </c>
      <c r="O1841" s="1" t="n">
        <v>798874</v>
      </c>
      <c r="P1841" s="1" t="n">
        <v>97.99</v>
      </c>
      <c r="Q1841" s="1" t="s">
        <v>20</v>
      </c>
      <c r="R1841" s="1" t="s">
        <v>27</v>
      </c>
      <c r="S1841" s="1" t="s">
        <v>28</v>
      </c>
      <c r="T1841" s="1" t="s">
        <v>29</v>
      </c>
    </row>
    <row r="1842" customFormat="false" ht="18.7" hidden="false" customHeight="true" outlineLevel="0" collapsed="false">
      <c r="A1842" s="1" t="n">
        <v>1841</v>
      </c>
      <c r="B1842" s="6" t="str">
        <f aca="false">HYPERLINK("https://mncourtfraud.com/file/MCRO_27-CR-21-20988_Order for Conditional Release_2022-05-31_20240430083352.pdf","MCRO_27-CR-21-20988_Order for Conditional Release_2022-05-31_20240430083352.pdf")</f>
        <v>MCRO_27-CR-21-20988_Order for Conditional Release_2022-05-31_20240430083352.pdf</v>
      </c>
      <c r="C1842" s="1" t="n">
        <v>4</v>
      </c>
      <c r="D1842" s="1" t="n">
        <v>1</v>
      </c>
      <c r="E1842" s="1" t="n">
        <v>1</v>
      </c>
      <c r="F1842" s="3" t="s">
        <v>20</v>
      </c>
      <c r="G1842" s="3" t="s">
        <v>7549</v>
      </c>
      <c r="H1842" s="1" t="s">
        <v>22</v>
      </c>
      <c r="I1842" s="1" t="n">
        <v>20240430083352</v>
      </c>
      <c r="J1842" s="3" t="s">
        <v>7550</v>
      </c>
      <c r="K1842" s="3" t="s">
        <v>7551</v>
      </c>
      <c r="L1842" s="3" t="s">
        <v>7552</v>
      </c>
      <c r="M1842" s="3" t="n">
        <v>809383</v>
      </c>
      <c r="N1842" s="3" t="s">
        <v>456</v>
      </c>
      <c r="O1842" s="1" t="n">
        <v>792997</v>
      </c>
      <c r="P1842" s="1" t="n">
        <v>97.98</v>
      </c>
      <c r="Q1842" s="1" t="s">
        <v>20</v>
      </c>
      <c r="R1842" s="1" t="s">
        <v>27</v>
      </c>
      <c r="S1842" s="1" t="s">
        <v>28</v>
      </c>
      <c r="T1842" s="1" t="s">
        <v>29</v>
      </c>
    </row>
    <row r="1843" customFormat="false" ht="18.7" hidden="false" customHeight="true" outlineLevel="0" collapsed="false">
      <c r="A1843" s="1" t="n">
        <v>1842</v>
      </c>
      <c r="B1843" s="6" t="str">
        <f aca="false">HYPERLINK("https://mncourtfraud.com/file/MCRO_27-CR-21-20988_Order for Conditional Release_2022-10-04_20240430083348.pdf","MCRO_27-CR-21-20988_Order for Conditional Release_2022-10-04_20240430083348.pdf")</f>
        <v>MCRO_27-CR-21-20988_Order for Conditional Release_2022-10-04_20240430083348.pdf</v>
      </c>
      <c r="C1843" s="1" t="n">
        <v>5</v>
      </c>
      <c r="D1843" s="1" t="n">
        <v>1</v>
      </c>
      <c r="E1843" s="1" t="n">
        <v>1</v>
      </c>
      <c r="F1843" s="3" t="s">
        <v>20</v>
      </c>
      <c r="G1843" s="3" t="s">
        <v>7553</v>
      </c>
      <c r="H1843" s="1" t="s">
        <v>22</v>
      </c>
      <c r="I1843" s="1" t="n">
        <v>20240430083348</v>
      </c>
      <c r="J1843" s="3" t="s">
        <v>7554</v>
      </c>
      <c r="K1843" s="3" t="s">
        <v>7555</v>
      </c>
      <c r="L1843" s="3" t="s">
        <v>7556</v>
      </c>
      <c r="M1843" s="3" t="n">
        <v>793300</v>
      </c>
      <c r="N1843" s="3" t="s">
        <v>7151</v>
      </c>
      <c r="O1843" s="1" t="n">
        <v>776914</v>
      </c>
      <c r="P1843" s="1" t="n">
        <v>97.93</v>
      </c>
      <c r="Q1843" s="1" t="s">
        <v>20</v>
      </c>
      <c r="R1843" s="1" t="s">
        <v>27</v>
      </c>
      <c r="S1843" s="1" t="s">
        <v>28</v>
      </c>
      <c r="T1843" s="1" t="s">
        <v>29</v>
      </c>
    </row>
    <row r="1844" customFormat="false" ht="18.7" hidden="false" customHeight="true" outlineLevel="0" collapsed="false">
      <c r="A1844" s="1" t="n">
        <v>1843</v>
      </c>
      <c r="B1844" s="6" t="str">
        <f aca="false">HYPERLINK("https://mncourtfraud.com/file/MCRO_27-CR-21-20988_Order for Conditional Release_2023-04-03_20240430083346.pdf","MCRO_27-CR-21-20988_Order for Conditional Release_2023-04-03_20240430083346.pdf")</f>
        <v>MCRO_27-CR-21-20988_Order for Conditional Release_2023-04-03_20240430083346.pdf</v>
      </c>
      <c r="C1844" s="1" t="n">
        <v>4</v>
      </c>
      <c r="D1844" s="1" t="n">
        <v>1</v>
      </c>
      <c r="E1844" s="1" t="n">
        <v>1</v>
      </c>
      <c r="F1844" s="3" t="s">
        <v>20</v>
      </c>
      <c r="G1844" s="3" t="s">
        <v>7557</v>
      </c>
      <c r="H1844" s="1" t="s">
        <v>22</v>
      </c>
      <c r="I1844" s="1" t="n">
        <v>20240430083346</v>
      </c>
      <c r="J1844" s="3" t="s">
        <v>7558</v>
      </c>
      <c r="K1844" s="3" t="s">
        <v>7559</v>
      </c>
      <c r="L1844" s="3" t="s">
        <v>7560</v>
      </c>
      <c r="M1844" s="3" t="n">
        <v>823533</v>
      </c>
      <c r="N1844" s="3" t="s">
        <v>158</v>
      </c>
      <c r="O1844" s="1" t="n">
        <v>807147</v>
      </c>
      <c r="P1844" s="1" t="n">
        <v>98.01</v>
      </c>
      <c r="Q1844" s="1" t="s">
        <v>20</v>
      </c>
      <c r="R1844" s="1" t="s">
        <v>27</v>
      </c>
      <c r="S1844" s="1" t="s">
        <v>28</v>
      </c>
      <c r="T1844" s="1" t="s">
        <v>29</v>
      </c>
    </row>
    <row r="1845" customFormat="false" ht="18.7" hidden="false" customHeight="true" outlineLevel="0" collapsed="false">
      <c r="A1845" s="1" t="n">
        <v>1844</v>
      </c>
      <c r="B1845" s="6" t="str">
        <f aca="false">HYPERLINK("https://mncourtfraud.com/file/MCRO_27-CR-21-20988_Order Revoking Interim Conditions of Release_2021-12-14_20240430083356.pdf","MCRO_27-CR-21-20988_Order Revoking Interim Conditions of Release_2021-12-14_20240430083356.pdf")</f>
        <v>MCRO_27-CR-21-20988_Order Revoking Interim Conditions of Release_2021-12-14_20240430083356.pdf</v>
      </c>
      <c r="C1845" s="1" t="n">
        <v>5</v>
      </c>
      <c r="D1845" s="1" t="n">
        <v>3</v>
      </c>
      <c r="E1845" s="1" t="n">
        <v>3</v>
      </c>
      <c r="F1845" s="3" t="s">
        <v>20</v>
      </c>
      <c r="G1845" s="3" t="s">
        <v>7561</v>
      </c>
      <c r="H1845" s="1" t="s">
        <v>22</v>
      </c>
      <c r="I1845" s="1" t="n">
        <v>20240430083356</v>
      </c>
      <c r="J1845" s="3" t="s">
        <v>7562</v>
      </c>
      <c r="K1845" s="3" t="s">
        <v>7563</v>
      </c>
      <c r="L1845" s="3" t="s">
        <v>7564</v>
      </c>
      <c r="M1845" s="3" t="n">
        <v>370194</v>
      </c>
      <c r="N1845" s="3" t="s">
        <v>7301</v>
      </c>
      <c r="O1845" s="1" t="n">
        <v>353808</v>
      </c>
      <c r="P1845" s="1" t="n">
        <v>95.57</v>
      </c>
      <c r="Q1845" s="1" t="s">
        <v>20</v>
      </c>
      <c r="R1845" s="1" t="s">
        <v>27</v>
      </c>
      <c r="S1845" s="1" t="s">
        <v>28</v>
      </c>
      <c r="T1845" s="1" t="s">
        <v>29</v>
      </c>
    </row>
    <row r="1846" customFormat="false" ht="18.7" hidden="false" customHeight="true" outlineLevel="0" collapsed="false">
      <c r="A1846" s="1" t="n">
        <v>1845</v>
      </c>
      <c r="B1846" s="6" t="str">
        <f aca="false">HYPERLINK("https://mncourtfraud.com/file/MCRO_27-CR-21-20988_Other Document_2022-02-28_20240430083353.pdf","MCRO_27-CR-21-20988_Other Document_2022-02-28_20240430083353.pdf")</f>
        <v>MCRO_27-CR-21-20988_Other Document_2022-02-28_20240430083353.pdf</v>
      </c>
      <c r="C1846" s="1" t="n">
        <v>5</v>
      </c>
      <c r="D1846" s="1" t="n">
        <v>1</v>
      </c>
      <c r="E1846" s="1" t="n">
        <v>1</v>
      </c>
      <c r="F1846" s="3" t="s">
        <v>20</v>
      </c>
      <c r="G1846" s="3" t="s">
        <v>7565</v>
      </c>
      <c r="H1846" s="1" t="s">
        <v>22</v>
      </c>
      <c r="I1846" s="1" t="n">
        <v>20240430083353</v>
      </c>
      <c r="J1846" s="3" t="s">
        <v>7566</v>
      </c>
      <c r="K1846" s="3" t="s">
        <v>7567</v>
      </c>
      <c r="L1846" s="3" t="s">
        <v>7568</v>
      </c>
      <c r="M1846" s="3" t="n">
        <v>737956</v>
      </c>
      <c r="N1846" s="3" t="s">
        <v>6298</v>
      </c>
      <c r="O1846" s="1" t="n">
        <v>721570</v>
      </c>
      <c r="P1846" s="1" t="n">
        <v>97.78</v>
      </c>
      <c r="Q1846" s="1" t="s">
        <v>20</v>
      </c>
      <c r="R1846" s="1" t="s">
        <v>27</v>
      </c>
      <c r="S1846" s="1" t="s">
        <v>28</v>
      </c>
      <c r="T1846" s="1" t="s">
        <v>29</v>
      </c>
    </row>
    <row r="1847" customFormat="false" ht="18.7" hidden="false" customHeight="true" outlineLevel="0" collapsed="false">
      <c r="A1847" s="1" t="n">
        <v>1846</v>
      </c>
      <c r="B1847" s="6" t="str">
        <f aca="false">HYPERLINK("https://mncourtfraud.com/file/MCRO_27-CR-21-20988_Other Document_2022-05-31_20240430083351.pdf","MCRO_27-CR-21-20988_Other Document_2022-05-31_20240430083351.pdf")</f>
        <v>MCRO_27-CR-21-20988_Other Document_2022-05-31_20240430083351.pdf</v>
      </c>
      <c r="C1847" s="1" t="n">
        <v>4</v>
      </c>
      <c r="D1847" s="1" t="n">
        <v>1</v>
      </c>
      <c r="E1847" s="1" t="n">
        <v>1</v>
      </c>
      <c r="F1847" s="3" t="s">
        <v>20</v>
      </c>
      <c r="G1847" s="3" t="s">
        <v>7569</v>
      </c>
      <c r="H1847" s="1" t="s">
        <v>22</v>
      </c>
      <c r="I1847" s="1" t="n">
        <v>20240430083351</v>
      </c>
      <c r="J1847" s="3" t="s">
        <v>7570</v>
      </c>
      <c r="K1847" s="3" t="s">
        <v>7571</v>
      </c>
      <c r="L1847" s="3" t="s">
        <v>7168</v>
      </c>
      <c r="M1847" s="3" t="n">
        <v>274168</v>
      </c>
      <c r="N1847" s="3" t="s">
        <v>4614</v>
      </c>
      <c r="O1847" s="1" t="n">
        <v>257782</v>
      </c>
      <c r="P1847" s="1" t="n">
        <v>94.02</v>
      </c>
      <c r="Q1847" s="1" t="s">
        <v>20</v>
      </c>
      <c r="R1847" s="1" t="s">
        <v>27</v>
      </c>
      <c r="S1847" s="1" t="s">
        <v>28</v>
      </c>
      <c r="T1847" s="1" t="s">
        <v>29</v>
      </c>
    </row>
    <row r="1848" customFormat="false" ht="18.7" hidden="false" customHeight="true" outlineLevel="0" collapsed="false">
      <c r="A1848" s="1" t="n">
        <v>1847</v>
      </c>
      <c r="B1848" s="6" t="str">
        <f aca="false">HYPERLINK("https://mncourtfraud.com/file/MCRO_27-CR-21-20988_Proposed Order or Document_2021-12-14_20240430083357.pdf","MCRO_27-CR-21-20988_Proposed Order or Document_2021-12-14_20240430083357.pdf")</f>
        <v>MCRO_27-CR-21-20988_Proposed Order or Document_2021-12-14_20240430083357.pdf</v>
      </c>
      <c r="C1848" s="1" t="n">
        <v>3</v>
      </c>
      <c r="D1848" s="1" t="n">
        <v>1</v>
      </c>
      <c r="E1848" s="1" t="n">
        <v>1</v>
      </c>
      <c r="F1848" s="3" t="s">
        <v>20</v>
      </c>
      <c r="G1848" s="3" t="s">
        <v>7572</v>
      </c>
      <c r="H1848" s="1" t="s">
        <v>22</v>
      </c>
      <c r="I1848" s="1" t="n">
        <v>20240430083357</v>
      </c>
      <c r="J1848" s="3" t="s">
        <v>7573</v>
      </c>
      <c r="K1848" s="3" t="s">
        <v>7574</v>
      </c>
      <c r="L1848" s="3" t="s">
        <v>7575</v>
      </c>
      <c r="M1848" s="3" t="n">
        <v>182612</v>
      </c>
      <c r="N1848" s="3" t="s">
        <v>577</v>
      </c>
      <c r="O1848" s="1" t="n">
        <v>166226</v>
      </c>
      <c r="P1848" s="1" t="n">
        <v>91.03</v>
      </c>
      <c r="Q1848" s="1" t="s">
        <v>20</v>
      </c>
      <c r="R1848" s="1" t="s">
        <v>27</v>
      </c>
      <c r="S1848" s="1" t="s">
        <v>28</v>
      </c>
      <c r="T1848" s="1" t="s">
        <v>29</v>
      </c>
    </row>
    <row r="1849" customFormat="false" ht="18.7" hidden="false" customHeight="true" outlineLevel="0" collapsed="false">
      <c r="A1849" s="1" t="n">
        <v>1848</v>
      </c>
      <c r="B1849" s="6" t="str">
        <f aca="false">HYPERLINK("https://mncourtfraud.com/file/MCRO_27-CR-21-20988_Returned Mail_2023-12-29_20240430083338.pdf","MCRO_27-CR-21-20988_Returned Mail_2023-12-29_20240430083338.pdf")</f>
        <v>MCRO_27-CR-21-20988_Returned Mail_2023-12-29_20240430083338.pdf</v>
      </c>
      <c r="C1849" s="1" t="n">
        <v>4</v>
      </c>
      <c r="D1849" s="1" t="n">
        <v>1</v>
      </c>
      <c r="E1849" s="1" t="n">
        <v>1</v>
      </c>
      <c r="F1849" s="3" t="s">
        <v>20</v>
      </c>
      <c r="G1849" s="3" t="s">
        <v>7576</v>
      </c>
      <c r="H1849" s="1" t="s">
        <v>22</v>
      </c>
      <c r="I1849" s="1" t="n">
        <v>20240430083338</v>
      </c>
      <c r="J1849" s="3" t="s">
        <v>7577</v>
      </c>
      <c r="K1849" s="3" t="s">
        <v>7578</v>
      </c>
      <c r="L1849" s="3" t="s">
        <v>7579</v>
      </c>
      <c r="M1849" s="3" t="n">
        <v>282791</v>
      </c>
      <c r="N1849" s="3" t="s">
        <v>158</v>
      </c>
      <c r="O1849" s="1" t="n">
        <v>266405</v>
      </c>
      <c r="P1849" s="1" t="n">
        <v>94.21</v>
      </c>
      <c r="Q1849" s="1" t="s">
        <v>20</v>
      </c>
      <c r="R1849" s="1" t="s">
        <v>27</v>
      </c>
      <c r="S1849" s="1" t="s">
        <v>28</v>
      </c>
      <c r="T1849" s="1" t="s">
        <v>29</v>
      </c>
    </row>
    <row r="1850" customFormat="false" ht="18.7" hidden="false" customHeight="true" outlineLevel="0" collapsed="false">
      <c r="A1850" s="1" t="n">
        <v>1849</v>
      </c>
      <c r="B1850" s="6" t="str">
        <f aca="false">HYPERLINK("https://mncourtfraud.com/file/MCRO_27-CR-21-21355_Demand or Request for Discovery_2021-11-24_20240430083507.pdf","MCRO_27-CR-21-21355_Demand or Request for Discovery_2021-11-24_20240430083507.pdf")</f>
        <v>MCRO_27-CR-21-21355_Demand or Request for Discovery_2021-11-24_20240430083507.pdf</v>
      </c>
      <c r="C1850" s="1" t="n">
        <v>3</v>
      </c>
      <c r="D1850" s="1" t="n">
        <v>1</v>
      </c>
      <c r="E1850" s="1" t="n">
        <v>1</v>
      </c>
      <c r="F1850" s="3" t="s">
        <v>20</v>
      </c>
      <c r="G1850" s="3" t="s">
        <v>7580</v>
      </c>
      <c r="H1850" s="1" t="s">
        <v>22</v>
      </c>
      <c r="I1850" s="1" t="n">
        <v>20240430083507</v>
      </c>
      <c r="J1850" s="3" t="s">
        <v>7581</v>
      </c>
      <c r="K1850" s="3" t="s">
        <v>7582</v>
      </c>
      <c r="L1850" s="3" t="s">
        <v>7583</v>
      </c>
      <c r="M1850" s="3" t="n">
        <v>542552</v>
      </c>
      <c r="N1850" s="3" t="s">
        <v>6571</v>
      </c>
      <c r="O1850" s="1" t="n">
        <v>526166</v>
      </c>
      <c r="P1850" s="1" t="n">
        <v>96.98</v>
      </c>
      <c r="Q1850" s="1" t="s">
        <v>20</v>
      </c>
      <c r="R1850" s="1" t="s">
        <v>27</v>
      </c>
      <c r="S1850" s="1" t="s">
        <v>28</v>
      </c>
      <c r="T1850" s="1" t="s">
        <v>29</v>
      </c>
    </row>
    <row r="1851" customFormat="false" ht="18.7" hidden="false" customHeight="true" outlineLevel="0" collapsed="false">
      <c r="A1851" s="1" t="n">
        <v>1850</v>
      </c>
      <c r="B1851" s="6" t="str">
        <f aca="false">HYPERLINK("https://mncourtfraud.com/file/MCRO_27-CR-21-21355_E-filed Comp-Order for Detention_2021-11-18_20240430083509.pdf","MCRO_27-CR-21-21355_E-filed Comp-Order for Detention_2021-11-18_20240430083509.pdf")</f>
        <v>MCRO_27-CR-21-21355_E-filed Comp-Order for Detention_2021-11-18_20240430083509.pdf</v>
      </c>
      <c r="C1851" s="1" t="n">
        <v>4</v>
      </c>
      <c r="D1851" s="1" t="n">
        <v>2</v>
      </c>
      <c r="E1851" s="1" t="n">
        <v>2</v>
      </c>
      <c r="F1851" s="3" t="s">
        <v>20</v>
      </c>
      <c r="G1851" s="3" t="s">
        <v>7584</v>
      </c>
      <c r="H1851" s="1" t="s">
        <v>22</v>
      </c>
      <c r="I1851" s="1" t="n">
        <v>20240430083509</v>
      </c>
      <c r="J1851" s="3" t="s">
        <v>7585</v>
      </c>
      <c r="K1851" s="3" t="s">
        <v>7586</v>
      </c>
      <c r="L1851" s="3" t="s">
        <v>7587</v>
      </c>
      <c r="M1851" s="3" t="n">
        <v>498734</v>
      </c>
      <c r="N1851" s="3" t="s">
        <v>7588</v>
      </c>
      <c r="O1851" s="1" t="n">
        <v>482348</v>
      </c>
      <c r="P1851" s="1" t="n">
        <v>96.71</v>
      </c>
      <c r="Q1851" s="1" t="s">
        <v>20</v>
      </c>
      <c r="R1851" s="1" t="s">
        <v>27</v>
      </c>
      <c r="S1851" s="1" t="s">
        <v>28</v>
      </c>
      <c r="T1851" s="1" t="s">
        <v>29</v>
      </c>
    </row>
    <row r="1852" customFormat="false" ht="18.7" hidden="false" customHeight="true" outlineLevel="0" collapsed="false">
      <c r="A1852" s="1" t="n">
        <v>1851</v>
      </c>
      <c r="B1852" s="6" t="str">
        <f aca="false">HYPERLINK("https://mncourtfraud.com/file/MCRO_27-CR-21-21355_Finding of Incompetency and Order_2023-06-01_20240430083452.pdf","MCRO_27-CR-21-21355_Finding of Incompetency and Order_2023-06-01_20240430083452.pdf")</f>
        <v>MCRO_27-CR-21-21355_Finding of Incompetency and Order_2023-06-01_20240430083452.pdf</v>
      </c>
      <c r="C1852" s="1" t="n">
        <v>9</v>
      </c>
      <c r="D1852" s="1" t="n">
        <v>3</v>
      </c>
      <c r="E1852" s="1" t="n">
        <v>3</v>
      </c>
      <c r="F1852" s="3" t="s">
        <v>27</v>
      </c>
      <c r="G1852" s="3" t="s">
        <v>7589</v>
      </c>
      <c r="H1852" s="1" t="s">
        <v>22</v>
      </c>
      <c r="I1852" s="1" t="n">
        <v>20240430083452</v>
      </c>
      <c r="J1852" s="3" t="s">
        <v>7590</v>
      </c>
      <c r="K1852" s="3" t="s">
        <v>7591</v>
      </c>
      <c r="L1852" s="3" t="s">
        <v>7592</v>
      </c>
      <c r="M1852" s="3" t="n">
        <v>957986</v>
      </c>
      <c r="N1852" s="3" t="s">
        <v>7046</v>
      </c>
      <c r="O1852" s="1" t="n">
        <v>941600</v>
      </c>
      <c r="P1852" s="1" t="n">
        <v>98.29</v>
      </c>
      <c r="Q1852" s="1" t="s">
        <v>20</v>
      </c>
      <c r="R1852" s="1" t="s">
        <v>27</v>
      </c>
      <c r="S1852" s="1" t="s">
        <v>28</v>
      </c>
      <c r="T1852" s="1" t="s">
        <v>29</v>
      </c>
    </row>
    <row r="1853" customFormat="false" ht="18.7" hidden="false" customHeight="true" outlineLevel="0" collapsed="false">
      <c r="A1853" s="1" t="n">
        <v>1852</v>
      </c>
      <c r="B1853" s="6" t="str">
        <f aca="false">HYPERLINK("https://mncourtfraud.com/file/MCRO_27-CR-21-21355_Findings and Order_2022-09-13_20240430083457.pdf","MCRO_27-CR-21-21355_Findings and Order_2022-09-13_20240430083457.pdf")</f>
        <v>MCRO_27-CR-21-21355_Findings and Order_2022-09-13_20240430083457.pdf</v>
      </c>
      <c r="C1853" s="1" t="n">
        <v>6</v>
      </c>
      <c r="D1853" s="1" t="n">
        <v>1</v>
      </c>
      <c r="E1853" s="1" t="n">
        <v>1</v>
      </c>
      <c r="F1853" s="3" t="s">
        <v>20</v>
      </c>
      <c r="G1853" s="3" t="s">
        <v>7593</v>
      </c>
      <c r="H1853" s="1" t="s">
        <v>22</v>
      </c>
      <c r="I1853" s="1" t="n">
        <v>20240430083457</v>
      </c>
      <c r="J1853" s="3" t="s">
        <v>7594</v>
      </c>
      <c r="K1853" s="3" t="s">
        <v>7595</v>
      </c>
      <c r="L1853" s="3" t="s">
        <v>7198</v>
      </c>
      <c r="M1853" s="3" t="n">
        <v>293935</v>
      </c>
      <c r="N1853" s="3" t="s">
        <v>7051</v>
      </c>
      <c r="O1853" s="1" t="n">
        <v>277549</v>
      </c>
      <c r="P1853" s="1" t="n">
        <v>94.43</v>
      </c>
      <c r="Q1853" s="1" t="s">
        <v>20</v>
      </c>
      <c r="R1853" s="1" t="s">
        <v>27</v>
      </c>
      <c r="S1853" s="1" t="s">
        <v>28</v>
      </c>
      <c r="T1853" s="1" t="s">
        <v>29</v>
      </c>
    </row>
    <row r="1854" customFormat="false" ht="18.7" hidden="false" customHeight="true" outlineLevel="0" collapsed="false">
      <c r="A1854" s="1" t="n">
        <v>1853</v>
      </c>
      <c r="B1854" s="6" t="str">
        <f aca="false">HYPERLINK("https://mncourtfraud.com/file/MCRO_27-CR-21-21355_Notice of Case Reassignment_2023-06-16_20240430083449.pdf","MCRO_27-CR-21-21355_Notice of Case Reassignment_2023-06-16_20240430083449.pdf")</f>
        <v>MCRO_27-CR-21-21355_Notice of Case Reassignment_2023-06-16_20240430083449.pdf</v>
      </c>
      <c r="C1854" s="1" t="n">
        <v>3</v>
      </c>
      <c r="D1854" s="1" t="n">
        <v>1</v>
      </c>
      <c r="E1854" s="1" t="n">
        <v>1</v>
      </c>
      <c r="F1854" s="3" t="s">
        <v>20</v>
      </c>
      <c r="G1854" s="3" t="s">
        <v>7596</v>
      </c>
      <c r="H1854" s="1" t="s">
        <v>22</v>
      </c>
      <c r="I1854" s="1" t="n">
        <v>20240430083449</v>
      </c>
      <c r="J1854" s="3" t="s">
        <v>7597</v>
      </c>
      <c r="K1854" s="3" t="s">
        <v>7598</v>
      </c>
      <c r="L1854" s="3" t="s">
        <v>7599</v>
      </c>
      <c r="M1854" s="3" t="n">
        <v>113628</v>
      </c>
      <c r="N1854" s="3" t="s">
        <v>128</v>
      </c>
      <c r="O1854" s="1" t="n">
        <v>97242</v>
      </c>
      <c r="P1854" s="1" t="n">
        <v>85.58</v>
      </c>
      <c r="Q1854" s="1" t="s">
        <v>20</v>
      </c>
      <c r="R1854" s="1" t="s">
        <v>27</v>
      </c>
      <c r="S1854" s="1" t="s">
        <v>28</v>
      </c>
      <c r="T1854" s="1" t="s">
        <v>29</v>
      </c>
    </row>
    <row r="1855" customFormat="false" ht="18.7" hidden="false" customHeight="true" outlineLevel="0" collapsed="false">
      <c r="A1855" s="1" t="n">
        <v>1854</v>
      </c>
      <c r="B1855" s="6" t="str">
        <f aca="false">HYPERLINK("https://mncourtfraud.com/file/MCRO_27-CR-21-21355_Notice of Hearing_2024-01-26_20240430083443.pdf","MCRO_27-CR-21-21355_Notice of Hearing_2024-01-26_20240430083443.pdf")</f>
        <v>MCRO_27-CR-21-21355_Notice of Hearing_2024-01-26_20240430083443.pdf</v>
      </c>
      <c r="C1855" s="1" t="n">
        <v>4</v>
      </c>
      <c r="D1855" s="1" t="n">
        <v>1</v>
      </c>
      <c r="E1855" s="1" t="n">
        <v>1</v>
      </c>
      <c r="F1855" s="3" t="s">
        <v>20</v>
      </c>
      <c r="G1855" s="3" t="s">
        <v>7600</v>
      </c>
      <c r="H1855" s="1" t="s">
        <v>22</v>
      </c>
      <c r="I1855" s="1" t="n">
        <v>20240430083443</v>
      </c>
      <c r="J1855" s="3" t="s">
        <v>7601</v>
      </c>
      <c r="K1855" s="3" t="s">
        <v>7602</v>
      </c>
      <c r="L1855" s="3" t="s">
        <v>7603</v>
      </c>
      <c r="M1855" s="3" t="n">
        <v>714351</v>
      </c>
      <c r="N1855" s="3" t="s">
        <v>727</v>
      </c>
      <c r="O1855" s="1" t="n">
        <v>697965</v>
      </c>
      <c r="P1855" s="1" t="n">
        <v>97.71</v>
      </c>
      <c r="Q1855" s="1" t="s">
        <v>20</v>
      </c>
      <c r="R1855" s="1" t="s">
        <v>27</v>
      </c>
      <c r="S1855" s="1" t="s">
        <v>28</v>
      </c>
      <c r="T1855" s="1" t="s">
        <v>29</v>
      </c>
    </row>
    <row r="1856" customFormat="false" ht="18.7" hidden="false" customHeight="true" outlineLevel="0" collapsed="false">
      <c r="A1856" s="1" t="n">
        <v>1855</v>
      </c>
      <c r="B1856" s="6" t="str">
        <f aca="false">HYPERLINK("https://mncourtfraud.com/file/MCRO_27-CR-21-21355_Notice of Hearing_2024-03-19_20240430083442.pdf","MCRO_27-CR-21-21355_Notice of Hearing_2024-03-19_20240430083442.pdf")</f>
        <v>MCRO_27-CR-21-21355_Notice of Hearing_2024-03-19_20240430083442.pdf</v>
      </c>
      <c r="C1856" s="1" t="n">
        <v>5</v>
      </c>
      <c r="D1856" s="1" t="n">
        <v>1</v>
      </c>
      <c r="E1856" s="1" t="n">
        <v>1</v>
      </c>
      <c r="F1856" s="3" t="s">
        <v>20</v>
      </c>
      <c r="G1856" s="3" t="s">
        <v>7604</v>
      </c>
      <c r="H1856" s="1" t="s">
        <v>22</v>
      </c>
      <c r="I1856" s="1" t="n">
        <v>20240430083442</v>
      </c>
      <c r="J1856" s="3" t="s">
        <v>7605</v>
      </c>
      <c r="K1856" s="3" t="s">
        <v>7606</v>
      </c>
      <c r="L1856" s="3" t="s">
        <v>7607</v>
      </c>
      <c r="M1856" s="3" t="n">
        <v>729080</v>
      </c>
      <c r="N1856" s="3" t="s">
        <v>1278</v>
      </c>
      <c r="O1856" s="1" t="n">
        <v>712694</v>
      </c>
      <c r="P1856" s="1" t="n">
        <v>97.75</v>
      </c>
      <c r="Q1856" s="1" t="s">
        <v>20</v>
      </c>
      <c r="R1856" s="1" t="s">
        <v>27</v>
      </c>
      <c r="S1856" s="1" t="s">
        <v>28</v>
      </c>
      <c r="T1856" s="1" t="s">
        <v>29</v>
      </c>
    </row>
    <row r="1857" customFormat="false" ht="18.7" hidden="false" customHeight="true" outlineLevel="0" collapsed="false">
      <c r="A1857" s="1" t="n">
        <v>1856</v>
      </c>
      <c r="B1857" s="6" t="str">
        <f aca="false">HYPERLINK("https://mncourtfraud.com/file/MCRO_27-CR-21-21355_Notice of Remote Hearing with Instructions_2023-11-28_20240430083447.pdf","MCRO_27-CR-21-21355_Notice of Remote Hearing with Instructions_2023-11-28_20240430083447.pdf")</f>
        <v>MCRO_27-CR-21-21355_Notice of Remote Hearing with Instructions_2023-11-28_20240430083447.pdf</v>
      </c>
      <c r="C1857" s="1" t="n">
        <v>4</v>
      </c>
      <c r="D1857" s="1" t="n">
        <v>1</v>
      </c>
      <c r="E1857" s="1" t="n">
        <v>1</v>
      </c>
      <c r="F1857" s="3" t="s">
        <v>20</v>
      </c>
      <c r="G1857" s="3" t="s">
        <v>7608</v>
      </c>
      <c r="H1857" s="1" t="s">
        <v>22</v>
      </c>
      <c r="I1857" s="1" t="n">
        <v>20240430083447</v>
      </c>
      <c r="J1857" s="3" t="s">
        <v>7609</v>
      </c>
      <c r="K1857" s="3" t="s">
        <v>7610</v>
      </c>
      <c r="L1857" s="3" t="s">
        <v>7611</v>
      </c>
      <c r="M1857" s="3" t="n">
        <v>269242</v>
      </c>
      <c r="N1857" s="3" t="s">
        <v>74</v>
      </c>
      <c r="O1857" s="1" t="n">
        <v>252856</v>
      </c>
      <c r="P1857" s="1" t="n">
        <v>93.91</v>
      </c>
      <c r="Q1857" s="1" t="s">
        <v>20</v>
      </c>
      <c r="R1857" s="1" t="s">
        <v>27</v>
      </c>
      <c r="S1857" s="1" t="s">
        <v>28</v>
      </c>
      <c r="T1857" s="1" t="s">
        <v>29</v>
      </c>
    </row>
    <row r="1858" customFormat="false" ht="18.7" hidden="false" customHeight="true" outlineLevel="0" collapsed="false">
      <c r="A1858" s="1" t="n">
        <v>1857</v>
      </c>
      <c r="B1858" s="6" t="str">
        <f aca="false">HYPERLINK("https://mncourtfraud.com/file/MCRO_27-CR-21-21355_Notice of Remote Hearing with Instructions_2023-12-05_20240430083446.pdf","MCRO_27-CR-21-21355_Notice of Remote Hearing with Instructions_2023-12-05_20240430083446.pdf")</f>
        <v>MCRO_27-CR-21-21355_Notice of Remote Hearing with Instructions_2023-12-05_20240430083446.pdf</v>
      </c>
      <c r="C1858" s="1" t="n">
        <v>5</v>
      </c>
      <c r="D1858" s="1" t="n">
        <v>1</v>
      </c>
      <c r="E1858" s="1" t="n">
        <v>1</v>
      </c>
      <c r="F1858" s="3" t="s">
        <v>20</v>
      </c>
      <c r="G1858" s="3" t="s">
        <v>7612</v>
      </c>
      <c r="H1858" s="1" t="s">
        <v>22</v>
      </c>
      <c r="I1858" s="1" t="n">
        <v>20240430083446</v>
      </c>
      <c r="J1858" s="3" t="s">
        <v>7613</v>
      </c>
      <c r="K1858" s="3" t="s">
        <v>7614</v>
      </c>
      <c r="L1858" s="3" t="s">
        <v>7615</v>
      </c>
      <c r="M1858" s="3" t="n">
        <v>843403</v>
      </c>
      <c r="N1858" s="3" t="s">
        <v>3164</v>
      </c>
      <c r="O1858" s="1" t="n">
        <v>827017</v>
      </c>
      <c r="P1858" s="1" t="n">
        <v>98.06</v>
      </c>
      <c r="Q1858" s="1" t="s">
        <v>20</v>
      </c>
      <c r="R1858" s="1" t="s">
        <v>27</v>
      </c>
      <c r="S1858" s="1" t="s">
        <v>28</v>
      </c>
      <c r="T1858" s="1" t="s">
        <v>29</v>
      </c>
    </row>
    <row r="1859" customFormat="false" ht="18.7" hidden="false" customHeight="true" outlineLevel="0" collapsed="false">
      <c r="A1859" s="1" t="n">
        <v>1858</v>
      </c>
      <c r="B1859" s="6" t="str">
        <f aca="false">HYPERLINK("https://mncourtfraud.com/file/MCRO_27-CR-21-21355_Order-Evaluation for Competency to Proceed (Rule 20.01)_2021-12-20_20240430083503.pdf","MCRO_27-CR-21-21355_Order-Evaluation for Competency to Proceed (Rule 20.01)_2021-12-20_20240430083503.pdf")</f>
        <v>MCRO_27-CR-21-21355_Order-Evaluation for Competency to Proceed (Rule 20.01)_2021-12-20_20240430083503.pdf</v>
      </c>
      <c r="C1859" s="1" t="n">
        <v>4</v>
      </c>
      <c r="D1859" s="1" t="n">
        <v>1</v>
      </c>
      <c r="E1859" s="1" t="n">
        <v>1</v>
      </c>
      <c r="F1859" s="3" t="s">
        <v>20</v>
      </c>
      <c r="G1859" s="3" t="s">
        <v>7616</v>
      </c>
      <c r="H1859" s="1" t="s">
        <v>22</v>
      </c>
      <c r="I1859" s="1" t="n">
        <v>20240430083503</v>
      </c>
      <c r="J1859" s="3" t="s">
        <v>7617</v>
      </c>
      <c r="K1859" s="3" t="s">
        <v>7618</v>
      </c>
      <c r="L1859" s="3" t="s">
        <v>7244</v>
      </c>
      <c r="M1859" s="3" t="n">
        <v>1502624</v>
      </c>
      <c r="N1859" s="3" t="s">
        <v>6293</v>
      </c>
      <c r="O1859" s="1" t="n">
        <v>1486238</v>
      </c>
      <c r="P1859" s="1" t="n">
        <v>98.91</v>
      </c>
      <c r="Q1859" s="1" t="s">
        <v>20</v>
      </c>
      <c r="R1859" s="1" t="s">
        <v>27</v>
      </c>
      <c r="S1859" s="1" t="s">
        <v>28</v>
      </c>
      <c r="T1859" s="1" t="s">
        <v>29</v>
      </c>
    </row>
    <row r="1860" customFormat="false" ht="18.7" hidden="false" customHeight="true" outlineLevel="0" collapsed="false">
      <c r="A1860" s="1" t="n">
        <v>1859</v>
      </c>
      <c r="B1860" s="6" t="str">
        <f aca="false">HYPERLINK("https://mncourtfraud.com/file/MCRO_27-CR-21-21355_Order-Evaluation for Competency to Proceed (Rule 20.01)_2022-08-09_20240430083458.pdf","MCRO_27-CR-21-21355_Order-Evaluation for Competency to Proceed (Rule 20.01)_2022-08-09_20240430083458.pdf")</f>
        <v>MCRO_27-CR-21-21355_Order-Evaluation for Competency to Proceed (Rule 20.01)_2022-08-09_20240430083458.pdf</v>
      </c>
      <c r="C1860" s="1" t="n">
        <v>4</v>
      </c>
      <c r="D1860" s="1" t="n">
        <v>1</v>
      </c>
      <c r="E1860" s="1" t="n">
        <v>1</v>
      </c>
      <c r="F1860" s="3" t="s">
        <v>20</v>
      </c>
      <c r="G1860" s="3" t="s">
        <v>7619</v>
      </c>
      <c r="H1860" s="1" t="s">
        <v>22</v>
      </c>
      <c r="I1860" s="1" t="n">
        <v>20240430083458</v>
      </c>
      <c r="J1860" s="3" t="s">
        <v>7620</v>
      </c>
      <c r="K1860" s="3" t="s">
        <v>7621</v>
      </c>
      <c r="L1860" s="3" t="s">
        <v>7107</v>
      </c>
      <c r="M1860" s="3" t="n">
        <v>924335</v>
      </c>
      <c r="N1860" s="3" t="s">
        <v>602</v>
      </c>
      <c r="O1860" s="1" t="n">
        <v>907949</v>
      </c>
      <c r="P1860" s="1" t="n">
        <v>98.23</v>
      </c>
      <c r="Q1860" s="1" t="s">
        <v>20</v>
      </c>
      <c r="R1860" s="1" t="s">
        <v>27</v>
      </c>
      <c r="S1860" s="1" t="s">
        <v>28</v>
      </c>
      <c r="T1860" s="1" t="s">
        <v>29</v>
      </c>
    </row>
    <row r="1861" customFormat="false" ht="18.7" hidden="false" customHeight="true" outlineLevel="0" collapsed="false">
      <c r="A1861" s="1" t="n">
        <v>1860</v>
      </c>
      <c r="B1861" s="6" t="str">
        <f aca="false">HYPERLINK("https://mncourtfraud.com/file/MCRO_27-CR-21-21355_Order-Evaluation for Competency to Proceed (Rule 20.01)_2023-01-05_20240430083455.pdf","MCRO_27-CR-21-21355_Order-Evaluation for Competency to Proceed (Rule 20.01)_2023-01-05_20240430083455.pdf")</f>
        <v>MCRO_27-CR-21-21355_Order-Evaluation for Competency to Proceed (Rule 20.01)_2023-01-05_20240430083455.pdf</v>
      </c>
      <c r="C1861" s="1" t="n">
        <v>6</v>
      </c>
      <c r="D1861" s="1" t="n">
        <v>2</v>
      </c>
      <c r="E1861" s="1" t="n">
        <v>2</v>
      </c>
      <c r="F1861" s="3" t="s">
        <v>27</v>
      </c>
      <c r="G1861" s="3" t="s">
        <v>7622</v>
      </c>
      <c r="H1861" s="1" t="s">
        <v>22</v>
      </c>
      <c r="I1861" s="1" t="n">
        <v>20240430083455</v>
      </c>
      <c r="J1861" s="3" t="s">
        <v>7623</v>
      </c>
      <c r="K1861" s="3" t="s">
        <v>7624</v>
      </c>
      <c r="L1861" s="3" t="s">
        <v>7252</v>
      </c>
      <c r="M1861" s="3" t="n">
        <v>889992</v>
      </c>
      <c r="N1861" s="3" t="s">
        <v>810</v>
      </c>
      <c r="O1861" s="1" t="n">
        <v>873606</v>
      </c>
      <c r="P1861" s="1" t="n">
        <v>98.16</v>
      </c>
      <c r="Q1861" s="1" t="s">
        <v>20</v>
      </c>
      <c r="R1861" s="1" t="s">
        <v>27</v>
      </c>
      <c r="S1861" s="1" t="s">
        <v>28</v>
      </c>
      <c r="T1861" s="1" t="s">
        <v>29</v>
      </c>
    </row>
    <row r="1862" customFormat="false" ht="18.7" hidden="false" customHeight="true" outlineLevel="0" collapsed="false">
      <c r="A1862" s="1" t="n">
        <v>1861</v>
      </c>
      <c r="B1862" s="6" t="str">
        <f aca="false">HYPERLINK("https://mncourtfraud.com/file/MCRO_27-CR-21-21355_Order-Evaluation for Competency to Proceed (Rule 20.01)_2023-04-03_20240430083453.pdf","MCRO_27-CR-21-21355_Order-Evaluation for Competency to Proceed (Rule 20.01)_2023-04-03_20240430083453.pdf")</f>
        <v>MCRO_27-CR-21-21355_Order-Evaluation for Competency to Proceed (Rule 20.01)_2023-04-03_20240430083453.pdf</v>
      </c>
      <c r="C1862" s="1" t="n">
        <v>4</v>
      </c>
      <c r="D1862" s="1" t="n">
        <v>1</v>
      </c>
      <c r="E1862" s="1" t="n">
        <v>1</v>
      </c>
      <c r="F1862" s="3" t="s">
        <v>20</v>
      </c>
      <c r="G1862" s="3" t="s">
        <v>7625</v>
      </c>
      <c r="H1862" s="1" t="s">
        <v>22</v>
      </c>
      <c r="I1862" s="1" t="n">
        <v>20240430083453</v>
      </c>
      <c r="J1862" s="3" t="s">
        <v>7626</v>
      </c>
      <c r="K1862" s="3" t="s">
        <v>7627</v>
      </c>
      <c r="L1862" s="3" t="s">
        <v>7628</v>
      </c>
      <c r="M1862" s="3" t="n">
        <v>1092964</v>
      </c>
      <c r="N1862" s="3" t="s">
        <v>1128</v>
      </c>
      <c r="O1862" s="1" t="n">
        <v>1076578</v>
      </c>
      <c r="P1862" s="1" t="n">
        <v>98.5</v>
      </c>
      <c r="Q1862" s="1" t="s">
        <v>20</v>
      </c>
      <c r="R1862" s="1" t="s">
        <v>27</v>
      </c>
      <c r="S1862" s="1" t="s">
        <v>28</v>
      </c>
      <c r="T1862" s="1" t="s">
        <v>29</v>
      </c>
    </row>
    <row r="1863" customFormat="false" ht="18.7" hidden="false" customHeight="true" outlineLevel="0" collapsed="false">
      <c r="A1863" s="1" t="n">
        <v>1862</v>
      </c>
      <c r="B1863" s="6" t="str">
        <f aca="false">HYPERLINK("https://mncourtfraud.com/file/MCRO_27-CR-21-21355_Order-Evaluation for Competency to Proceed (Rule 20.01)_2023-09-18_20240430083448.pdf","MCRO_27-CR-21-21355_Order-Evaluation for Competency to Proceed (Rule 20.01)_2023-09-18_20240430083448.pdf")</f>
        <v>MCRO_27-CR-21-21355_Order-Evaluation for Competency to Proceed (Rule 20.01)_2023-09-18_20240430083448.pdf</v>
      </c>
      <c r="C1863" s="1" t="n">
        <v>6</v>
      </c>
      <c r="D1863" s="1" t="n">
        <v>2</v>
      </c>
      <c r="E1863" s="1" t="n">
        <v>2</v>
      </c>
      <c r="F1863" s="3" t="s">
        <v>27</v>
      </c>
      <c r="G1863" s="3" t="s">
        <v>7629</v>
      </c>
      <c r="H1863" s="1" t="s">
        <v>22</v>
      </c>
      <c r="I1863" s="1" t="n">
        <v>20240430083448</v>
      </c>
      <c r="J1863" s="3" t="s">
        <v>7630</v>
      </c>
      <c r="K1863" s="3" t="s">
        <v>7631</v>
      </c>
      <c r="L1863" s="3" t="s">
        <v>7119</v>
      </c>
      <c r="M1863" s="3" t="n">
        <v>868845</v>
      </c>
      <c r="N1863" s="3" t="s">
        <v>554</v>
      </c>
      <c r="O1863" s="1" t="n">
        <v>852459</v>
      </c>
      <c r="P1863" s="1" t="n">
        <v>98.11</v>
      </c>
      <c r="Q1863" s="1" t="s">
        <v>20</v>
      </c>
      <c r="R1863" s="1" t="s">
        <v>27</v>
      </c>
      <c r="S1863" s="1" t="s">
        <v>28</v>
      </c>
      <c r="T1863" s="1" t="s">
        <v>29</v>
      </c>
    </row>
    <row r="1864" customFormat="false" ht="18.7" hidden="false" customHeight="true" outlineLevel="0" collapsed="false">
      <c r="A1864" s="1" t="n">
        <v>1863</v>
      </c>
      <c r="B1864" s="6" t="str">
        <f aca="false">HYPERLINK("https://mncourtfraud.com/file/MCRO_27-CR-21-21355_Order-Evaluation for Competency to Proceed (Rule 20.01)_2024-01-26_20240430083444.pdf","MCRO_27-CR-21-21355_Order-Evaluation for Competency to Proceed (Rule 20.01)_2024-01-26_20240430083444.pdf")</f>
        <v>MCRO_27-CR-21-21355_Order-Evaluation for Competency to Proceed (Rule 20.01)_2024-01-26_20240430083444.pdf</v>
      </c>
      <c r="C1864" s="1" t="n">
        <v>6</v>
      </c>
      <c r="D1864" s="1" t="n">
        <v>2</v>
      </c>
      <c r="E1864" s="1" t="n">
        <v>2</v>
      </c>
      <c r="F1864" s="3" t="s">
        <v>20</v>
      </c>
      <c r="G1864" s="3" t="s">
        <v>7632</v>
      </c>
      <c r="H1864" s="1" t="s">
        <v>22</v>
      </c>
      <c r="I1864" s="1" t="n">
        <v>20240430083444</v>
      </c>
      <c r="J1864" s="3" t="s">
        <v>7633</v>
      </c>
      <c r="K1864" s="3" t="s">
        <v>7634</v>
      </c>
      <c r="L1864" s="3" t="s">
        <v>7635</v>
      </c>
      <c r="M1864" s="3" t="n">
        <v>868592</v>
      </c>
      <c r="N1864" s="3" t="s">
        <v>6214</v>
      </c>
      <c r="O1864" s="1" t="n">
        <v>852206</v>
      </c>
      <c r="P1864" s="1" t="n">
        <v>98.11</v>
      </c>
      <c r="Q1864" s="1" t="s">
        <v>20</v>
      </c>
      <c r="R1864" s="1" t="s">
        <v>27</v>
      </c>
      <c r="S1864" s="1" t="s">
        <v>28</v>
      </c>
      <c r="T1864" s="1" t="s">
        <v>29</v>
      </c>
    </row>
    <row r="1865" customFormat="false" ht="18.7" hidden="false" customHeight="true" outlineLevel="0" collapsed="false">
      <c r="A1865" s="1" t="n">
        <v>1864</v>
      </c>
      <c r="B1865" s="6" t="str">
        <f aca="false">HYPERLINK("https://mncourtfraud.com/file/MCRO_27-CR-21-21355_Order for Conditional Release_2021-11-18_20240430083508.pdf","MCRO_27-CR-21-21355_Order for Conditional Release_2021-11-18_20240430083508.pdf")</f>
        <v>MCRO_27-CR-21-21355_Order for Conditional Release_2021-11-18_20240430083508.pdf</v>
      </c>
      <c r="C1865" s="1" t="n">
        <v>4</v>
      </c>
      <c r="D1865" s="1" t="n">
        <v>1</v>
      </c>
      <c r="E1865" s="1" t="n">
        <v>1</v>
      </c>
      <c r="F1865" s="3" t="s">
        <v>20</v>
      </c>
      <c r="G1865" s="3" t="s">
        <v>7636</v>
      </c>
      <c r="H1865" s="1" t="s">
        <v>22</v>
      </c>
      <c r="I1865" s="1" t="n">
        <v>20240430083508</v>
      </c>
      <c r="J1865" s="3" t="s">
        <v>7637</v>
      </c>
      <c r="K1865" s="3" t="s">
        <v>7638</v>
      </c>
      <c r="L1865" s="3" t="s">
        <v>7639</v>
      </c>
      <c r="M1865" s="3" t="n">
        <v>813514</v>
      </c>
      <c r="N1865" s="3" t="s">
        <v>456</v>
      </c>
      <c r="O1865" s="1" t="n">
        <v>797128</v>
      </c>
      <c r="P1865" s="1" t="n">
        <v>97.99</v>
      </c>
      <c r="Q1865" s="1" t="s">
        <v>20</v>
      </c>
      <c r="R1865" s="1" t="s">
        <v>27</v>
      </c>
      <c r="S1865" s="1" t="s">
        <v>28</v>
      </c>
      <c r="T1865" s="1" t="s">
        <v>29</v>
      </c>
    </row>
    <row r="1866" customFormat="false" ht="18.7" hidden="false" customHeight="true" outlineLevel="0" collapsed="false">
      <c r="A1866" s="1" t="n">
        <v>1865</v>
      </c>
      <c r="B1866" s="6" t="str">
        <f aca="false">HYPERLINK("https://mncourtfraud.com/file/MCRO_27-CR-21-21355_Order for Conditional Release_2021-12-20_20240430083502.pdf","MCRO_27-CR-21-21355_Order for Conditional Release_2021-12-20_20240430083502.pdf")</f>
        <v>MCRO_27-CR-21-21355_Order for Conditional Release_2021-12-20_20240430083502.pdf</v>
      </c>
      <c r="C1866" s="1" t="n">
        <v>4</v>
      </c>
      <c r="D1866" s="1" t="n">
        <v>1</v>
      </c>
      <c r="E1866" s="1" t="n">
        <v>1</v>
      </c>
      <c r="F1866" s="3" t="s">
        <v>20</v>
      </c>
      <c r="G1866" s="3" t="s">
        <v>7640</v>
      </c>
      <c r="H1866" s="1" t="s">
        <v>22</v>
      </c>
      <c r="I1866" s="1" t="n">
        <v>20240430083502</v>
      </c>
      <c r="J1866" s="3" t="s">
        <v>7641</v>
      </c>
      <c r="K1866" s="3" t="s">
        <v>7642</v>
      </c>
      <c r="L1866" s="3" t="s">
        <v>7643</v>
      </c>
      <c r="M1866" s="3" t="n">
        <v>815262</v>
      </c>
      <c r="N1866" s="3" t="s">
        <v>680</v>
      </c>
      <c r="O1866" s="1" t="n">
        <v>798876</v>
      </c>
      <c r="P1866" s="1" t="n">
        <v>97.99</v>
      </c>
      <c r="Q1866" s="1" t="s">
        <v>20</v>
      </c>
      <c r="R1866" s="1" t="s">
        <v>27</v>
      </c>
      <c r="S1866" s="1" t="s">
        <v>28</v>
      </c>
      <c r="T1866" s="1" t="s">
        <v>29</v>
      </c>
    </row>
    <row r="1867" customFormat="false" ht="18.7" hidden="false" customHeight="true" outlineLevel="0" collapsed="false">
      <c r="A1867" s="1" t="n">
        <v>1866</v>
      </c>
      <c r="B1867" s="6" t="str">
        <f aca="false">HYPERLINK("https://mncourtfraud.com/file/MCRO_27-CR-21-21355_Order for Conditional Release_2022-05-31_20240430083500.pdf","MCRO_27-CR-21-21355_Order for Conditional Release_2022-05-31_20240430083500.pdf")</f>
        <v>MCRO_27-CR-21-21355_Order for Conditional Release_2022-05-31_20240430083500.pdf</v>
      </c>
      <c r="C1867" s="1" t="n">
        <v>4</v>
      </c>
      <c r="D1867" s="1" t="n">
        <v>1</v>
      </c>
      <c r="E1867" s="1" t="n">
        <v>1</v>
      </c>
      <c r="F1867" s="3" t="s">
        <v>20</v>
      </c>
      <c r="G1867" s="3" t="s">
        <v>7644</v>
      </c>
      <c r="H1867" s="1" t="s">
        <v>22</v>
      </c>
      <c r="I1867" s="1" t="n">
        <v>20240430083500</v>
      </c>
      <c r="J1867" s="3" t="s">
        <v>7645</v>
      </c>
      <c r="K1867" s="3" t="s">
        <v>7646</v>
      </c>
      <c r="L1867" s="3" t="s">
        <v>7647</v>
      </c>
      <c r="M1867" s="3" t="n">
        <v>803763</v>
      </c>
      <c r="N1867" s="3" t="s">
        <v>456</v>
      </c>
      <c r="O1867" s="1" t="n">
        <v>787377</v>
      </c>
      <c r="P1867" s="1" t="n">
        <v>97.96</v>
      </c>
      <c r="Q1867" s="1" t="s">
        <v>20</v>
      </c>
      <c r="R1867" s="1" t="s">
        <v>27</v>
      </c>
      <c r="S1867" s="1" t="s">
        <v>28</v>
      </c>
      <c r="T1867" s="1" t="s">
        <v>29</v>
      </c>
    </row>
    <row r="1868" customFormat="false" ht="18.7" hidden="false" customHeight="true" outlineLevel="0" collapsed="false">
      <c r="A1868" s="1" t="n">
        <v>1867</v>
      </c>
      <c r="B1868" s="6" t="str">
        <f aca="false">HYPERLINK("https://mncourtfraud.com/file/MCRO_27-CR-21-21355_Order for Conditional Release_2022-10-04_20240430083456.pdf","MCRO_27-CR-21-21355_Order for Conditional Release_2022-10-04_20240430083456.pdf")</f>
        <v>MCRO_27-CR-21-21355_Order for Conditional Release_2022-10-04_20240430083456.pdf</v>
      </c>
      <c r="C1868" s="1" t="n">
        <v>5</v>
      </c>
      <c r="D1868" s="1" t="n">
        <v>1</v>
      </c>
      <c r="E1868" s="1" t="n">
        <v>1</v>
      </c>
      <c r="F1868" s="3" t="s">
        <v>20</v>
      </c>
      <c r="G1868" s="3" t="s">
        <v>7648</v>
      </c>
      <c r="H1868" s="1" t="s">
        <v>22</v>
      </c>
      <c r="I1868" s="1" t="n">
        <v>20240430083456</v>
      </c>
      <c r="J1868" s="3" t="s">
        <v>7649</v>
      </c>
      <c r="K1868" s="3" t="s">
        <v>7650</v>
      </c>
      <c r="L1868" s="3" t="s">
        <v>7651</v>
      </c>
      <c r="M1868" s="3" t="n">
        <v>793300</v>
      </c>
      <c r="N1868" s="3" t="s">
        <v>7151</v>
      </c>
      <c r="O1868" s="1" t="n">
        <v>776914</v>
      </c>
      <c r="P1868" s="1" t="n">
        <v>97.93</v>
      </c>
      <c r="Q1868" s="1" t="s">
        <v>20</v>
      </c>
      <c r="R1868" s="1" t="s">
        <v>27</v>
      </c>
      <c r="S1868" s="1" t="s">
        <v>28</v>
      </c>
      <c r="T1868" s="1" t="s">
        <v>29</v>
      </c>
    </row>
    <row r="1869" customFormat="false" ht="18.7" hidden="false" customHeight="true" outlineLevel="0" collapsed="false">
      <c r="A1869" s="1" t="n">
        <v>1868</v>
      </c>
      <c r="B1869" s="6" t="str">
        <f aca="false">HYPERLINK("https://mncourtfraud.com/file/MCRO_27-CR-21-21355_Order for Conditional Release_2023-04-03_20240430083454.pdf","MCRO_27-CR-21-21355_Order for Conditional Release_2023-04-03_20240430083454.pdf")</f>
        <v>MCRO_27-CR-21-21355_Order for Conditional Release_2023-04-03_20240430083454.pdf</v>
      </c>
      <c r="C1869" s="1" t="n">
        <v>4</v>
      </c>
      <c r="D1869" s="1" t="n">
        <v>1</v>
      </c>
      <c r="E1869" s="1" t="n">
        <v>1</v>
      </c>
      <c r="F1869" s="3" t="s">
        <v>20</v>
      </c>
      <c r="G1869" s="3" t="s">
        <v>7652</v>
      </c>
      <c r="H1869" s="1" t="s">
        <v>22</v>
      </c>
      <c r="I1869" s="1" t="n">
        <v>20240430083454</v>
      </c>
      <c r="J1869" s="3" t="s">
        <v>7653</v>
      </c>
      <c r="K1869" s="3" t="s">
        <v>7654</v>
      </c>
      <c r="L1869" s="3" t="s">
        <v>7655</v>
      </c>
      <c r="M1869" s="3" t="n">
        <v>822773</v>
      </c>
      <c r="N1869" s="3" t="s">
        <v>158</v>
      </c>
      <c r="O1869" s="1" t="n">
        <v>806387</v>
      </c>
      <c r="P1869" s="1" t="n">
        <v>98.01</v>
      </c>
      <c r="Q1869" s="1" t="s">
        <v>20</v>
      </c>
      <c r="R1869" s="1" t="s">
        <v>27</v>
      </c>
      <c r="S1869" s="1" t="s">
        <v>28</v>
      </c>
      <c r="T1869" s="1" t="s">
        <v>29</v>
      </c>
    </row>
    <row r="1870" customFormat="false" ht="18.7" hidden="false" customHeight="true" outlineLevel="0" collapsed="false">
      <c r="A1870" s="1" t="n">
        <v>1869</v>
      </c>
      <c r="B1870" s="6" t="str">
        <f aca="false">HYPERLINK("https://mncourtfraud.com/file/MCRO_27-CR-21-21355_Order for Conditional Release_2023-06-13_20240430083450.pdf","MCRO_27-CR-21-21355_Order for Conditional Release_2023-06-13_20240430083450.pdf")</f>
        <v>MCRO_27-CR-21-21355_Order for Conditional Release_2023-06-13_20240430083450.pdf</v>
      </c>
      <c r="C1870" s="1" t="n">
        <v>4</v>
      </c>
      <c r="D1870" s="1" t="n">
        <v>1</v>
      </c>
      <c r="E1870" s="1" t="n">
        <v>1</v>
      </c>
      <c r="F1870" s="3" t="s">
        <v>20</v>
      </c>
      <c r="G1870" s="3" t="s">
        <v>7656</v>
      </c>
      <c r="H1870" s="1" t="s">
        <v>22</v>
      </c>
      <c r="I1870" s="1" t="n">
        <v>20240430083450</v>
      </c>
      <c r="J1870" s="3" t="s">
        <v>7657</v>
      </c>
      <c r="K1870" s="3" t="s">
        <v>7658</v>
      </c>
      <c r="L1870" s="3" t="s">
        <v>7659</v>
      </c>
      <c r="M1870" s="3" t="n">
        <v>860232</v>
      </c>
      <c r="N1870" s="3" t="s">
        <v>158</v>
      </c>
      <c r="O1870" s="1" t="n">
        <v>843846</v>
      </c>
      <c r="P1870" s="1" t="n">
        <v>98.1</v>
      </c>
      <c r="Q1870" s="1" t="s">
        <v>20</v>
      </c>
      <c r="R1870" s="1" t="s">
        <v>27</v>
      </c>
      <c r="S1870" s="1" t="s">
        <v>28</v>
      </c>
      <c r="T1870" s="1" t="s">
        <v>29</v>
      </c>
    </row>
    <row r="1871" customFormat="false" ht="18.7" hidden="false" customHeight="true" outlineLevel="0" collapsed="false">
      <c r="A1871" s="1" t="n">
        <v>1870</v>
      </c>
      <c r="B1871" s="6" t="str">
        <f aca="false">HYPERLINK("https://mncourtfraud.com/file/MCRO_27-CR-21-21355_Order Revoking Interim Conditions of Release_2021-12-14_20240430083504.pdf","MCRO_27-CR-21-21355_Order Revoking Interim Conditions of Release_2021-12-14_20240430083504.pdf")</f>
        <v>MCRO_27-CR-21-21355_Order Revoking Interim Conditions of Release_2021-12-14_20240430083504.pdf</v>
      </c>
      <c r="C1871" s="1" t="n">
        <v>5</v>
      </c>
      <c r="D1871" s="1" t="n">
        <v>3</v>
      </c>
      <c r="E1871" s="1" t="n">
        <v>3</v>
      </c>
      <c r="F1871" s="3" t="s">
        <v>20</v>
      </c>
      <c r="G1871" s="3" t="s">
        <v>7660</v>
      </c>
      <c r="H1871" s="1" t="s">
        <v>22</v>
      </c>
      <c r="I1871" s="1" t="n">
        <v>20240430083504</v>
      </c>
      <c r="J1871" s="3" t="s">
        <v>7661</v>
      </c>
      <c r="K1871" s="3" t="s">
        <v>7662</v>
      </c>
      <c r="L1871" s="3" t="s">
        <v>7663</v>
      </c>
      <c r="M1871" s="3" t="n">
        <v>365778</v>
      </c>
      <c r="N1871" s="3" t="s">
        <v>4192</v>
      </c>
      <c r="O1871" s="1" t="n">
        <v>349392</v>
      </c>
      <c r="P1871" s="1" t="n">
        <v>95.52</v>
      </c>
      <c r="Q1871" s="1" t="s">
        <v>20</v>
      </c>
      <c r="R1871" s="1" t="s">
        <v>27</v>
      </c>
      <c r="S1871" s="1" t="s">
        <v>28</v>
      </c>
      <c r="T1871" s="1" t="s">
        <v>29</v>
      </c>
    </row>
    <row r="1872" customFormat="false" ht="18.7" hidden="false" customHeight="true" outlineLevel="0" collapsed="false">
      <c r="A1872" s="1" t="n">
        <v>1871</v>
      </c>
      <c r="B1872" s="6" t="str">
        <f aca="false">HYPERLINK("https://mncourtfraud.com/file/MCRO_27-CR-21-21355_Other Document_2022-02-28_20240430083501.pdf","MCRO_27-CR-21-21355_Other Document_2022-02-28_20240430083501.pdf")</f>
        <v>MCRO_27-CR-21-21355_Other Document_2022-02-28_20240430083501.pdf</v>
      </c>
      <c r="C1872" s="1" t="n">
        <v>5</v>
      </c>
      <c r="D1872" s="1" t="n">
        <v>1</v>
      </c>
      <c r="E1872" s="1" t="n">
        <v>1</v>
      </c>
      <c r="F1872" s="3" t="s">
        <v>20</v>
      </c>
      <c r="G1872" s="3" t="s">
        <v>7664</v>
      </c>
      <c r="H1872" s="1" t="s">
        <v>22</v>
      </c>
      <c r="I1872" s="1" t="n">
        <v>20240430083501</v>
      </c>
      <c r="J1872" s="3" t="s">
        <v>7665</v>
      </c>
      <c r="K1872" s="3" t="s">
        <v>7666</v>
      </c>
      <c r="L1872" s="3" t="s">
        <v>7164</v>
      </c>
      <c r="M1872" s="3" t="n">
        <v>737957</v>
      </c>
      <c r="N1872" s="3" t="s">
        <v>6298</v>
      </c>
      <c r="O1872" s="1" t="n">
        <v>721571</v>
      </c>
      <c r="P1872" s="1" t="n">
        <v>97.78</v>
      </c>
      <c r="Q1872" s="1" t="s">
        <v>20</v>
      </c>
      <c r="R1872" s="1" t="s">
        <v>27</v>
      </c>
      <c r="S1872" s="1" t="s">
        <v>28</v>
      </c>
      <c r="T1872" s="1" t="s">
        <v>29</v>
      </c>
    </row>
    <row r="1873" customFormat="false" ht="18.7" hidden="false" customHeight="true" outlineLevel="0" collapsed="false">
      <c r="A1873" s="1" t="n">
        <v>1872</v>
      </c>
      <c r="B1873" s="6" t="str">
        <f aca="false">HYPERLINK("https://mncourtfraud.com/file/MCRO_27-CR-21-21355_Other Document_2022-05-31_20240430083459.pdf","MCRO_27-CR-21-21355_Other Document_2022-05-31_20240430083459.pdf")</f>
        <v>MCRO_27-CR-21-21355_Other Document_2022-05-31_20240430083459.pdf</v>
      </c>
      <c r="C1873" s="1" t="n">
        <v>4</v>
      </c>
      <c r="D1873" s="1" t="n">
        <v>1</v>
      </c>
      <c r="E1873" s="1" t="n">
        <v>1</v>
      </c>
      <c r="F1873" s="3" t="s">
        <v>20</v>
      </c>
      <c r="G1873" s="3" t="s">
        <v>7667</v>
      </c>
      <c r="H1873" s="1" t="s">
        <v>22</v>
      </c>
      <c r="I1873" s="1" t="n">
        <v>20240430083459</v>
      </c>
      <c r="J1873" s="3" t="s">
        <v>7668</v>
      </c>
      <c r="K1873" s="3" t="s">
        <v>7669</v>
      </c>
      <c r="L1873" s="3" t="s">
        <v>7168</v>
      </c>
      <c r="M1873" s="3" t="n">
        <v>274168</v>
      </c>
      <c r="N1873" s="3" t="s">
        <v>4614</v>
      </c>
      <c r="O1873" s="1" t="n">
        <v>257782</v>
      </c>
      <c r="P1873" s="1" t="n">
        <v>94.02</v>
      </c>
      <c r="Q1873" s="1" t="s">
        <v>20</v>
      </c>
      <c r="R1873" s="1" t="s">
        <v>27</v>
      </c>
      <c r="S1873" s="1" t="s">
        <v>28</v>
      </c>
      <c r="T1873" s="1" t="s">
        <v>29</v>
      </c>
    </row>
    <row r="1874" customFormat="false" ht="18.7" hidden="false" customHeight="true" outlineLevel="0" collapsed="false">
      <c r="A1874" s="1" t="n">
        <v>1873</v>
      </c>
      <c r="B1874" s="6" t="str">
        <f aca="false">HYPERLINK("https://mncourtfraud.com/file/MCRO_27-CR-21-21355_Proposed Order or Document_2021-12-14_20240430083505.pdf","MCRO_27-CR-21-21355_Proposed Order or Document_2021-12-14_20240430083505.pdf")</f>
        <v>MCRO_27-CR-21-21355_Proposed Order or Document_2021-12-14_20240430083505.pdf</v>
      </c>
      <c r="C1874" s="1" t="n">
        <v>3</v>
      </c>
      <c r="D1874" s="1" t="n">
        <v>1</v>
      </c>
      <c r="E1874" s="1" t="n">
        <v>1</v>
      </c>
      <c r="F1874" s="3" t="s">
        <v>20</v>
      </c>
      <c r="G1874" s="3" t="s">
        <v>7670</v>
      </c>
      <c r="H1874" s="1" t="s">
        <v>22</v>
      </c>
      <c r="I1874" s="1" t="n">
        <v>20240430083505</v>
      </c>
      <c r="J1874" s="3" t="s">
        <v>7671</v>
      </c>
      <c r="K1874" s="3" t="s">
        <v>7672</v>
      </c>
      <c r="L1874" s="3" t="s">
        <v>7673</v>
      </c>
      <c r="M1874" s="3" t="n">
        <v>183083</v>
      </c>
      <c r="N1874" s="3" t="s">
        <v>7674</v>
      </c>
      <c r="O1874" s="1" t="n">
        <v>166697</v>
      </c>
      <c r="P1874" s="1" t="n">
        <v>91.05</v>
      </c>
      <c r="Q1874" s="1" t="s">
        <v>20</v>
      </c>
      <c r="R1874" s="1" t="s">
        <v>27</v>
      </c>
      <c r="S1874" s="1" t="s">
        <v>28</v>
      </c>
      <c r="T1874" s="1" t="s">
        <v>29</v>
      </c>
    </row>
    <row r="1875" customFormat="false" ht="18.7" hidden="false" customHeight="true" outlineLevel="0" collapsed="false">
      <c r="A1875" s="1" t="n">
        <v>1874</v>
      </c>
      <c r="B1875" s="6" t="str">
        <f aca="false">HYPERLINK("https://mncourtfraud.com/file/MCRO_27-CR-21-21355_Returned Mail_2023-12-29_20240430083445.pdf","MCRO_27-CR-21-21355_Returned Mail_2023-12-29_20240430083445.pdf")</f>
        <v>MCRO_27-CR-21-21355_Returned Mail_2023-12-29_20240430083445.pdf</v>
      </c>
      <c r="C1875" s="1" t="n">
        <v>4</v>
      </c>
      <c r="D1875" s="1" t="n">
        <v>1</v>
      </c>
      <c r="E1875" s="1" t="n">
        <v>1</v>
      </c>
      <c r="F1875" s="3" t="s">
        <v>20</v>
      </c>
      <c r="G1875" s="3" t="s">
        <v>7675</v>
      </c>
      <c r="H1875" s="1" t="s">
        <v>22</v>
      </c>
      <c r="I1875" s="1" t="n">
        <v>20240430083445</v>
      </c>
      <c r="J1875" s="3" t="s">
        <v>7676</v>
      </c>
      <c r="K1875" s="3" t="s">
        <v>7677</v>
      </c>
      <c r="L1875" s="3" t="s">
        <v>7678</v>
      </c>
      <c r="M1875" s="3" t="n">
        <v>288964</v>
      </c>
      <c r="N1875" s="3" t="s">
        <v>158</v>
      </c>
      <c r="O1875" s="1" t="n">
        <v>272578</v>
      </c>
      <c r="P1875" s="1" t="n">
        <v>94.33</v>
      </c>
      <c r="Q1875" s="1" t="s">
        <v>20</v>
      </c>
      <c r="R1875" s="1" t="s">
        <v>27</v>
      </c>
      <c r="S1875" s="1" t="s">
        <v>28</v>
      </c>
      <c r="T1875" s="1" t="s">
        <v>29</v>
      </c>
    </row>
    <row r="1876" customFormat="false" ht="18.7" hidden="false" customHeight="true" outlineLevel="0" collapsed="false">
      <c r="A1876" s="1" t="n">
        <v>1875</v>
      </c>
      <c r="B1876" s="6" t="str">
        <f aca="false">HYPERLINK("https://mncourtfraud.com/file/MCRO_27-CR-21-22058_Demand or Request for Discovery_2021-12-02_20240430083606.pdf","MCRO_27-CR-21-22058_Demand or Request for Discovery_2021-12-02_20240430083606.pdf")</f>
        <v>MCRO_27-CR-21-22058_Demand or Request for Discovery_2021-12-02_20240430083606.pdf</v>
      </c>
      <c r="C1876" s="1" t="n">
        <v>3</v>
      </c>
      <c r="D1876" s="1" t="n">
        <v>1</v>
      </c>
      <c r="E1876" s="1" t="n">
        <v>1</v>
      </c>
      <c r="F1876" s="3" t="s">
        <v>20</v>
      </c>
      <c r="G1876" s="3" t="s">
        <v>7679</v>
      </c>
      <c r="H1876" s="1" t="s">
        <v>22</v>
      </c>
      <c r="I1876" s="1" t="n">
        <v>20240430083606</v>
      </c>
      <c r="J1876" s="3" t="s">
        <v>7680</v>
      </c>
      <c r="K1876" s="3" t="s">
        <v>7681</v>
      </c>
      <c r="L1876" s="3" t="s">
        <v>7682</v>
      </c>
      <c r="M1876" s="3" t="n">
        <v>370708</v>
      </c>
      <c r="N1876" s="3" t="s">
        <v>5604</v>
      </c>
      <c r="O1876" s="1" t="n">
        <v>354322</v>
      </c>
      <c r="P1876" s="1" t="n">
        <v>95.58</v>
      </c>
      <c r="Q1876" s="1" t="s">
        <v>20</v>
      </c>
      <c r="R1876" s="1" t="s">
        <v>27</v>
      </c>
      <c r="S1876" s="1" t="s">
        <v>28</v>
      </c>
      <c r="T1876" s="1" t="s">
        <v>29</v>
      </c>
    </row>
    <row r="1877" customFormat="false" ht="18.7" hidden="false" customHeight="true" outlineLevel="0" collapsed="false">
      <c r="A1877" s="1" t="n">
        <v>1876</v>
      </c>
      <c r="B1877" s="6" t="str">
        <f aca="false">HYPERLINK("https://mncourtfraud.com/file/MCRO_27-CR-21-22058_E-filed Comp-Order for Detention_2021-11-30_20240430083608.pdf","MCRO_27-CR-21-22058_E-filed Comp-Order for Detention_2021-11-30_20240430083608.pdf")</f>
        <v>MCRO_27-CR-21-22058_E-filed Comp-Order for Detention_2021-11-30_20240430083608.pdf</v>
      </c>
      <c r="C1877" s="1" t="n">
        <v>4</v>
      </c>
      <c r="D1877" s="1" t="n">
        <v>2</v>
      </c>
      <c r="E1877" s="1" t="n">
        <v>2</v>
      </c>
      <c r="F1877" s="3" t="s">
        <v>20</v>
      </c>
      <c r="G1877" s="3" t="s">
        <v>7683</v>
      </c>
      <c r="H1877" s="1" t="s">
        <v>22</v>
      </c>
      <c r="I1877" s="1" t="n">
        <v>20240430083608</v>
      </c>
      <c r="J1877" s="3" t="s">
        <v>7684</v>
      </c>
      <c r="K1877" s="3" t="s">
        <v>7685</v>
      </c>
      <c r="L1877" s="3" t="s">
        <v>7686</v>
      </c>
      <c r="M1877" s="3" t="n">
        <v>499467</v>
      </c>
      <c r="N1877" s="3" t="s">
        <v>7588</v>
      </c>
      <c r="O1877" s="1" t="n">
        <v>483081</v>
      </c>
      <c r="P1877" s="1" t="n">
        <v>96.72</v>
      </c>
      <c r="Q1877" s="1" t="s">
        <v>20</v>
      </c>
      <c r="R1877" s="1" t="s">
        <v>27</v>
      </c>
      <c r="S1877" s="1" t="s">
        <v>28</v>
      </c>
      <c r="T1877" s="1" t="s">
        <v>29</v>
      </c>
    </row>
    <row r="1878" customFormat="false" ht="18.7" hidden="false" customHeight="true" outlineLevel="0" collapsed="false">
      <c r="A1878" s="1" t="n">
        <v>1877</v>
      </c>
      <c r="B1878" s="6" t="str">
        <f aca="false">HYPERLINK("https://mncourtfraud.com/file/MCRO_27-CR-21-22058_Finding of Incompetency and Order_2023-06-06_20240430083549.pdf","MCRO_27-CR-21-22058_Finding of Incompetency and Order_2023-06-06_20240430083549.pdf")</f>
        <v>MCRO_27-CR-21-22058_Finding of Incompetency and Order_2023-06-06_20240430083549.pdf</v>
      </c>
      <c r="C1878" s="1" t="n">
        <v>9</v>
      </c>
      <c r="D1878" s="1" t="n">
        <v>3</v>
      </c>
      <c r="E1878" s="1" t="n">
        <v>3</v>
      </c>
      <c r="F1878" s="3" t="s">
        <v>27</v>
      </c>
      <c r="G1878" s="3" t="s">
        <v>7687</v>
      </c>
      <c r="H1878" s="1" t="s">
        <v>22</v>
      </c>
      <c r="I1878" s="1" t="n">
        <v>20240430083549</v>
      </c>
      <c r="J1878" s="3" t="s">
        <v>7688</v>
      </c>
      <c r="K1878" s="3" t="s">
        <v>7689</v>
      </c>
      <c r="L1878" s="3" t="s">
        <v>7690</v>
      </c>
      <c r="M1878" s="3" t="n">
        <v>963637</v>
      </c>
      <c r="N1878" s="3" t="s">
        <v>385</v>
      </c>
      <c r="O1878" s="1" t="n">
        <v>947251</v>
      </c>
      <c r="P1878" s="1" t="n">
        <v>98.3</v>
      </c>
      <c r="Q1878" s="1" t="s">
        <v>20</v>
      </c>
      <c r="R1878" s="1" t="s">
        <v>27</v>
      </c>
      <c r="S1878" s="1" t="s">
        <v>28</v>
      </c>
      <c r="T1878" s="1" t="s">
        <v>29</v>
      </c>
    </row>
    <row r="1879" customFormat="false" ht="18.7" hidden="false" customHeight="true" outlineLevel="0" collapsed="false">
      <c r="A1879" s="1" t="n">
        <v>1878</v>
      </c>
      <c r="B1879" s="6" t="str">
        <f aca="false">HYPERLINK("https://mncourtfraud.com/file/MCRO_27-CR-21-22058_Finding of Incompetency and Order_2024-03-20_20240430083543.pdf","MCRO_27-CR-21-22058_Finding of Incompetency and Order_2024-03-20_20240430083543.pdf")</f>
        <v>MCRO_27-CR-21-22058_Finding of Incompetency and Order_2024-03-20_20240430083543.pdf</v>
      </c>
      <c r="C1879" s="1" t="n">
        <v>9</v>
      </c>
      <c r="D1879" s="1" t="n">
        <v>3</v>
      </c>
      <c r="E1879" s="1" t="n">
        <v>3</v>
      </c>
      <c r="F1879" s="3" t="s">
        <v>20</v>
      </c>
      <c r="G1879" s="3" t="s">
        <v>7691</v>
      </c>
      <c r="H1879" s="1" t="s">
        <v>22</v>
      </c>
      <c r="I1879" s="1" t="n">
        <v>20240430083543</v>
      </c>
      <c r="J1879" s="3" t="s">
        <v>7692</v>
      </c>
      <c r="K1879" s="3" t="s">
        <v>7693</v>
      </c>
      <c r="L1879" s="3" t="s">
        <v>7694</v>
      </c>
      <c r="M1879" s="3" t="n">
        <v>959870</v>
      </c>
      <c r="N1879" s="3" t="s">
        <v>390</v>
      </c>
      <c r="O1879" s="1" t="n">
        <v>943484</v>
      </c>
      <c r="P1879" s="1" t="n">
        <v>98.29</v>
      </c>
      <c r="Q1879" s="1" t="s">
        <v>20</v>
      </c>
      <c r="R1879" s="1" t="s">
        <v>27</v>
      </c>
      <c r="S1879" s="1" t="s">
        <v>28</v>
      </c>
      <c r="T1879" s="1" t="s">
        <v>29</v>
      </c>
    </row>
    <row r="1880" customFormat="false" ht="18.7" hidden="false" customHeight="true" outlineLevel="0" collapsed="false">
      <c r="A1880" s="1" t="n">
        <v>1879</v>
      </c>
      <c r="B1880" s="6" t="str">
        <f aca="false">HYPERLINK("https://mncourtfraud.com/file/MCRO_27-CR-21-22058_Law Enforcement Notice of Release and Appearance_2021-12-14_20240430083604.pdf","MCRO_27-CR-21-22058_Law Enforcement Notice of Release and Appearance_2021-12-14_20240430083604.pdf")</f>
        <v>MCRO_27-CR-21-22058_Law Enforcement Notice of Release and Appearance_2021-12-14_20240430083604.pdf</v>
      </c>
      <c r="C1880" s="1" t="n">
        <v>4</v>
      </c>
      <c r="D1880" s="1" t="n">
        <v>1</v>
      </c>
      <c r="E1880" s="1" t="n">
        <v>1</v>
      </c>
      <c r="F1880" s="3" t="s">
        <v>20</v>
      </c>
      <c r="G1880" s="3" t="s">
        <v>7695</v>
      </c>
      <c r="H1880" s="1" t="s">
        <v>22</v>
      </c>
      <c r="I1880" s="1" t="n">
        <v>20240430083604</v>
      </c>
      <c r="J1880" s="3" t="s">
        <v>7696</v>
      </c>
      <c r="K1880" s="3" t="s">
        <v>7697</v>
      </c>
      <c r="L1880" s="3" t="s">
        <v>7698</v>
      </c>
      <c r="M1880" s="3" t="n">
        <v>111016</v>
      </c>
      <c r="N1880" s="3" t="s">
        <v>456</v>
      </c>
      <c r="O1880" s="1" t="n">
        <v>94630</v>
      </c>
      <c r="P1880" s="1" t="n">
        <v>85.24</v>
      </c>
      <c r="Q1880" s="1" t="s">
        <v>20</v>
      </c>
      <c r="R1880" s="1" t="s">
        <v>27</v>
      </c>
      <c r="S1880" s="1" t="s">
        <v>28</v>
      </c>
      <c r="T1880" s="1" t="s">
        <v>29</v>
      </c>
    </row>
    <row r="1881" customFormat="false" ht="18.7" hidden="false" customHeight="true" outlineLevel="0" collapsed="false">
      <c r="A1881" s="1" t="n">
        <v>1880</v>
      </c>
      <c r="B1881" s="6" t="str">
        <f aca="false">HYPERLINK("https://mncourtfraud.com/file/MCRO_27-CR-21-22058_Non-Cash Bond Posted_2021-12-13_20240430083605.pdf","MCRO_27-CR-21-22058_Non-Cash Bond Posted_2021-12-13_20240430083605.pdf")</f>
        <v>MCRO_27-CR-21-22058_Non-Cash Bond Posted_2021-12-13_20240430083605.pdf</v>
      </c>
      <c r="C1881" s="1" t="n">
        <v>4</v>
      </c>
      <c r="D1881" s="1" t="n">
        <v>1</v>
      </c>
      <c r="E1881" s="1" t="n">
        <v>1</v>
      </c>
      <c r="F1881" s="3" t="s">
        <v>20</v>
      </c>
      <c r="G1881" s="3" t="s">
        <v>7699</v>
      </c>
      <c r="H1881" s="1" t="s">
        <v>22</v>
      </c>
      <c r="I1881" s="1" t="n">
        <v>20240430083605</v>
      </c>
      <c r="J1881" s="3" t="s">
        <v>7700</v>
      </c>
      <c r="K1881" s="3" t="s">
        <v>7701</v>
      </c>
      <c r="L1881" s="3" t="s">
        <v>7702</v>
      </c>
      <c r="M1881" s="3" t="n">
        <v>175200</v>
      </c>
      <c r="N1881" s="3" t="s">
        <v>1065</v>
      </c>
      <c r="O1881" s="1" t="n">
        <v>158814</v>
      </c>
      <c r="P1881" s="1" t="n">
        <v>90.65</v>
      </c>
      <c r="Q1881" s="1" t="s">
        <v>20</v>
      </c>
      <c r="R1881" s="1" t="s">
        <v>27</v>
      </c>
      <c r="S1881" s="1" t="s">
        <v>28</v>
      </c>
      <c r="T1881" s="1" t="s">
        <v>29</v>
      </c>
    </row>
    <row r="1882" customFormat="false" ht="18.7" hidden="false" customHeight="true" outlineLevel="0" collapsed="false">
      <c r="A1882" s="1" t="n">
        <v>1881</v>
      </c>
      <c r="B1882" s="6" t="str">
        <f aca="false">HYPERLINK("https://mncourtfraud.com/file/MCRO_27-CR-21-22058_Notice of Hearing_2022-08-29_20240430083558.pdf","MCRO_27-CR-21-22058_Notice of Hearing_2022-08-29_20240430083558.pdf")</f>
        <v>MCRO_27-CR-21-22058_Notice of Hearing_2022-08-29_20240430083558.pdf</v>
      </c>
      <c r="C1882" s="1" t="n">
        <v>5</v>
      </c>
      <c r="D1882" s="1" t="n">
        <v>1</v>
      </c>
      <c r="E1882" s="1" t="n">
        <v>1</v>
      </c>
      <c r="F1882" s="3" t="s">
        <v>20</v>
      </c>
      <c r="G1882" s="3" t="s">
        <v>7703</v>
      </c>
      <c r="H1882" s="1" t="s">
        <v>22</v>
      </c>
      <c r="I1882" s="1" t="n">
        <v>20240430083558</v>
      </c>
      <c r="J1882" s="3" t="s">
        <v>7704</v>
      </c>
      <c r="K1882" s="3" t="s">
        <v>7705</v>
      </c>
      <c r="L1882" s="3" t="s">
        <v>7706</v>
      </c>
      <c r="M1882" s="3" t="n">
        <v>191501</v>
      </c>
      <c r="N1882" s="3" t="s">
        <v>467</v>
      </c>
      <c r="O1882" s="1" t="n">
        <v>175115</v>
      </c>
      <c r="P1882" s="1" t="n">
        <v>91.44</v>
      </c>
      <c r="Q1882" s="1" t="s">
        <v>20</v>
      </c>
      <c r="R1882" s="1" t="s">
        <v>27</v>
      </c>
      <c r="S1882" s="1" t="s">
        <v>28</v>
      </c>
      <c r="T1882" s="1" t="s">
        <v>29</v>
      </c>
    </row>
    <row r="1883" customFormat="false" ht="18.7" hidden="false" customHeight="true" outlineLevel="0" collapsed="false">
      <c r="A1883" s="1" t="n">
        <v>1882</v>
      </c>
      <c r="B1883" s="6" t="str">
        <f aca="false">HYPERLINK("https://mncourtfraud.com/file/MCRO_27-CR-21-22058_Notice of Hearing_2022-09-15_20240430083557.pdf","MCRO_27-CR-21-22058_Notice of Hearing_2022-09-15_20240430083557.pdf")</f>
        <v>MCRO_27-CR-21-22058_Notice of Hearing_2022-09-15_20240430083557.pdf</v>
      </c>
      <c r="C1883" s="1" t="n">
        <v>5</v>
      </c>
      <c r="D1883" s="1" t="n">
        <v>1</v>
      </c>
      <c r="E1883" s="1" t="n">
        <v>1</v>
      </c>
      <c r="F1883" s="3" t="s">
        <v>20</v>
      </c>
      <c r="G1883" s="3" t="s">
        <v>7707</v>
      </c>
      <c r="H1883" s="1" t="s">
        <v>22</v>
      </c>
      <c r="I1883" s="1" t="n">
        <v>20240430083557</v>
      </c>
      <c r="J1883" s="3" t="s">
        <v>7708</v>
      </c>
      <c r="K1883" s="3" t="s">
        <v>7709</v>
      </c>
      <c r="L1883" s="3" t="s">
        <v>7710</v>
      </c>
      <c r="M1883" s="3" t="n">
        <v>191922</v>
      </c>
      <c r="N1883" s="3" t="s">
        <v>467</v>
      </c>
      <c r="O1883" s="1" t="n">
        <v>175536</v>
      </c>
      <c r="P1883" s="1" t="n">
        <v>91.46</v>
      </c>
      <c r="Q1883" s="1" t="s">
        <v>20</v>
      </c>
      <c r="R1883" s="1" t="s">
        <v>27</v>
      </c>
      <c r="S1883" s="1" t="s">
        <v>28</v>
      </c>
      <c r="T1883" s="1" t="s">
        <v>29</v>
      </c>
    </row>
    <row r="1884" customFormat="false" ht="18.7" hidden="false" customHeight="true" outlineLevel="0" collapsed="false">
      <c r="A1884" s="1" t="n">
        <v>1883</v>
      </c>
      <c r="B1884" s="6" t="str">
        <f aca="false">HYPERLINK("https://mncourtfraud.com/file/MCRO_27-CR-21-22058_Notice of Hearing_2022-09-21_20240430083555.pdf","MCRO_27-CR-21-22058_Notice of Hearing_2022-09-21_20240430083555.pdf")</f>
        <v>MCRO_27-CR-21-22058_Notice of Hearing_2022-09-21_20240430083555.pdf</v>
      </c>
      <c r="C1884" s="1" t="n">
        <v>5</v>
      </c>
      <c r="D1884" s="1" t="n">
        <v>1</v>
      </c>
      <c r="E1884" s="1" t="n">
        <v>1</v>
      </c>
      <c r="F1884" s="3" t="s">
        <v>20</v>
      </c>
      <c r="G1884" s="3" t="s">
        <v>7711</v>
      </c>
      <c r="H1884" s="1" t="s">
        <v>22</v>
      </c>
      <c r="I1884" s="1" t="n">
        <v>20240430083555</v>
      </c>
      <c r="J1884" s="3" t="s">
        <v>7712</v>
      </c>
      <c r="K1884" s="3" t="s">
        <v>7713</v>
      </c>
      <c r="L1884" s="3" t="s">
        <v>7714</v>
      </c>
      <c r="M1884" s="3" t="n">
        <v>191649</v>
      </c>
      <c r="N1884" s="3" t="s">
        <v>476</v>
      </c>
      <c r="O1884" s="1" t="n">
        <v>175263</v>
      </c>
      <c r="P1884" s="1" t="n">
        <v>91.45</v>
      </c>
      <c r="Q1884" s="1" t="s">
        <v>20</v>
      </c>
      <c r="R1884" s="1" t="s">
        <v>27</v>
      </c>
      <c r="S1884" s="1" t="s">
        <v>28</v>
      </c>
      <c r="T1884" s="1" t="s">
        <v>29</v>
      </c>
    </row>
    <row r="1885" customFormat="false" ht="18.7" hidden="false" customHeight="true" outlineLevel="0" collapsed="false">
      <c r="A1885" s="1" t="n">
        <v>1884</v>
      </c>
      <c r="B1885" s="6" t="str">
        <f aca="false">HYPERLINK("https://mncourtfraud.com/file/MCRO_27-CR-21-22058_Notice of Remote Hearing with Instructions_2021-12-14_20240430083602.pdf","MCRO_27-CR-21-22058_Notice of Remote Hearing with Instructions_2021-12-14_20240430083602.pdf")</f>
        <v>MCRO_27-CR-21-22058_Notice of Remote Hearing with Instructions_2021-12-14_20240430083602.pdf</v>
      </c>
      <c r="C1885" s="1" t="n">
        <v>4</v>
      </c>
      <c r="D1885" s="1" t="n">
        <v>1</v>
      </c>
      <c r="E1885" s="1" t="n">
        <v>1</v>
      </c>
      <c r="F1885" s="3" t="s">
        <v>20</v>
      </c>
      <c r="G1885" s="3" t="s">
        <v>7715</v>
      </c>
      <c r="H1885" s="1" t="s">
        <v>22</v>
      </c>
      <c r="I1885" s="1" t="n">
        <v>20240430083602</v>
      </c>
      <c r="J1885" s="3" t="s">
        <v>7716</v>
      </c>
      <c r="K1885" s="3" t="s">
        <v>7717</v>
      </c>
      <c r="L1885" s="3" t="s">
        <v>7718</v>
      </c>
      <c r="M1885" s="3" t="n">
        <v>157130</v>
      </c>
      <c r="N1885" s="3" t="s">
        <v>1065</v>
      </c>
      <c r="O1885" s="1" t="n">
        <v>140744</v>
      </c>
      <c r="P1885" s="1" t="n">
        <v>89.57</v>
      </c>
      <c r="Q1885" s="1" t="s">
        <v>20</v>
      </c>
      <c r="R1885" s="1" t="s">
        <v>27</v>
      </c>
      <c r="S1885" s="1" t="s">
        <v>28</v>
      </c>
      <c r="T1885" s="1" t="s">
        <v>29</v>
      </c>
    </row>
    <row r="1886" customFormat="false" ht="18.7" hidden="false" customHeight="true" outlineLevel="0" collapsed="false">
      <c r="A1886" s="1" t="n">
        <v>1885</v>
      </c>
      <c r="B1886" s="6" t="str">
        <f aca="false">HYPERLINK("https://mncourtfraud.com/file/MCRO_27-CR-21-22058_Notice of Remote Hearing with Instructions_2022-01-10_20240430083601.pdf","MCRO_27-CR-21-22058_Notice of Remote Hearing with Instructions_2022-01-10_20240430083601.pdf")</f>
        <v>MCRO_27-CR-21-22058_Notice of Remote Hearing with Instructions_2022-01-10_20240430083601.pdf</v>
      </c>
      <c r="C1886" s="1" t="n">
        <v>5</v>
      </c>
      <c r="D1886" s="1" t="n">
        <v>1</v>
      </c>
      <c r="E1886" s="1" t="n">
        <v>1</v>
      </c>
      <c r="F1886" s="3" t="s">
        <v>20</v>
      </c>
      <c r="G1886" s="3" t="s">
        <v>7719</v>
      </c>
      <c r="H1886" s="1" t="s">
        <v>22</v>
      </c>
      <c r="I1886" s="1" t="n">
        <v>20240430083601</v>
      </c>
      <c r="J1886" s="3" t="s">
        <v>7720</v>
      </c>
      <c r="K1886" s="3" t="s">
        <v>7721</v>
      </c>
      <c r="L1886" s="3" t="s">
        <v>7722</v>
      </c>
      <c r="M1886" s="3" t="n">
        <v>311902</v>
      </c>
      <c r="N1886" s="3" t="s">
        <v>491</v>
      </c>
      <c r="O1886" s="1" t="n">
        <v>295516</v>
      </c>
      <c r="P1886" s="1" t="n">
        <v>94.75</v>
      </c>
      <c r="Q1886" s="1" t="s">
        <v>20</v>
      </c>
      <c r="R1886" s="1" t="s">
        <v>27</v>
      </c>
      <c r="S1886" s="1" t="s">
        <v>28</v>
      </c>
      <c r="T1886" s="1" t="s">
        <v>29</v>
      </c>
    </row>
    <row r="1887" customFormat="false" ht="18.7" hidden="false" customHeight="true" outlineLevel="0" collapsed="false">
      <c r="A1887" s="1" t="n">
        <v>1886</v>
      </c>
      <c r="B1887" s="6" t="str">
        <f aca="false">HYPERLINK("https://mncourtfraud.com/file/MCRO_27-CR-21-22058_Notice of Remote Hearing with Instructions_2022-01-25_20240430083600.pdf","MCRO_27-CR-21-22058_Notice of Remote Hearing with Instructions_2022-01-25_20240430083600.pdf")</f>
        <v>MCRO_27-CR-21-22058_Notice of Remote Hearing with Instructions_2022-01-25_20240430083600.pdf</v>
      </c>
      <c r="C1887" s="1" t="n">
        <v>4</v>
      </c>
      <c r="D1887" s="1" t="n">
        <v>1</v>
      </c>
      <c r="E1887" s="1" t="n">
        <v>1</v>
      </c>
      <c r="F1887" s="3" t="s">
        <v>20</v>
      </c>
      <c r="G1887" s="3" t="s">
        <v>7723</v>
      </c>
      <c r="H1887" s="1" t="s">
        <v>22</v>
      </c>
      <c r="I1887" s="1" t="n">
        <v>20240430083600</v>
      </c>
      <c r="J1887" s="3" t="s">
        <v>7724</v>
      </c>
      <c r="K1887" s="3" t="s">
        <v>7725</v>
      </c>
      <c r="L1887" s="3" t="s">
        <v>7726</v>
      </c>
      <c r="M1887" s="3" t="n">
        <v>142890</v>
      </c>
      <c r="N1887" s="3" t="s">
        <v>361</v>
      </c>
      <c r="O1887" s="1" t="n">
        <v>126504</v>
      </c>
      <c r="P1887" s="1" t="n">
        <v>88.53</v>
      </c>
      <c r="Q1887" s="1" t="s">
        <v>20</v>
      </c>
      <c r="R1887" s="1" t="s">
        <v>27</v>
      </c>
      <c r="S1887" s="1" t="s">
        <v>28</v>
      </c>
      <c r="T1887" s="1" t="s">
        <v>29</v>
      </c>
    </row>
    <row r="1888" customFormat="false" ht="18.7" hidden="false" customHeight="true" outlineLevel="0" collapsed="false">
      <c r="A1888" s="1" t="n">
        <v>1887</v>
      </c>
      <c r="B1888" s="6" t="str">
        <f aca="false">HYPERLINK("https://mncourtfraud.com/file/MCRO_27-CR-21-22058_Notice of Remote Hearing with Instructions_2023-02-08_20240430083553.pdf","MCRO_27-CR-21-22058_Notice of Remote Hearing with Instructions_2023-02-08_20240430083553.pdf")</f>
        <v>MCRO_27-CR-21-22058_Notice of Remote Hearing with Instructions_2023-02-08_20240430083553.pdf</v>
      </c>
      <c r="C1888" s="1" t="n">
        <v>5</v>
      </c>
      <c r="D1888" s="1" t="n">
        <v>1</v>
      </c>
      <c r="E1888" s="1" t="n">
        <v>1</v>
      </c>
      <c r="F1888" s="3" t="s">
        <v>20</v>
      </c>
      <c r="G1888" s="3" t="s">
        <v>7727</v>
      </c>
      <c r="H1888" s="1" t="s">
        <v>22</v>
      </c>
      <c r="I1888" s="1" t="n">
        <v>20240430083553</v>
      </c>
      <c r="J1888" s="3" t="s">
        <v>7728</v>
      </c>
      <c r="K1888" s="3" t="s">
        <v>7729</v>
      </c>
      <c r="L1888" s="3" t="s">
        <v>7730</v>
      </c>
      <c r="M1888" s="3" t="n">
        <v>848940</v>
      </c>
      <c r="N1888" s="3" t="s">
        <v>500</v>
      </c>
      <c r="O1888" s="1" t="n">
        <v>832554</v>
      </c>
      <c r="P1888" s="1" t="n">
        <v>98.07</v>
      </c>
      <c r="Q1888" s="1" t="s">
        <v>20</v>
      </c>
      <c r="R1888" s="1" t="s">
        <v>27</v>
      </c>
      <c r="S1888" s="1" t="s">
        <v>28</v>
      </c>
      <c r="T1888" s="1" t="s">
        <v>29</v>
      </c>
    </row>
    <row r="1889" customFormat="false" ht="18.7" hidden="false" customHeight="true" outlineLevel="0" collapsed="false">
      <c r="A1889" s="1" t="n">
        <v>1888</v>
      </c>
      <c r="B1889" s="6" t="str">
        <f aca="false">HYPERLINK("https://mncourtfraud.com/file/MCRO_27-CR-21-22058_Notice of Remote Hearing with Instructions_2023-04-05_20240430083550.pdf","MCRO_27-CR-21-22058_Notice of Remote Hearing with Instructions_2023-04-05_20240430083550.pdf")</f>
        <v>MCRO_27-CR-21-22058_Notice of Remote Hearing with Instructions_2023-04-05_20240430083550.pdf</v>
      </c>
      <c r="C1889" s="1" t="n">
        <v>5</v>
      </c>
      <c r="D1889" s="1" t="n">
        <v>1</v>
      </c>
      <c r="E1889" s="1" t="n">
        <v>1</v>
      </c>
      <c r="F1889" s="3" t="s">
        <v>20</v>
      </c>
      <c r="G1889" s="3" t="s">
        <v>7731</v>
      </c>
      <c r="H1889" s="1" t="s">
        <v>22</v>
      </c>
      <c r="I1889" s="1" t="n">
        <v>20240430083550</v>
      </c>
      <c r="J1889" s="3" t="s">
        <v>7732</v>
      </c>
      <c r="K1889" s="3" t="s">
        <v>7733</v>
      </c>
      <c r="L1889" s="3" t="s">
        <v>7734</v>
      </c>
      <c r="M1889" s="3" t="n">
        <v>849820</v>
      </c>
      <c r="N1889" s="3" t="s">
        <v>505</v>
      </c>
      <c r="O1889" s="1" t="n">
        <v>833434</v>
      </c>
      <c r="P1889" s="1" t="n">
        <v>98.07</v>
      </c>
      <c r="Q1889" s="1" t="s">
        <v>20</v>
      </c>
      <c r="R1889" s="1" t="s">
        <v>27</v>
      </c>
      <c r="S1889" s="1" t="s">
        <v>28</v>
      </c>
      <c r="T1889" s="1" t="s">
        <v>29</v>
      </c>
    </row>
    <row r="1890" customFormat="false" ht="18.7" hidden="false" customHeight="true" outlineLevel="0" collapsed="false">
      <c r="A1890" s="1" t="n">
        <v>1889</v>
      </c>
      <c r="B1890" s="6" t="str">
        <f aca="false">HYPERLINK("https://mncourtfraud.com/file/MCRO_27-CR-21-22058_Notice of Remote Hearing with Instructions_2023-06-12_20240430083548.pdf","MCRO_27-CR-21-22058_Notice of Remote Hearing with Instructions_2023-06-12_20240430083548.pdf")</f>
        <v>MCRO_27-CR-21-22058_Notice of Remote Hearing with Instructions_2023-06-12_20240430083548.pdf</v>
      </c>
      <c r="C1890" s="1" t="n">
        <v>5</v>
      </c>
      <c r="D1890" s="1" t="n">
        <v>1</v>
      </c>
      <c r="E1890" s="1" t="n">
        <v>1</v>
      </c>
      <c r="F1890" s="3" t="s">
        <v>20</v>
      </c>
      <c r="G1890" s="3" t="s">
        <v>7735</v>
      </c>
      <c r="H1890" s="1" t="s">
        <v>22</v>
      </c>
      <c r="I1890" s="1" t="n">
        <v>20240430083548</v>
      </c>
      <c r="J1890" s="3" t="s">
        <v>7736</v>
      </c>
      <c r="K1890" s="3" t="s">
        <v>7737</v>
      </c>
      <c r="L1890" s="3" t="s">
        <v>7738</v>
      </c>
      <c r="M1890" s="3" t="n">
        <v>843734</v>
      </c>
      <c r="N1890" s="3" t="s">
        <v>510</v>
      </c>
      <c r="O1890" s="1" t="n">
        <v>827348</v>
      </c>
      <c r="P1890" s="1" t="n">
        <v>98.06</v>
      </c>
      <c r="Q1890" s="1" t="s">
        <v>20</v>
      </c>
      <c r="R1890" s="1" t="s">
        <v>27</v>
      </c>
      <c r="S1890" s="1" t="s">
        <v>28</v>
      </c>
      <c r="T1890" s="1" t="s">
        <v>29</v>
      </c>
    </row>
    <row r="1891" customFormat="false" ht="18.7" hidden="false" customHeight="true" outlineLevel="0" collapsed="false">
      <c r="A1891" s="1" t="n">
        <v>1890</v>
      </c>
      <c r="B1891" s="6" t="str">
        <f aca="false">HYPERLINK("https://mncourtfraud.com/file/MCRO_27-CR-21-22058_Notice of Remote Hearing with Instructions_2024-01-02_20240430083546.pdf","MCRO_27-CR-21-22058_Notice of Remote Hearing with Instructions_2024-01-02_20240430083546.pdf")</f>
        <v>MCRO_27-CR-21-22058_Notice of Remote Hearing with Instructions_2024-01-02_20240430083546.pdf</v>
      </c>
      <c r="C1891" s="1" t="n">
        <v>4</v>
      </c>
      <c r="D1891" s="1" t="n">
        <v>1</v>
      </c>
      <c r="E1891" s="1" t="n">
        <v>1</v>
      </c>
      <c r="F1891" s="3" t="s">
        <v>20</v>
      </c>
      <c r="G1891" s="3" t="s">
        <v>7739</v>
      </c>
      <c r="H1891" s="1" t="s">
        <v>22</v>
      </c>
      <c r="I1891" s="1" t="n">
        <v>20240430083546</v>
      </c>
      <c r="J1891" s="3" t="s">
        <v>7740</v>
      </c>
      <c r="K1891" s="3" t="s">
        <v>7741</v>
      </c>
      <c r="L1891" s="3" t="s">
        <v>7742</v>
      </c>
      <c r="M1891" s="3" t="n">
        <v>269833</v>
      </c>
      <c r="N1891" s="3" t="s">
        <v>74</v>
      </c>
      <c r="O1891" s="1" t="n">
        <v>253447</v>
      </c>
      <c r="P1891" s="1" t="n">
        <v>93.93</v>
      </c>
      <c r="Q1891" s="1" t="s">
        <v>20</v>
      </c>
      <c r="R1891" s="1" t="s">
        <v>27</v>
      </c>
      <c r="S1891" s="1" t="s">
        <v>28</v>
      </c>
      <c r="T1891" s="1" t="s">
        <v>29</v>
      </c>
    </row>
    <row r="1892" customFormat="false" ht="18.7" hidden="false" customHeight="true" outlineLevel="0" collapsed="false">
      <c r="A1892" s="1" t="n">
        <v>1891</v>
      </c>
      <c r="B1892" s="6" t="str">
        <f aca="false">HYPERLINK("https://mncourtfraud.com/file/MCRO_27-CR-21-22058_Order-Evaluation for Competency to Proceed (Rule 20.01)_2021-12-01_20240430083607.pdf","MCRO_27-CR-21-22058_Order-Evaluation for Competency to Proceed (Rule 20.01)_2021-12-01_20240430083607.pdf")</f>
        <v>MCRO_27-CR-21-22058_Order-Evaluation for Competency to Proceed (Rule 20.01)_2021-12-01_20240430083607.pdf</v>
      </c>
      <c r="C1892" s="1" t="n">
        <v>4</v>
      </c>
      <c r="D1892" s="1" t="n">
        <v>1</v>
      </c>
      <c r="E1892" s="1" t="n">
        <v>1</v>
      </c>
      <c r="F1892" s="3" t="s">
        <v>20</v>
      </c>
      <c r="G1892" s="3" t="s">
        <v>7743</v>
      </c>
      <c r="H1892" s="1" t="s">
        <v>22</v>
      </c>
      <c r="I1892" s="1" t="n">
        <v>20240430083607</v>
      </c>
      <c r="J1892" s="3" t="s">
        <v>7744</v>
      </c>
      <c r="K1892" s="3" t="s">
        <v>7745</v>
      </c>
      <c r="L1892" s="3" t="s">
        <v>7746</v>
      </c>
      <c r="M1892" s="3" t="n">
        <v>1560872</v>
      </c>
      <c r="N1892" s="3" t="s">
        <v>1065</v>
      </c>
      <c r="O1892" s="1" t="n">
        <v>1544486</v>
      </c>
      <c r="P1892" s="1" t="n">
        <v>98.95</v>
      </c>
      <c r="Q1892" s="1" t="s">
        <v>20</v>
      </c>
      <c r="R1892" s="1" t="s">
        <v>27</v>
      </c>
      <c r="S1892" s="1" t="s">
        <v>28</v>
      </c>
      <c r="T1892" s="1" t="s">
        <v>29</v>
      </c>
    </row>
    <row r="1893" customFormat="false" ht="18.7" hidden="false" customHeight="true" outlineLevel="0" collapsed="false">
      <c r="A1893" s="1" t="n">
        <v>1892</v>
      </c>
      <c r="B1893" s="6" t="str">
        <f aca="false">HYPERLINK("https://mncourtfraud.com/file/MCRO_27-CR-21-22058_Order-Evaluation for Competency to Proceed (Rule 20.01)_2023-04-04_20240430083551.pdf","MCRO_27-CR-21-22058_Order-Evaluation for Competency to Proceed (Rule 20.01)_2023-04-04_20240430083551.pdf")</f>
        <v>MCRO_27-CR-21-22058_Order-Evaluation for Competency to Proceed (Rule 20.01)_2023-04-04_20240430083551.pdf</v>
      </c>
      <c r="C1893" s="1" t="n">
        <v>6</v>
      </c>
      <c r="D1893" s="1" t="n">
        <v>2</v>
      </c>
      <c r="E1893" s="1" t="n">
        <v>2</v>
      </c>
      <c r="F1893" s="3" t="s">
        <v>27</v>
      </c>
      <c r="G1893" s="3" t="s">
        <v>7747</v>
      </c>
      <c r="H1893" s="1" t="s">
        <v>22</v>
      </c>
      <c r="I1893" s="1" t="n">
        <v>20240430083551</v>
      </c>
      <c r="J1893" s="3" t="s">
        <v>7748</v>
      </c>
      <c r="K1893" s="3" t="s">
        <v>7749</v>
      </c>
      <c r="L1893" s="3" t="s">
        <v>1973</v>
      </c>
      <c r="M1893" s="3" t="n">
        <v>887460</v>
      </c>
      <c r="N1893" s="3" t="s">
        <v>559</v>
      </c>
      <c r="O1893" s="1" t="n">
        <v>871074</v>
      </c>
      <c r="P1893" s="1" t="n">
        <v>98.15</v>
      </c>
      <c r="Q1893" s="1" t="s">
        <v>20</v>
      </c>
      <c r="R1893" s="1" t="s">
        <v>27</v>
      </c>
      <c r="S1893" s="1" t="s">
        <v>28</v>
      </c>
      <c r="T1893" s="1" t="s">
        <v>29</v>
      </c>
    </row>
    <row r="1894" customFormat="false" ht="18.7" hidden="false" customHeight="true" outlineLevel="0" collapsed="false">
      <c r="A1894" s="1" t="n">
        <v>1893</v>
      </c>
      <c r="B1894" s="6" t="str">
        <f aca="false">HYPERLINK("https://mncourtfraud.com/file/MCRO_27-CR-21-22058_Order-Evaluation for Competency to Proceed (Rule 20.01)_2023-09-28_20240430083547.pdf","MCRO_27-CR-21-22058_Order-Evaluation for Competency to Proceed (Rule 20.01)_2023-09-28_20240430083547.pdf")</f>
        <v>MCRO_27-CR-21-22058_Order-Evaluation for Competency to Proceed (Rule 20.01)_2023-09-28_20240430083547.pdf</v>
      </c>
      <c r="C1894" s="1" t="n">
        <v>6</v>
      </c>
      <c r="D1894" s="1" t="n">
        <v>2</v>
      </c>
      <c r="E1894" s="1" t="n">
        <v>2</v>
      </c>
      <c r="F1894" s="3" t="s">
        <v>27</v>
      </c>
      <c r="G1894" s="3" t="s">
        <v>7750</v>
      </c>
      <c r="H1894" s="1" t="s">
        <v>22</v>
      </c>
      <c r="I1894" s="1" t="n">
        <v>20240430083547</v>
      </c>
      <c r="J1894" s="3" t="s">
        <v>7751</v>
      </c>
      <c r="K1894" s="3" t="s">
        <v>7752</v>
      </c>
      <c r="L1894" s="3" t="s">
        <v>7753</v>
      </c>
      <c r="M1894" s="3" t="n">
        <v>867379</v>
      </c>
      <c r="N1894" s="3" t="s">
        <v>564</v>
      </c>
      <c r="O1894" s="1" t="n">
        <v>850993</v>
      </c>
      <c r="P1894" s="1" t="n">
        <v>98.11</v>
      </c>
      <c r="Q1894" s="1" t="s">
        <v>20</v>
      </c>
      <c r="R1894" s="1" t="s">
        <v>27</v>
      </c>
      <c r="S1894" s="1" t="s">
        <v>28</v>
      </c>
      <c r="T1894" s="1" t="s">
        <v>29</v>
      </c>
    </row>
    <row r="1895" customFormat="false" ht="18.7" hidden="false" customHeight="true" outlineLevel="0" collapsed="false">
      <c r="A1895" s="1" t="n">
        <v>1894</v>
      </c>
      <c r="B1895" s="6" t="str">
        <f aca="false">HYPERLINK("https://mncourtfraud.com/file/MCRO_27-CR-21-22058_Order Regarding Access to Confidential or Sealed Record_2022-09-28_20240430083554.pdf","MCRO_27-CR-21-22058_Order Regarding Access to Confidential or Sealed Record_2022-09-28_20240430083554.pdf")</f>
        <v>MCRO_27-CR-21-22058_Order Regarding Access to Confidential or Sealed Record_2022-09-28_20240430083554.pdf</v>
      </c>
      <c r="C1895" s="1" t="n">
        <v>3</v>
      </c>
      <c r="D1895" s="1" t="n">
        <v>1</v>
      </c>
      <c r="E1895" s="1" t="n">
        <v>1</v>
      </c>
      <c r="F1895" s="3" t="s">
        <v>20</v>
      </c>
      <c r="G1895" s="3" t="s">
        <v>7754</v>
      </c>
      <c r="H1895" s="1" t="s">
        <v>22</v>
      </c>
      <c r="I1895" s="1" t="n">
        <v>20240430083554</v>
      </c>
      <c r="J1895" s="3" t="s">
        <v>7755</v>
      </c>
      <c r="K1895" s="3" t="s">
        <v>7756</v>
      </c>
      <c r="L1895" s="3" t="s">
        <v>1816</v>
      </c>
      <c r="M1895" s="3" t="n">
        <v>143432</v>
      </c>
      <c r="N1895" s="3" t="s">
        <v>593</v>
      </c>
      <c r="O1895" s="1" t="n">
        <v>127046</v>
      </c>
      <c r="P1895" s="1" t="n">
        <v>88.58</v>
      </c>
      <c r="Q1895" s="1" t="s">
        <v>20</v>
      </c>
      <c r="R1895" s="1" t="s">
        <v>27</v>
      </c>
      <c r="S1895" s="1" t="s">
        <v>28</v>
      </c>
      <c r="T1895" s="1" t="s">
        <v>29</v>
      </c>
    </row>
    <row r="1896" customFormat="false" ht="18.7" hidden="false" customHeight="true" outlineLevel="0" collapsed="false">
      <c r="A1896" s="1" t="n">
        <v>1895</v>
      </c>
      <c r="B1896" s="6" t="str">
        <f aca="false">HYPERLINK("https://mncourtfraud.com/file/MCRO_27-CR-21-22058_Order to Transport_2024-02-02_20240430083544.pdf","MCRO_27-CR-21-22058_Order to Transport_2024-02-02_20240430083544.pdf")</f>
        <v>MCRO_27-CR-21-22058_Order to Transport_2024-02-02_20240430083544.pdf</v>
      </c>
      <c r="C1896" s="1" t="n">
        <v>5</v>
      </c>
      <c r="D1896" s="1" t="n">
        <v>3</v>
      </c>
      <c r="E1896" s="1" t="n">
        <v>3</v>
      </c>
      <c r="F1896" s="3" t="s">
        <v>20</v>
      </c>
      <c r="G1896" s="3" t="s">
        <v>7757</v>
      </c>
      <c r="H1896" s="1" t="s">
        <v>22</v>
      </c>
      <c r="I1896" s="1" t="n">
        <v>20240430083544</v>
      </c>
      <c r="J1896" s="3" t="s">
        <v>7758</v>
      </c>
      <c r="K1896" s="3" t="s">
        <v>7759</v>
      </c>
      <c r="L1896" s="3" t="s">
        <v>7760</v>
      </c>
      <c r="M1896" s="3" t="n">
        <v>216516</v>
      </c>
      <c r="N1896" s="3" t="s">
        <v>602</v>
      </c>
      <c r="O1896" s="1" t="n">
        <v>200130</v>
      </c>
      <c r="P1896" s="1" t="n">
        <v>92.43</v>
      </c>
      <c r="Q1896" s="1" t="s">
        <v>20</v>
      </c>
      <c r="R1896" s="1" t="s">
        <v>27</v>
      </c>
      <c r="S1896" s="1" t="s">
        <v>28</v>
      </c>
      <c r="T1896" s="1" t="s">
        <v>29</v>
      </c>
    </row>
    <row r="1897" customFormat="false" ht="18.7" hidden="false" customHeight="true" outlineLevel="0" collapsed="false">
      <c r="A1897" s="1" t="n">
        <v>1896</v>
      </c>
      <c r="B1897" s="6" t="str">
        <f aca="false">HYPERLINK("https://mncourtfraud.com/file/MCRO_27-CR-21-22058_Returned Mail_2022-02-28_20240430083559.pdf","MCRO_27-CR-21-22058_Returned Mail_2022-02-28_20240430083559.pdf")</f>
        <v>MCRO_27-CR-21-22058_Returned Mail_2022-02-28_20240430083559.pdf</v>
      </c>
      <c r="C1897" s="1" t="n">
        <v>4</v>
      </c>
      <c r="D1897" s="1" t="n">
        <v>1</v>
      </c>
      <c r="E1897" s="1" t="n">
        <v>1</v>
      </c>
      <c r="F1897" s="3" t="s">
        <v>20</v>
      </c>
      <c r="G1897" s="3" t="s">
        <v>7761</v>
      </c>
      <c r="H1897" s="1" t="s">
        <v>22</v>
      </c>
      <c r="I1897" s="1" t="n">
        <v>20240430083559</v>
      </c>
      <c r="J1897" s="3" t="s">
        <v>7762</v>
      </c>
      <c r="K1897" s="3" t="s">
        <v>7763</v>
      </c>
      <c r="L1897" s="3" t="s">
        <v>7764</v>
      </c>
      <c r="M1897" s="3" t="n">
        <v>93624</v>
      </c>
      <c r="N1897" s="3" t="s">
        <v>456</v>
      </c>
      <c r="O1897" s="1" t="n">
        <v>77238</v>
      </c>
      <c r="P1897" s="1" t="n">
        <v>82.5</v>
      </c>
      <c r="Q1897" s="1" t="s">
        <v>20</v>
      </c>
      <c r="R1897" s="1" t="s">
        <v>27</v>
      </c>
      <c r="S1897" s="1" t="s">
        <v>28</v>
      </c>
      <c r="T1897" s="1" t="s">
        <v>29</v>
      </c>
    </row>
    <row r="1898" customFormat="false" ht="18.7" hidden="false" customHeight="true" outlineLevel="0" collapsed="false">
      <c r="A1898" s="1" t="n">
        <v>1897</v>
      </c>
      <c r="B1898" s="6" t="str">
        <f aca="false">HYPERLINK("https://mncourtfraud.com/file/MCRO_27-CR-21-22058_Returned Mail_2022-09-20_20240430083556.pdf","MCRO_27-CR-21-22058_Returned Mail_2022-09-20_20240430083556.pdf")</f>
        <v>MCRO_27-CR-21-22058_Returned Mail_2022-09-20_20240430083556.pdf</v>
      </c>
      <c r="C1898" s="1" t="n">
        <v>4</v>
      </c>
      <c r="D1898" s="1" t="n">
        <v>1</v>
      </c>
      <c r="E1898" s="1" t="n">
        <v>1</v>
      </c>
      <c r="F1898" s="3" t="s">
        <v>20</v>
      </c>
      <c r="G1898" s="3" t="s">
        <v>7765</v>
      </c>
      <c r="H1898" s="1" t="s">
        <v>22</v>
      </c>
      <c r="I1898" s="1" t="n">
        <v>20240430083556</v>
      </c>
      <c r="J1898" s="3" t="s">
        <v>7766</v>
      </c>
      <c r="K1898" s="3" t="s">
        <v>7767</v>
      </c>
      <c r="L1898" s="3" t="s">
        <v>7768</v>
      </c>
      <c r="M1898" s="3" t="n">
        <v>308850</v>
      </c>
      <c r="N1898" s="3" t="s">
        <v>119</v>
      </c>
      <c r="O1898" s="1" t="n">
        <v>292464</v>
      </c>
      <c r="P1898" s="1" t="n">
        <v>94.69</v>
      </c>
      <c r="Q1898" s="1" t="s">
        <v>20</v>
      </c>
      <c r="R1898" s="1" t="s">
        <v>27</v>
      </c>
      <c r="S1898" s="1" t="s">
        <v>28</v>
      </c>
      <c r="T1898" s="1" t="s">
        <v>29</v>
      </c>
    </row>
    <row r="1899" customFormat="false" ht="18.7" hidden="false" customHeight="true" outlineLevel="0" collapsed="false">
      <c r="A1899" s="1" t="n">
        <v>1898</v>
      </c>
      <c r="B1899" s="6" t="str">
        <f aca="false">HYPERLINK("https://mncourtfraud.com/file/MCRO_27-CR-21-22058_Returned Mail_2023-03-02_20240430083552.pdf","MCRO_27-CR-21-22058_Returned Mail_2023-03-02_20240430083552.pdf")</f>
        <v>MCRO_27-CR-21-22058_Returned Mail_2023-03-02_20240430083552.pdf</v>
      </c>
      <c r="C1899" s="1" t="n">
        <v>4</v>
      </c>
      <c r="D1899" s="1" t="n">
        <v>1</v>
      </c>
      <c r="E1899" s="1" t="n">
        <v>1</v>
      </c>
      <c r="F1899" s="3" t="s">
        <v>20</v>
      </c>
      <c r="G1899" s="3" t="s">
        <v>7769</v>
      </c>
      <c r="H1899" s="1" t="s">
        <v>22</v>
      </c>
      <c r="I1899" s="1" t="n">
        <v>20240430083552</v>
      </c>
      <c r="J1899" s="3" t="s">
        <v>7770</v>
      </c>
      <c r="K1899" s="3" t="s">
        <v>7771</v>
      </c>
      <c r="L1899" s="3" t="s">
        <v>7772</v>
      </c>
      <c r="M1899" s="3" t="n">
        <v>632681</v>
      </c>
      <c r="N1899" s="3" t="s">
        <v>1128</v>
      </c>
      <c r="O1899" s="1" t="n">
        <v>616295</v>
      </c>
      <c r="P1899" s="1" t="n">
        <v>97.41</v>
      </c>
      <c r="Q1899" s="1" t="s">
        <v>20</v>
      </c>
      <c r="R1899" s="1" t="s">
        <v>27</v>
      </c>
      <c r="S1899" s="1" t="s">
        <v>28</v>
      </c>
      <c r="T1899" s="1" t="s">
        <v>29</v>
      </c>
    </row>
    <row r="1900" customFormat="false" ht="18.7" hidden="false" customHeight="true" outlineLevel="0" collapsed="false">
      <c r="A1900" s="1" t="n">
        <v>1899</v>
      </c>
      <c r="B1900" s="6" t="str">
        <f aca="false">HYPERLINK("https://mncourtfraud.com/file/MCRO_27-CR-21-22058_Returned Mail_2024-02-26_20240430083543.pdf","MCRO_27-CR-21-22058_Returned Mail_2024-02-26_20240430083543.pdf")</f>
        <v>MCRO_27-CR-21-22058_Returned Mail_2024-02-26_20240430083543.pdf</v>
      </c>
      <c r="C1900" s="1" t="n">
        <v>4</v>
      </c>
      <c r="D1900" s="1" t="n">
        <v>1</v>
      </c>
      <c r="E1900" s="1" t="n">
        <v>1</v>
      </c>
      <c r="F1900" s="3" t="s">
        <v>20</v>
      </c>
      <c r="G1900" s="3" t="s">
        <v>7773</v>
      </c>
      <c r="H1900" s="1" t="s">
        <v>22</v>
      </c>
      <c r="I1900" s="1" t="n">
        <v>20240430083543</v>
      </c>
      <c r="J1900" s="3" t="s">
        <v>7774</v>
      </c>
      <c r="K1900" s="3" t="s">
        <v>7775</v>
      </c>
      <c r="L1900" s="3" t="s">
        <v>7776</v>
      </c>
      <c r="M1900" s="3" t="n">
        <v>111978</v>
      </c>
      <c r="N1900" s="3" t="s">
        <v>1159</v>
      </c>
      <c r="O1900" s="1" t="n">
        <v>95592</v>
      </c>
      <c r="P1900" s="1" t="n">
        <v>85.37</v>
      </c>
      <c r="Q1900" s="1" t="s">
        <v>20</v>
      </c>
      <c r="R1900" s="1" t="s">
        <v>27</v>
      </c>
      <c r="S1900" s="1" t="s">
        <v>28</v>
      </c>
      <c r="T1900" s="1" t="s">
        <v>29</v>
      </c>
    </row>
    <row r="1901" customFormat="false" ht="18.7" hidden="false" customHeight="true" outlineLevel="0" collapsed="false">
      <c r="A1901" s="1" t="n">
        <v>1900</v>
      </c>
      <c r="B1901" s="6" t="str">
        <f aca="false">HYPERLINK("https://mncourtfraud.com/file/MCRO_27-CR-21-23131_Amended Order_2024-02-01_20240430083638.pdf","MCRO_27-CR-21-23131_Amended Order_2024-02-01_20240430083638.pdf")</f>
        <v>MCRO_27-CR-21-23131_Amended Order_2024-02-01_20240430083638.pdf</v>
      </c>
      <c r="C1901" s="1" t="n">
        <v>6</v>
      </c>
      <c r="D1901" s="1" t="n">
        <v>3</v>
      </c>
      <c r="E1901" s="1" t="n">
        <v>3</v>
      </c>
      <c r="F1901" s="3" t="s">
        <v>27</v>
      </c>
      <c r="G1901" s="3" t="s">
        <v>7777</v>
      </c>
      <c r="H1901" s="1" t="s">
        <v>22</v>
      </c>
      <c r="I1901" s="1" t="n">
        <v>20240430083638</v>
      </c>
      <c r="J1901" s="3" t="s">
        <v>7778</v>
      </c>
      <c r="K1901" s="3" t="s">
        <v>7779</v>
      </c>
      <c r="L1901" s="3" t="s">
        <v>7780</v>
      </c>
      <c r="M1901" s="3" t="n">
        <v>299353</v>
      </c>
      <c r="N1901" s="3" t="s">
        <v>7781</v>
      </c>
      <c r="O1901" s="1" t="n">
        <v>282967</v>
      </c>
      <c r="P1901" s="1" t="n">
        <v>94.53</v>
      </c>
      <c r="Q1901" s="1" t="s">
        <v>20</v>
      </c>
      <c r="R1901" s="1" t="s">
        <v>27</v>
      </c>
      <c r="S1901" s="1" t="s">
        <v>28</v>
      </c>
      <c r="T1901" s="1" t="s">
        <v>29</v>
      </c>
    </row>
    <row r="1902" customFormat="false" ht="18.7" hidden="false" customHeight="true" outlineLevel="0" collapsed="false">
      <c r="A1902" s="1" t="n">
        <v>1901</v>
      </c>
      <c r="B1902" s="6" t="str">
        <f aca="false">HYPERLINK("https://mncourtfraud.com/file/MCRO_27-CR-21-23131_E-filed Comp-Order for Detention_2021-12-16_20240430083700.pdf","MCRO_27-CR-21-23131_E-filed Comp-Order for Detention_2021-12-16_20240430083700.pdf")</f>
        <v>MCRO_27-CR-21-23131_E-filed Comp-Order for Detention_2021-12-16_20240430083700.pdf</v>
      </c>
      <c r="C1902" s="1" t="n">
        <v>4</v>
      </c>
      <c r="D1902" s="1" t="n">
        <v>2</v>
      </c>
      <c r="E1902" s="1" t="n">
        <v>2</v>
      </c>
      <c r="F1902" s="3" t="s">
        <v>20</v>
      </c>
      <c r="G1902" s="3" t="s">
        <v>7782</v>
      </c>
      <c r="H1902" s="1" t="s">
        <v>22</v>
      </c>
      <c r="I1902" s="1" t="n">
        <v>20240430083700</v>
      </c>
      <c r="J1902" s="3" t="s">
        <v>7783</v>
      </c>
      <c r="K1902" s="3" t="s">
        <v>7784</v>
      </c>
      <c r="L1902" s="3" t="s">
        <v>7785</v>
      </c>
      <c r="M1902" s="3" t="n">
        <v>500555</v>
      </c>
      <c r="N1902" s="3" t="s">
        <v>1480</v>
      </c>
      <c r="O1902" s="1" t="n">
        <v>484169</v>
      </c>
      <c r="P1902" s="1" t="n">
        <v>96.73</v>
      </c>
      <c r="Q1902" s="1" t="s">
        <v>20</v>
      </c>
      <c r="R1902" s="1" t="s">
        <v>27</v>
      </c>
      <c r="S1902" s="1" t="s">
        <v>28</v>
      </c>
      <c r="T1902" s="1" t="s">
        <v>29</v>
      </c>
    </row>
    <row r="1903" customFormat="false" ht="18.7" hidden="false" customHeight="true" outlineLevel="0" collapsed="false">
      <c r="A1903" s="1" t="n">
        <v>1902</v>
      </c>
      <c r="B1903" s="6" t="str">
        <f aca="false">HYPERLINK("https://mncourtfraud.com/file/MCRO_27-CR-21-23131_Finding of Incompetency and Order_2023-03-08_20240430083650.pdf","MCRO_27-CR-21-23131_Finding of Incompetency and Order_2023-03-08_20240430083650.pdf")</f>
        <v>MCRO_27-CR-21-23131_Finding of Incompetency and Order_2023-03-08_20240430083650.pdf</v>
      </c>
      <c r="C1903" s="1" t="n">
        <v>8</v>
      </c>
      <c r="D1903" s="1" t="n">
        <v>2</v>
      </c>
      <c r="E1903" s="1" t="n">
        <v>2</v>
      </c>
      <c r="F1903" s="3" t="s">
        <v>27</v>
      </c>
      <c r="G1903" s="3" t="s">
        <v>7786</v>
      </c>
      <c r="H1903" s="1" t="s">
        <v>22</v>
      </c>
      <c r="I1903" s="1" t="n">
        <v>20240430083650</v>
      </c>
      <c r="J1903" s="3" t="s">
        <v>7787</v>
      </c>
      <c r="K1903" s="3" t="s">
        <v>7788</v>
      </c>
      <c r="L1903" s="3" t="s">
        <v>4956</v>
      </c>
      <c r="M1903" s="3" t="n">
        <v>995739</v>
      </c>
      <c r="N1903" s="3" t="s">
        <v>4099</v>
      </c>
      <c r="O1903" s="1" t="n">
        <v>979353</v>
      </c>
      <c r="P1903" s="1" t="n">
        <v>98.35</v>
      </c>
      <c r="Q1903" s="1" t="s">
        <v>20</v>
      </c>
      <c r="R1903" s="1" t="s">
        <v>27</v>
      </c>
      <c r="S1903" s="1" t="s">
        <v>28</v>
      </c>
      <c r="T1903" s="1" t="s">
        <v>29</v>
      </c>
    </row>
    <row r="1904" customFormat="false" ht="18.7" hidden="false" customHeight="true" outlineLevel="0" collapsed="false">
      <c r="A1904" s="1" t="n">
        <v>1903</v>
      </c>
      <c r="B1904" s="6" t="str">
        <f aca="false">HYPERLINK("https://mncourtfraud.com/file/MCRO_27-CR-21-23131_Findings and Order_2022-09-06_20240430083652.pdf","MCRO_27-CR-21-23131_Findings and Order_2022-09-06_20240430083652.pdf")</f>
        <v>MCRO_27-CR-21-23131_Findings and Order_2022-09-06_20240430083652.pdf</v>
      </c>
      <c r="C1904" s="1" t="n">
        <v>4</v>
      </c>
      <c r="D1904" s="1" t="n">
        <v>2</v>
      </c>
      <c r="E1904" s="1" t="n">
        <v>2</v>
      </c>
      <c r="F1904" s="3" t="s">
        <v>20</v>
      </c>
      <c r="G1904" s="3" t="s">
        <v>7789</v>
      </c>
      <c r="H1904" s="1" t="s">
        <v>22</v>
      </c>
      <c r="I1904" s="1" t="n">
        <v>20240430083652</v>
      </c>
      <c r="J1904" s="3" t="s">
        <v>7790</v>
      </c>
      <c r="K1904" s="3" t="s">
        <v>7791</v>
      </c>
      <c r="L1904" s="3" t="s">
        <v>7792</v>
      </c>
      <c r="M1904" s="3" t="n">
        <v>300747</v>
      </c>
      <c r="N1904" s="3" t="s">
        <v>3832</v>
      </c>
      <c r="O1904" s="1" t="n">
        <v>284361</v>
      </c>
      <c r="P1904" s="1" t="n">
        <v>94.55</v>
      </c>
      <c r="Q1904" s="1" t="s">
        <v>20</v>
      </c>
      <c r="R1904" s="1" t="s">
        <v>27</v>
      </c>
      <c r="S1904" s="1" t="s">
        <v>28</v>
      </c>
      <c r="T1904" s="1" t="s">
        <v>29</v>
      </c>
    </row>
    <row r="1905" customFormat="false" ht="18.7" hidden="false" customHeight="true" outlineLevel="0" collapsed="false">
      <c r="A1905" s="1" t="n">
        <v>1904</v>
      </c>
      <c r="B1905" s="6" t="str">
        <f aca="false">HYPERLINK("https://mncourtfraud.com/file/MCRO_27-CR-21-23131_Notice of Hearing_2023-09-14_20240430083644.pdf","MCRO_27-CR-21-23131_Notice of Hearing_2023-09-14_20240430083644.pdf")</f>
        <v>MCRO_27-CR-21-23131_Notice of Hearing_2023-09-14_20240430083644.pdf</v>
      </c>
      <c r="C1905" s="1" t="n">
        <v>5</v>
      </c>
      <c r="D1905" s="1" t="n">
        <v>1</v>
      </c>
      <c r="E1905" s="1" t="n">
        <v>1</v>
      </c>
      <c r="F1905" s="3" t="s">
        <v>20</v>
      </c>
      <c r="G1905" s="3" t="s">
        <v>7793</v>
      </c>
      <c r="H1905" s="1" t="s">
        <v>22</v>
      </c>
      <c r="I1905" s="1" t="n">
        <v>20240430083644</v>
      </c>
      <c r="J1905" s="3" t="s">
        <v>7794</v>
      </c>
      <c r="K1905" s="3" t="s">
        <v>7795</v>
      </c>
      <c r="L1905" s="3" t="s">
        <v>7796</v>
      </c>
      <c r="M1905" s="3" t="n">
        <v>740181</v>
      </c>
      <c r="N1905" s="3" t="s">
        <v>2768</v>
      </c>
      <c r="O1905" s="1" t="n">
        <v>723795</v>
      </c>
      <c r="P1905" s="1" t="n">
        <v>97.79</v>
      </c>
      <c r="Q1905" s="1" t="s">
        <v>20</v>
      </c>
      <c r="R1905" s="1" t="s">
        <v>27</v>
      </c>
      <c r="S1905" s="1" t="s">
        <v>28</v>
      </c>
      <c r="T1905" s="1" t="s">
        <v>29</v>
      </c>
    </row>
    <row r="1906" customFormat="false" ht="18.7" hidden="false" customHeight="true" outlineLevel="0" collapsed="false">
      <c r="A1906" s="1" t="n">
        <v>1905</v>
      </c>
      <c r="B1906" s="6" t="str">
        <f aca="false">HYPERLINK("https://mncourtfraud.com/file/MCRO_27-CR-21-23131_Notice of Hearing_2023-11-29_20240430083641.pdf","MCRO_27-CR-21-23131_Notice of Hearing_2023-11-29_20240430083641.pdf")</f>
        <v>MCRO_27-CR-21-23131_Notice of Hearing_2023-11-29_20240430083641.pdf</v>
      </c>
      <c r="C1906" s="1" t="n">
        <v>5</v>
      </c>
      <c r="D1906" s="1" t="n">
        <v>1</v>
      </c>
      <c r="E1906" s="1" t="n">
        <v>1</v>
      </c>
      <c r="F1906" s="3" t="s">
        <v>20</v>
      </c>
      <c r="G1906" s="3" t="s">
        <v>7797</v>
      </c>
      <c r="H1906" s="1" t="s">
        <v>22</v>
      </c>
      <c r="I1906" s="1" t="n">
        <v>20240430083641</v>
      </c>
      <c r="J1906" s="3" t="s">
        <v>7798</v>
      </c>
      <c r="K1906" s="3" t="s">
        <v>7799</v>
      </c>
      <c r="L1906" s="3" t="s">
        <v>7800</v>
      </c>
      <c r="M1906" s="3" t="n">
        <v>739794</v>
      </c>
      <c r="N1906" s="3" t="s">
        <v>2768</v>
      </c>
      <c r="O1906" s="1" t="n">
        <v>723408</v>
      </c>
      <c r="P1906" s="1" t="n">
        <v>97.79</v>
      </c>
      <c r="Q1906" s="1" t="s">
        <v>20</v>
      </c>
      <c r="R1906" s="1" t="s">
        <v>27</v>
      </c>
      <c r="S1906" s="1" t="s">
        <v>28</v>
      </c>
      <c r="T1906" s="1" t="s">
        <v>29</v>
      </c>
    </row>
    <row r="1907" customFormat="false" ht="18.7" hidden="false" customHeight="true" outlineLevel="0" collapsed="false">
      <c r="A1907" s="1" t="n">
        <v>1906</v>
      </c>
      <c r="B1907" s="6" t="str">
        <f aca="false">HYPERLINK("https://mncourtfraud.com/file/MCRO_27-CR-21-23131_Notice of Hearing_2024-01-17_20240430083639.pdf","MCRO_27-CR-21-23131_Notice of Hearing_2024-01-17_20240430083639.pdf")</f>
        <v>MCRO_27-CR-21-23131_Notice of Hearing_2024-01-17_20240430083639.pdf</v>
      </c>
      <c r="C1907" s="1" t="n">
        <v>4</v>
      </c>
      <c r="D1907" s="1" t="n">
        <v>1</v>
      </c>
      <c r="E1907" s="1" t="n">
        <v>1</v>
      </c>
      <c r="F1907" s="3" t="s">
        <v>20</v>
      </c>
      <c r="G1907" s="3" t="s">
        <v>7801</v>
      </c>
      <c r="H1907" s="1" t="s">
        <v>22</v>
      </c>
      <c r="I1907" s="1" t="n">
        <v>20240430083639</v>
      </c>
      <c r="J1907" s="3" t="s">
        <v>7802</v>
      </c>
      <c r="K1907" s="3" t="s">
        <v>7803</v>
      </c>
      <c r="L1907" s="3" t="s">
        <v>7804</v>
      </c>
      <c r="M1907" s="3" t="n">
        <v>723587</v>
      </c>
      <c r="N1907" s="3" t="s">
        <v>4292</v>
      </c>
      <c r="O1907" s="1" t="n">
        <v>707201</v>
      </c>
      <c r="P1907" s="1" t="n">
        <v>97.74</v>
      </c>
      <c r="Q1907" s="1" t="s">
        <v>20</v>
      </c>
      <c r="R1907" s="1" t="s">
        <v>27</v>
      </c>
      <c r="S1907" s="1" t="s">
        <v>28</v>
      </c>
      <c r="T1907" s="1" t="s">
        <v>29</v>
      </c>
    </row>
    <row r="1908" customFormat="false" ht="18.7" hidden="false" customHeight="true" outlineLevel="0" collapsed="false">
      <c r="A1908" s="1" t="n">
        <v>1907</v>
      </c>
      <c r="B1908" s="6" t="str">
        <f aca="false">HYPERLINK("https://mncourtfraud.com/file/MCRO_27-CR-21-23131_Notice of Hearing_2024-02-07_20240430083635.pdf","MCRO_27-CR-21-23131_Notice of Hearing_2024-02-07_20240430083635.pdf")</f>
        <v>MCRO_27-CR-21-23131_Notice of Hearing_2024-02-07_20240430083635.pdf</v>
      </c>
      <c r="C1908" s="1" t="n">
        <v>4</v>
      </c>
      <c r="D1908" s="1" t="n">
        <v>1</v>
      </c>
      <c r="E1908" s="1" t="n">
        <v>1</v>
      </c>
      <c r="F1908" s="3" t="s">
        <v>20</v>
      </c>
      <c r="G1908" s="3" t="s">
        <v>7805</v>
      </c>
      <c r="H1908" s="1" t="s">
        <v>22</v>
      </c>
      <c r="I1908" s="1" t="n">
        <v>20240430083635</v>
      </c>
      <c r="J1908" s="3" t="s">
        <v>7806</v>
      </c>
      <c r="K1908" s="3" t="s">
        <v>7807</v>
      </c>
      <c r="L1908" s="3" t="s">
        <v>7808</v>
      </c>
      <c r="M1908" s="3" t="n">
        <v>681211</v>
      </c>
      <c r="N1908" s="3" t="s">
        <v>1065</v>
      </c>
      <c r="O1908" s="1" t="n">
        <v>664825</v>
      </c>
      <c r="P1908" s="1" t="n">
        <v>97.59</v>
      </c>
      <c r="Q1908" s="1" t="s">
        <v>20</v>
      </c>
      <c r="R1908" s="1" t="s">
        <v>27</v>
      </c>
      <c r="S1908" s="1" t="s">
        <v>28</v>
      </c>
      <c r="T1908" s="1" t="s">
        <v>29</v>
      </c>
    </row>
    <row r="1909" customFormat="false" ht="18.7" hidden="false" customHeight="true" outlineLevel="0" collapsed="false">
      <c r="A1909" s="1" t="n">
        <v>1908</v>
      </c>
      <c r="B1909" s="6" t="str">
        <f aca="false">HYPERLINK("https://mncourtfraud.com/file/MCRO_27-CR-21-23131_Notice of Remote Hearing with Instructions_2021-12-17_20240430083658.pdf","MCRO_27-CR-21-23131_Notice of Remote Hearing with Instructions_2021-12-17_20240430083658.pdf")</f>
        <v>MCRO_27-CR-21-23131_Notice of Remote Hearing with Instructions_2021-12-17_20240430083658.pdf</v>
      </c>
      <c r="C1909" s="1" t="n">
        <v>4</v>
      </c>
      <c r="D1909" s="1" t="n">
        <v>1</v>
      </c>
      <c r="E1909" s="1" t="n">
        <v>1</v>
      </c>
      <c r="F1909" s="3" t="s">
        <v>20</v>
      </c>
      <c r="G1909" s="3" t="s">
        <v>7809</v>
      </c>
      <c r="H1909" s="1" t="s">
        <v>22</v>
      </c>
      <c r="I1909" s="1" t="n">
        <v>20240430083658</v>
      </c>
      <c r="J1909" s="3" t="s">
        <v>7810</v>
      </c>
      <c r="K1909" s="3" t="s">
        <v>7811</v>
      </c>
      <c r="L1909" s="3" t="s">
        <v>7812</v>
      </c>
      <c r="M1909" s="3" t="n">
        <v>163239</v>
      </c>
      <c r="N1909" s="3" t="s">
        <v>1065</v>
      </c>
      <c r="O1909" s="1" t="n">
        <v>146853</v>
      </c>
      <c r="P1909" s="1" t="n">
        <v>89.96</v>
      </c>
      <c r="Q1909" s="1" t="s">
        <v>20</v>
      </c>
      <c r="R1909" s="1" t="s">
        <v>27</v>
      </c>
      <c r="S1909" s="1" t="s">
        <v>28</v>
      </c>
      <c r="T1909" s="1" t="s">
        <v>29</v>
      </c>
    </row>
    <row r="1910" customFormat="false" ht="18.7" hidden="false" customHeight="true" outlineLevel="0" collapsed="false">
      <c r="A1910" s="1" t="n">
        <v>1909</v>
      </c>
      <c r="B1910" s="6" t="str">
        <f aca="false">HYPERLINK("https://mncourtfraud.com/file/MCRO_27-CR-21-23131_Notice of Remote Hearing with Instructions_2022-02-22_20240430083656.pdf","MCRO_27-CR-21-23131_Notice of Remote Hearing with Instructions_2022-02-22_20240430083656.pdf")</f>
        <v>MCRO_27-CR-21-23131_Notice of Remote Hearing with Instructions_2022-02-22_20240430083656.pdf</v>
      </c>
      <c r="C1910" s="1" t="n">
        <v>4</v>
      </c>
      <c r="D1910" s="1" t="n">
        <v>1</v>
      </c>
      <c r="E1910" s="1" t="n">
        <v>1</v>
      </c>
      <c r="F1910" s="3" t="s">
        <v>20</v>
      </c>
      <c r="G1910" s="3" t="s">
        <v>7813</v>
      </c>
      <c r="H1910" s="1" t="s">
        <v>22</v>
      </c>
      <c r="I1910" s="1" t="n">
        <v>20240430083656</v>
      </c>
      <c r="J1910" s="3" t="s">
        <v>7814</v>
      </c>
      <c r="K1910" s="3" t="s">
        <v>5004</v>
      </c>
      <c r="L1910" s="3" t="s">
        <v>5005</v>
      </c>
      <c r="M1910" s="3" t="n">
        <v>348479</v>
      </c>
      <c r="N1910" s="3" t="s">
        <v>5006</v>
      </c>
      <c r="O1910" s="1" t="n">
        <v>332093</v>
      </c>
      <c r="P1910" s="1" t="n">
        <v>95.3</v>
      </c>
      <c r="Q1910" s="1" t="s">
        <v>20</v>
      </c>
      <c r="R1910" s="1" t="s">
        <v>27</v>
      </c>
      <c r="S1910" s="1" t="s">
        <v>28</v>
      </c>
      <c r="T1910" s="1" t="s">
        <v>29</v>
      </c>
    </row>
    <row r="1911" customFormat="false" ht="18.7" hidden="false" customHeight="true" outlineLevel="0" collapsed="false">
      <c r="A1911" s="1" t="n">
        <v>1910</v>
      </c>
      <c r="B1911" s="6" t="str">
        <f aca="false">HYPERLINK("https://mncourtfraud.com/file/MCRO_27-CR-21-23131_Notice of Remote Hearing with Instructions_2022-04-22_20240430083655.pdf","MCRO_27-CR-21-23131_Notice of Remote Hearing with Instructions_2022-04-22_20240430083655.pdf")</f>
        <v>MCRO_27-CR-21-23131_Notice of Remote Hearing with Instructions_2022-04-22_20240430083655.pdf</v>
      </c>
      <c r="C1911" s="1" t="n">
        <v>4</v>
      </c>
      <c r="D1911" s="1" t="n">
        <v>1</v>
      </c>
      <c r="E1911" s="1" t="n">
        <v>1</v>
      </c>
      <c r="F1911" s="3" t="s">
        <v>20</v>
      </c>
      <c r="G1911" s="3" t="s">
        <v>7815</v>
      </c>
      <c r="H1911" s="1" t="s">
        <v>22</v>
      </c>
      <c r="I1911" s="1" t="n">
        <v>20240430083655</v>
      </c>
      <c r="J1911" s="3" t="s">
        <v>7816</v>
      </c>
      <c r="K1911" s="3" t="s">
        <v>7817</v>
      </c>
      <c r="L1911" s="3" t="s">
        <v>7818</v>
      </c>
      <c r="M1911" s="3" t="n">
        <v>821781</v>
      </c>
      <c r="N1911" s="3" t="s">
        <v>2818</v>
      </c>
      <c r="O1911" s="1" t="n">
        <v>805395</v>
      </c>
      <c r="P1911" s="1" t="n">
        <v>98.01</v>
      </c>
      <c r="Q1911" s="1" t="s">
        <v>20</v>
      </c>
      <c r="R1911" s="1" t="s">
        <v>27</v>
      </c>
      <c r="S1911" s="1" t="s">
        <v>28</v>
      </c>
      <c r="T1911" s="1" t="s">
        <v>29</v>
      </c>
    </row>
    <row r="1912" customFormat="false" ht="18.7" hidden="false" customHeight="true" outlineLevel="0" collapsed="false">
      <c r="A1912" s="1" t="n">
        <v>1911</v>
      </c>
      <c r="B1912" s="6" t="str">
        <f aca="false">HYPERLINK("https://mncourtfraud.com/file/MCRO_27-CR-21-23131_Notice of Remote Hearing with Instructions_2022-06-21_20240430083654.pdf","MCRO_27-CR-21-23131_Notice of Remote Hearing with Instructions_2022-06-21_20240430083654.pdf")</f>
        <v>MCRO_27-CR-21-23131_Notice of Remote Hearing with Instructions_2022-06-21_20240430083654.pdf</v>
      </c>
      <c r="C1912" s="1" t="n">
        <v>4</v>
      </c>
      <c r="D1912" s="1" t="n">
        <v>1</v>
      </c>
      <c r="E1912" s="1" t="n">
        <v>1</v>
      </c>
      <c r="F1912" s="3" t="s">
        <v>20</v>
      </c>
      <c r="G1912" s="3" t="s">
        <v>7819</v>
      </c>
      <c r="H1912" s="1" t="s">
        <v>22</v>
      </c>
      <c r="I1912" s="1" t="n">
        <v>20240430083654</v>
      </c>
      <c r="J1912" s="3" t="s">
        <v>7820</v>
      </c>
      <c r="K1912" s="3" t="s">
        <v>7821</v>
      </c>
      <c r="L1912" s="3" t="s">
        <v>7822</v>
      </c>
      <c r="M1912" s="3" t="n">
        <v>821973</v>
      </c>
      <c r="N1912" s="3" t="s">
        <v>2818</v>
      </c>
      <c r="O1912" s="1" t="n">
        <v>805587</v>
      </c>
      <c r="P1912" s="1" t="n">
        <v>98.01</v>
      </c>
      <c r="Q1912" s="1" t="s">
        <v>20</v>
      </c>
      <c r="R1912" s="1" t="s">
        <v>27</v>
      </c>
      <c r="S1912" s="1" t="s">
        <v>28</v>
      </c>
      <c r="T1912" s="1" t="s">
        <v>29</v>
      </c>
    </row>
    <row r="1913" customFormat="false" ht="18.7" hidden="false" customHeight="true" outlineLevel="0" collapsed="false">
      <c r="A1913" s="1" t="n">
        <v>1912</v>
      </c>
      <c r="B1913" s="6" t="str">
        <f aca="false">HYPERLINK("https://mncourtfraud.com/file/MCRO_27-CR-21-23131_Notice of Remote Hearing with Instructions_2023-03-24_20240430083649.pdf","MCRO_27-CR-21-23131_Notice of Remote Hearing with Instructions_2023-03-24_20240430083649.pdf")</f>
        <v>MCRO_27-CR-21-23131_Notice of Remote Hearing with Instructions_2023-03-24_20240430083649.pdf</v>
      </c>
      <c r="C1913" s="1" t="n">
        <v>5</v>
      </c>
      <c r="D1913" s="1" t="n">
        <v>1</v>
      </c>
      <c r="E1913" s="1" t="n">
        <v>1</v>
      </c>
      <c r="F1913" s="3" t="s">
        <v>20</v>
      </c>
      <c r="G1913" s="3" t="s">
        <v>7823</v>
      </c>
      <c r="H1913" s="1" t="s">
        <v>22</v>
      </c>
      <c r="I1913" s="1" t="n">
        <v>20240430083649</v>
      </c>
      <c r="J1913" s="3" t="s">
        <v>7824</v>
      </c>
      <c r="K1913" s="3" t="s">
        <v>7825</v>
      </c>
      <c r="L1913" s="3" t="s">
        <v>7826</v>
      </c>
      <c r="M1913" s="3" t="n">
        <v>847086</v>
      </c>
      <c r="N1913" s="3" t="s">
        <v>2852</v>
      </c>
      <c r="O1913" s="1" t="n">
        <v>830700</v>
      </c>
      <c r="P1913" s="1" t="n">
        <v>98.07</v>
      </c>
      <c r="Q1913" s="1" t="s">
        <v>20</v>
      </c>
      <c r="R1913" s="1" t="s">
        <v>27</v>
      </c>
      <c r="S1913" s="1" t="s">
        <v>28</v>
      </c>
      <c r="T1913" s="1" t="s">
        <v>29</v>
      </c>
    </row>
    <row r="1914" customFormat="false" ht="18.7" hidden="false" customHeight="true" outlineLevel="0" collapsed="false">
      <c r="A1914" s="1" t="n">
        <v>1913</v>
      </c>
      <c r="B1914" s="6" t="str">
        <f aca="false">HYPERLINK("https://mncourtfraud.com/file/MCRO_27-CR-21-23131_Notice of Remote Hearing with Instructions_2023-09-05_20240430083645.pdf","MCRO_27-CR-21-23131_Notice of Remote Hearing with Instructions_2023-09-05_20240430083645.pdf")</f>
        <v>MCRO_27-CR-21-23131_Notice of Remote Hearing with Instructions_2023-09-05_20240430083645.pdf</v>
      </c>
      <c r="C1914" s="1" t="n">
        <v>6</v>
      </c>
      <c r="D1914" s="1" t="n">
        <v>1</v>
      </c>
      <c r="E1914" s="1" t="n">
        <v>1</v>
      </c>
      <c r="F1914" s="3" t="s">
        <v>20</v>
      </c>
      <c r="G1914" s="3" t="s">
        <v>7827</v>
      </c>
      <c r="H1914" s="1" t="s">
        <v>22</v>
      </c>
      <c r="I1914" s="1" t="n">
        <v>20240430083645</v>
      </c>
      <c r="J1914" s="3" t="s">
        <v>7828</v>
      </c>
      <c r="K1914" s="3" t="s">
        <v>7829</v>
      </c>
      <c r="L1914" s="3" t="s">
        <v>7830</v>
      </c>
      <c r="M1914" s="3" t="n">
        <v>957519</v>
      </c>
      <c r="N1914" s="3" t="s">
        <v>1690</v>
      </c>
      <c r="O1914" s="1" t="n">
        <v>941133</v>
      </c>
      <c r="P1914" s="1" t="n">
        <v>98.29</v>
      </c>
      <c r="Q1914" s="1" t="s">
        <v>20</v>
      </c>
      <c r="R1914" s="1" t="s">
        <v>27</v>
      </c>
      <c r="S1914" s="1" t="s">
        <v>28</v>
      </c>
      <c r="T1914" s="1" t="s">
        <v>29</v>
      </c>
    </row>
    <row r="1915" customFormat="false" ht="18.7" hidden="false" customHeight="true" outlineLevel="0" collapsed="false">
      <c r="A1915" s="1" t="n">
        <v>1914</v>
      </c>
      <c r="B1915" s="6" t="str">
        <f aca="false">HYPERLINK("https://mncourtfraud.com/file/MCRO_27-CR-21-23131_Notice of Remote Hearing with Instructions_2024-04-22_20240430083634.pdf","MCRO_27-CR-21-23131_Notice of Remote Hearing with Instructions_2024-04-22_20240430083634.pdf")</f>
        <v>MCRO_27-CR-21-23131_Notice of Remote Hearing with Instructions_2024-04-22_20240430083634.pdf</v>
      </c>
      <c r="C1915" s="1" t="n">
        <v>4</v>
      </c>
      <c r="D1915" s="1" t="n">
        <v>1</v>
      </c>
      <c r="E1915" s="1" t="n">
        <v>1</v>
      </c>
      <c r="F1915" s="3" t="s">
        <v>20</v>
      </c>
      <c r="G1915" s="3" t="s">
        <v>7831</v>
      </c>
      <c r="H1915" s="1" t="s">
        <v>22</v>
      </c>
      <c r="I1915" s="1" t="n">
        <v>20240430083634</v>
      </c>
      <c r="J1915" s="3" t="s">
        <v>7832</v>
      </c>
      <c r="K1915" s="3" t="s">
        <v>7833</v>
      </c>
      <c r="L1915" s="3" t="s">
        <v>7834</v>
      </c>
      <c r="M1915" s="3" t="n">
        <v>736909</v>
      </c>
      <c r="N1915" s="3" t="s">
        <v>347</v>
      </c>
      <c r="O1915" s="1" t="n">
        <v>720523</v>
      </c>
      <c r="P1915" s="1" t="n">
        <v>97.78</v>
      </c>
      <c r="Q1915" s="1" t="s">
        <v>20</v>
      </c>
      <c r="R1915" s="1" t="s">
        <v>27</v>
      </c>
      <c r="S1915" s="1" t="s">
        <v>28</v>
      </c>
      <c r="T1915" s="1" t="s">
        <v>29</v>
      </c>
    </row>
    <row r="1916" customFormat="false" ht="18.7" hidden="false" customHeight="true" outlineLevel="0" collapsed="false">
      <c r="A1916" s="1" t="n">
        <v>1915</v>
      </c>
      <c r="B1916" s="6" t="str">
        <f aca="false">HYPERLINK("https://mncourtfraud.com/file/MCRO_27-CR-21-23131_Order-Eval for Mental Illness or Cognitive Impairment 20.02_2024-02-07_20240430083636.pdf","MCRO_27-CR-21-23131_Order-Eval for Mental Illness or Cognitive Impairment 20.02_2024-02-07_20240430083636.pdf")</f>
        <v>MCRO_27-CR-21-23131_Order-Eval for Mental Illness or Cognitive Impairment 20.02_2024-02-07_20240430083636.pdf</v>
      </c>
      <c r="C1916" s="1" t="n">
        <v>7</v>
      </c>
      <c r="D1916" s="1" t="n">
        <v>17</v>
      </c>
      <c r="E1916" s="1" t="n">
        <v>2</v>
      </c>
      <c r="F1916" s="3" t="s">
        <v>27</v>
      </c>
      <c r="G1916" s="3" t="s">
        <v>7835</v>
      </c>
      <c r="H1916" s="1" t="s">
        <v>22</v>
      </c>
      <c r="I1916" s="1" t="n">
        <v>20240430083636</v>
      </c>
      <c r="J1916" s="3" t="s">
        <v>7836</v>
      </c>
      <c r="K1916" s="3" t="s">
        <v>7837</v>
      </c>
      <c r="L1916" s="3" t="s">
        <v>7838</v>
      </c>
      <c r="M1916" s="3" t="n">
        <v>809494</v>
      </c>
      <c r="N1916" s="3" t="s">
        <v>4563</v>
      </c>
      <c r="O1916" s="1" t="n">
        <v>793108</v>
      </c>
      <c r="P1916" s="1" t="n">
        <v>97.98</v>
      </c>
      <c r="Q1916" s="1" t="s">
        <v>20</v>
      </c>
      <c r="R1916" s="1" t="s">
        <v>27</v>
      </c>
      <c r="S1916" s="1" t="s">
        <v>28</v>
      </c>
      <c r="T1916" s="1" t="s">
        <v>29</v>
      </c>
    </row>
    <row r="1917" customFormat="false" ht="18.7" hidden="false" customHeight="true" outlineLevel="0" collapsed="false">
      <c r="A1917" s="1" t="n">
        <v>1916</v>
      </c>
      <c r="B1917" s="6" t="str">
        <f aca="false">HYPERLINK("https://mncourtfraud.com/file/MCRO_27-CR-21-23131_Order-Evaluation for Competency to Proceed (Rule 20.01)_2022-01-06_20240430083657.pdf","MCRO_27-CR-21-23131_Order-Evaluation for Competency to Proceed (Rule 20.01)_2022-01-06_20240430083657.pdf")</f>
        <v>MCRO_27-CR-21-23131_Order-Evaluation for Competency to Proceed (Rule 20.01)_2022-01-06_20240430083657.pdf</v>
      </c>
      <c r="C1917" s="1" t="n">
        <v>5</v>
      </c>
      <c r="D1917" s="1" t="n">
        <v>5</v>
      </c>
      <c r="E1917" s="1" t="n">
        <v>5</v>
      </c>
      <c r="F1917" s="3" t="s">
        <v>20</v>
      </c>
      <c r="G1917" s="3" t="s">
        <v>7839</v>
      </c>
      <c r="H1917" s="1" t="s">
        <v>22</v>
      </c>
      <c r="I1917" s="1" t="n">
        <v>20240430083657</v>
      </c>
      <c r="J1917" s="3" t="s">
        <v>7840</v>
      </c>
      <c r="K1917" s="3" t="s">
        <v>7841</v>
      </c>
      <c r="L1917" s="3" t="s">
        <v>7842</v>
      </c>
      <c r="M1917" s="3" t="n">
        <v>455047</v>
      </c>
      <c r="N1917" s="3" t="s">
        <v>79</v>
      </c>
      <c r="O1917" s="1" t="n">
        <v>438661</v>
      </c>
      <c r="P1917" s="1" t="n">
        <v>96.4</v>
      </c>
      <c r="Q1917" s="1" t="s">
        <v>20</v>
      </c>
      <c r="R1917" s="1" t="s">
        <v>27</v>
      </c>
      <c r="S1917" s="1" t="s">
        <v>28</v>
      </c>
      <c r="T1917" s="1" t="s">
        <v>29</v>
      </c>
    </row>
    <row r="1918" customFormat="false" ht="18.7" hidden="false" customHeight="true" outlineLevel="0" collapsed="false">
      <c r="A1918" s="1" t="n">
        <v>1917</v>
      </c>
      <c r="B1918" s="6" t="str">
        <f aca="false">HYPERLINK("https://mncourtfraud.com/file/MCRO_27-CR-21-23131_Order-Evaluation for Competency to Proceed (Rule 20.01)_2022-06-21_20240430083653.pdf","MCRO_27-CR-21-23131_Order-Evaluation for Competency to Proceed (Rule 20.01)_2022-06-21_20240430083653.pdf")</f>
        <v>MCRO_27-CR-21-23131_Order-Evaluation for Competency to Proceed (Rule 20.01)_2022-06-21_20240430083653.pdf</v>
      </c>
      <c r="C1918" s="1" t="n">
        <v>5</v>
      </c>
      <c r="D1918" s="1" t="n">
        <v>2</v>
      </c>
      <c r="E1918" s="1" t="n">
        <v>2</v>
      </c>
      <c r="F1918" s="3" t="s">
        <v>20</v>
      </c>
      <c r="G1918" s="3" t="s">
        <v>7843</v>
      </c>
      <c r="H1918" s="1" t="s">
        <v>22</v>
      </c>
      <c r="I1918" s="1" t="n">
        <v>20240430083653</v>
      </c>
      <c r="J1918" s="3" t="s">
        <v>7844</v>
      </c>
      <c r="K1918" s="3" t="s">
        <v>7845</v>
      </c>
      <c r="L1918" s="3" t="s">
        <v>5023</v>
      </c>
      <c r="M1918" s="3" t="n">
        <v>992279</v>
      </c>
      <c r="N1918" s="3" t="s">
        <v>5024</v>
      </c>
      <c r="O1918" s="1" t="n">
        <v>975893</v>
      </c>
      <c r="P1918" s="1" t="n">
        <v>98.35</v>
      </c>
      <c r="Q1918" s="1" t="s">
        <v>20</v>
      </c>
      <c r="R1918" s="1" t="s">
        <v>27</v>
      </c>
      <c r="S1918" s="1" t="s">
        <v>28</v>
      </c>
      <c r="T1918" s="1" t="s">
        <v>29</v>
      </c>
    </row>
    <row r="1919" customFormat="false" ht="18.7" hidden="false" customHeight="true" outlineLevel="0" collapsed="false">
      <c r="A1919" s="1" t="n">
        <v>1918</v>
      </c>
      <c r="B1919" s="6" t="str">
        <f aca="false">HYPERLINK("https://mncourtfraud.com/file/MCRO_27-CR-21-23131_Order-Evaluation for Competency to Proceed (Rule 20.01)_2022-12-30_20240430083651.pdf","MCRO_27-CR-21-23131_Order-Evaluation for Competency to Proceed (Rule 20.01)_2022-12-30_20240430083651.pdf")</f>
        <v>MCRO_27-CR-21-23131_Order-Evaluation for Competency to Proceed (Rule 20.01)_2022-12-30_20240430083651.pdf</v>
      </c>
      <c r="C1919" s="1" t="n">
        <v>7</v>
      </c>
      <c r="D1919" s="1" t="n">
        <v>2</v>
      </c>
      <c r="E1919" s="1" t="n">
        <v>2</v>
      </c>
      <c r="F1919" s="3" t="s">
        <v>27</v>
      </c>
      <c r="G1919" s="3" t="s">
        <v>7846</v>
      </c>
      <c r="H1919" s="1" t="s">
        <v>22</v>
      </c>
      <c r="I1919" s="1" t="n">
        <v>20240430083651</v>
      </c>
      <c r="J1919" s="3" t="s">
        <v>7847</v>
      </c>
      <c r="K1919" s="3" t="s">
        <v>7848</v>
      </c>
      <c r="L1919" s="3" t="s">
        <v>7849</v>
      </c>
      <c r="M1919" s="3" t="n">
        <v>971780</v>
      </c>
      <c r="N1919" s="3" t="s">
        <v>5029</v>
      </c>
      <c r="O1919" s="1" t="n">
        <v>955394</v>
      </c>
      <c r="P1919" s="1" t="n">
        <v>98.31</v>
      </c>
      <c r="Q1919" s="1" t="s">
        <v>20</v>
      </c>
      <c r="R1919" s="1" t="s">
        <v>27</v>
      </c>
      <c r="S1919" s="1" t="s">
        <v>28</v>
      </c>
      <c r="T1919" s="1" t="s">
        <v>29</v>
      </c>
    </row>
    <row r="1920" customFormat="false" ht="18.7" hidden="false" customHeight="true" outlineLevel="0" collapsed="false">
      <c r="A1920" s="1" t="n">
        <v>1919</v>
      </c>
      <c r="B1920" s="6" t="str">
        <f aca="false">HYPERLINK("https://mncourtfraud.com/file/MCRO_27-CR-21-23131_Order-Evaluation for Competency to Proceed (Rule 20.01)_2023-06-28_20240430083647.pdf","MCRO_27-CR-21-23131_Order-Evaluation for Competency to Proceed (Rule 20.01)_2023-06-28_20240430083647.pdf")</f>
        <v>MCRO_27-CR-21-23131_Order-Evaluation for Competency to Proceed (Rule 20.01)_2023-06-28_20240430083647.pdf</v>
      </c>
      <c r="C1920" s="1" t="n">
        <v>6</v>
      </c>
      <c r="D1920" s="1" t="n">
        <v>2</v>
      </c>
      <c r="E1920" s="1" t="n">
        <v>2</v>
      </c>
      <c r="F1920" s="3" t="s">
        <v>27</v>
      </c>
      <c r="G1920" s="3" t="s">
        <v>7850</v>
      </c>
      <c r="H1920" s="1" t="s">
        <v>22</v>
      </c>
      <c r="I1920" s="1" t="n">
        <v>20240430083647</v>
      </c>
      <c r="J1920" s="3" t="s">
        <v>7851</v>
      </c>
      <c r="K1920" s="3" t="s">
        <v>7852</v>
      </c>
      <c r="L1920" s="3" t="s">
        <v>7853</v>
      </c>
      <c r="M1920" s="3" t="n">
        <v>888809</v>
      </c>
      <c r="N1920" s="3" t="s">
        <v>810</v>
      </c>
      <c r="O1920" s="1" t="n">
        <v>872423</v>
      </c>
      <c r="P1920" s="1" t="n">
        <v>98.16</v>
      </c>
      <c r="Q1920" s="1" t="s">
        <v>20</v>
      </c>
      <c r="R1920" s="1" t="s">
        <v>27</v>
      </c>
      <c r="S1920" s="1" t="s">
        <v>28</v>
      </c>
      <c r="T1920" s="1" t="s">
        <v>29</v>
      </c>
    </row>
    <row r="1921" customFormat="false" ht="18.7" hidden="false" customHeight="true" outlineLevel="0" collapsed="false">
      <c r="A1921" s="1" t="n">
        <v>1920</v>
      </c>
      <c r="B1921" s="6" t="str">
        <f aca="false">HYPERLINK("https://mncourtfraud.com/file/MCRO_27-CR-21-23131_Other Document_2021-12-17_20240430083659.pdf","MCRO_27-CR-21-23131_Other Document_2021-12-17_20240430083659.pdf")</f>
        <v>MCRO_27-CR-21-23131_Other Document_2021-12-17_20240430083659.pdf</v>
      </c>
      <c r="C1921" s="1" t="n">
        <v>4</v>
      </c>
      <c r="D1921" s="1" t="n">
        <v>1</v>
      </c>
      <c r="E1921" s="1" t="n">
        <v>1</v>
      </c>
      <c r="F1921" s="3" t="s">
        <v>20</v>
      </c>
      <c r="G1921" s="3" t="s">
        <v>7854</v>
      </c>
      <c r="H1921" s="1" t="s">
        <v>22</v>
      </c>
      <c r="I1921" s="1" t="n">
        <v>20240430083659</v>
      </c>
      <c r="J1921" s="3" t="s">
        <v>7855</v>
      </c>
      <c r="K1921" s="3" t="s">
        <v>7856</v>
      </c>
      <c r="L1921" s="3" t="s">
        <v>7857</v>
      </c>
      <c r="M1921" s="3" t="n">
        <v>110690</v>
      </c>
      <c r="N1921" s="3" t="s">
        <v>456</v>
      </c>
      <c r="O1921" s="1" t="n">
        <v>94304</v>
      </c>
      <c r="P1921" s="1" t="n">
        <v>85.2</v>
      </c>
      <c r="Q1921" s="1" t="s">
        <v>20</v>
      </c>
      <c r="R1921" s="1" t="s">
        <v>27</v>
      </c>
      <c r="S1921" s="1" t="s">
        <v>28</v>
      </c>
      <c r="T1921" s="1" t="s">
        <v>29</v>
      </c>
    </row>
    <row r="1922" customFormat="false" ht="18.7" hidden="false" customHeight="true" outlineLevel="0" collapsed="false">
      <c r="A1922" s="1" t="n">
        <v>1921</v>
      </c>
      <c r="B1922" s="6" t="str">
        <f aca="false">HYPERLINK("https://mncourtfraud.com/file/MCRO_27-CR-21-23131_Returned Mail_2023-04-04_20240430083647.pdf","MCRO_27-CR-21-23131_Returned Mail_2023-04-04_20240430083647.pdf")</f>
        <v>MCRO_27-CR-21-23131_Returned Mail_2023-04-04_20240430083647.pdf</v>
      </c>
      <c r="C1922" s="1" t="n">
        <v>4</v>
      </c>
      <c r="D1922" s="1" t="n">
        <v>1</v>
      </c>
      <c r="E1922" s="1" t="n">
        <v>1</v>
      </c>
      <c r="F1922" s="3" t="s">
        <v>20</v>
      </c>
      <c r="G1922" s="3" t="s">
        <v>7858</v>
      </c>
      <c r="H1922" s="1" t="s">
        <v>22</v>
      </c>
      <c r="I1922" s="1" t="n">
        <v>20240430083647</v>
      </c>
      <c r="J1922" s="3" t="s">
        <v>7859</v>
      </c>
      <c r="K1922" s="3" t="s">
        <v>7860</v>
      </c>
      <c r="L1922" s="3" t="s">
        <v>7861</v>
      </c>
      <c r="M1922" s="3" t="n">
        <v>106524</v>
      </c>
      <c r="N1922" s="3" t="s">
        <v>435</v>
      </c>
      <c r="O1922" s="1" t="n">
        <v>90138</v>
      </c>
      <c r="P1922" s="1" t="n">
        <v>84.62</v>
      </c>
      <c r="Q1922" s="1" t="s">
        <v>20</v>
      </c>
      <c r="R1922" s="1" t="s">
        <v>27</v>
      </c>
      <c r="S1922" s="1" t="s">
        <v>28</v>
      </c>
      <c r="T1922" s="1" t="s">
        <v>29</v>
      </c>
    </row>
    <row r="1923" customFormat="false" ht="18.7" hidden="false" customHeight="true" outlineLevel="0" collapsed="false">
      <c r="A1923" s="1" t="n">
        <v>1922</v>
      </c>
      <c r="B1923" s="6" t="str">
        <f aca="false">HYPERLINK("https://mncourtfraud.com/file/MCRO_27-CR-21-23131_Returned Mail_2023-09-19_20240430083643.pdf","MCRO_27-CR-21-23131_Returned Mail_2023-09-19_20240430083643.pdf")</f>
        <v>MCRO_27-CR-21-23131_Returned Mail_2023-09-19_20240430083643.pdf</v>
      </c>
      <c r="C1923" s="1" t="n">
        <v>4</v>
      </c>
      <c r="D1923" s="1" t="n">
        <v>1</v>
      </c>
      <c r="E1923" s="1" t="n">
        <v>1</v>
      </c>
      <c r="F1923" s="3" t="s">
        <v>20</v>
      </c>
      <c r="G1923" s="3" t="s">
        <v>7862</v>
      </c>
      <c r="H1923" s="1" t="s">
        <v>22</v>
      </c>
      <c r="I1923" s="1" t="n">
        <v>20240430083643</v>
      </c>
      <c r="J1923" s="3" t="s">
        <v>7863</v>
      </c>
      <c r="K1923" s="3" t="s">
        <v>7864</v>
      </c>
      <c r="L1923" s="3" t="s">
        <v>7865</v>
      </c>
      <c r="M1923" s="3" t="n">
        <v>672779</v>
      </c>
      <c r="N1923" s="3" t="s">
        <v>1128</v>
      </c>
      <c r="O1923" s="1" t="n">
        <v>656393</v>
      </c>
      <c r="P1923" s="1" t="n">
        <v>97.56</v>
      </c>
      <c r="Q1923" s="1" t="s">
        <v>20</v>
      </c>
      <c r="R1923" s="1" t="s">
        <v>27</v>
      </c>
      <c r="S1923" s="1" t="s">
        <v>28</v>
      </c>
      <c r="T1923" s="1" t="s">
        <v>29</v>
      </c>
    </row>
    <row r="1924" customFormat="false" ht="18.7" hidden="false" customHeight="true" outlineLevel="0" collapsed="false">
      <c r="A1924" s="1" t="n">
        <v>1923</v>
      </c>
      <c r="B1924" s="6" t="str">
        <f aca="false">HYPERLINK("https://mncourtfraud.com/file/MCRO_27-CR-21-23131_Returned Mail_2023-09-25_20240430083642.pdf","MCRO_27-CR-21-23131_Returned Mail_2023-09-25_20240430083642.pdf")</f>
        <v>MCRO_27-CR-21-23131_Returned Mail_2023-09-25_20240430083642.pdf</v>
      </c>
      <c r="C1924" s="1" t="n">
        <v>4</v>
      </c>
      <c r="D1924" s="1" t="n">
        <v>1</v>
      </c>
      <c r="E1924" s="1" t="n">
        <v>1</v>
      </c>
      <c r="F1924" s="3" t="s">
        <v>20</v>
      </c>
      <c r="G1924" s="3" t="s">
        <v>7866</v>
      </c>
      <c r="H1924" s="1" t="s">
        <v>22</v>
      </c>
      <c r="I1924" s="1" t="n">
        <v>20240430083642</v>
      </c>
      <c r="J1924" s="3" t="s">
        <v>7867</v>
      </c>
      <c r="K1924" s="3" t="s">
        <v>7868</v>
      </c>
      <c r="L1924" s="3" t="s">
        <v>7869</v>
      </c>
      <c r="M1924" s="3" t="n">
        <v>247822</v>
      </c>
      <c r="N1924" s="3" t="s">
        <v>158</v>
      </c>
      <c r="O1924" s="1" t="n">
        <v>231436</v>
      </c>
      <c r="P1924" s="1" t="n">
        <v>93.39</v>
      </c>
      <c r="Q1924" s="1" t="s">
        <v>20</v>
      </c>
      <c r="R1924" s="1" t="s">
        <v>27</v>
      </c>
      <c r="S1924" s="1" t="s">
        <v>28</v>
      </c>
      <c r="T1924" s="1" t="s">
        <v>29</v>
      </c>
    </row>
    <row r="1925" customFormat="false" ht="18.7" hidden="false" customHeight="true" outlineLevel="0" collapsed="false">
      <c r="A1925" s="1" t="n">
        <v>1924</v>
      </c>
      <c r="B1925" s="6" t="str">
        <f aca="false">HYPERLINK("https://mncourtfraud.com/file/MCRO_27-CR-21-23131_Returned Mail_2023-12-12_20240430083640.pdf","MCRO_27-CR-21-23131_Returned Mail_2023-12-12_20240430083640.pdf")</f>
        <v>MCRO_27-CR-21-23131_Returned Mail_2023-12-12_20240430083640.pdf</v>
      </c>
      <c r="C1925" s="1" t="n">
        <v>4</v>
      </c>
      <c r="D1925" s="1" t="n">
        <v>1</v>
      </c>
      <c r="E1925" s="1" t="n">
        <v>1</v>
      </c>
      <c r="F1925" s="3" t="s">
        <v>20</v>
      </c>
      <c r="G1925" s="3" t="s">
        <v>7870</v>
      </c>
      <c r="H1925" s="1" t="s">
        <v>22</v>
      </c>
      <c r="I1925" s="1" t="n">
        <v>20240430083640</v>
      </c>
      <c r="J1925" s="3" t="s">
        <v>7871</v>
      </c>
      <c r="K1925" s="3" t="s">
        <v>7872</v>
      </c>
      <c r="L1925" s="3" t="s">
        <v>7873</v>
      </c>
      <c r="M1925" s="3" t="n">
        <v>817959</v>
      </c>
      <c r="N1925" s="3" t="s">
        <v>1128</v>
      </c>
      <c r="O1925" s="1" t="n">
        <v>801573</v>
      </c>
      <c r="P1925" s="1" t="n">
        <v>98</v>
      </c>
      <c r="Q1925" s="1" t="s">
        <v>20</v>
      </c>
      <c r="R1925" s="1" t="s">
        <v>27</v>
      </c>
      <c r="S1925" s="1" t="s">
        <v>28</v>
      </c>
      <c r="T1925" s="1" t="s">
        <v>29</v>
      </c>
    </row>
    <row r="1926" customFormat="false" ht="18.7" hidden="false" customHeight="true" outlineLevel="0" collapsed="false">
      <c r="A1926" s="1" t="n">
        <v>1925</v>
      </c>
      <c r="B1926" s="6" t="str">
        <f aca="false">HYPERLINK("https://mncourtfraud.com/file/MCRO_27-CR-21-23131_Returned Mail_2024-02-06_20240430083637.pdf","MCRO_27-CR-21-23131_Returned Mail_2024-02-06_20240430083637.pdf")</f>
        <v>MCRO_27-CR-21-23131_Returned Mail_2024-02-06_20240430083637.pdf</v>
      </c>
      <c r="C1926" s="1" t="n">
        <v>4</v>
      </c>
      <c r="D1926" s="1" t="n">
        <v>1</v>
      </c>
      <c r="E1926" s="1" t="n">
        <v>1</v>
      </c>
      <c r="F1926" s="3" t="s">
        <v>20</v>
      </c>
      <c r="G1926" s="3" t="s">
        <v>7874</v>
      </c>
      <c r="H1926" s="1" t="s">
        <v>22</v>
      </c>
      <c r="I1926" s="1" t="n">
        <v>20240430083637</v>
      </c>
      <c r="J1926" s="3" t="s">
        <v>7875</v>
      </c>
      <c r="K1926" s="3" t="s">
        <v>7876</v>
      </c>
      <c r="L1926" s="3" t="s">
        <v>7877</v>
      </c>
      <c r="M1926" s="3" t="n">
        <v>253481</v>
      </c>
      <c r="N1926" s="3" t="s">
        <v>158</v>
      </c>
      <c r="O1926" s="1" t="n">
        <v>237095</v>
      </c>
      <c r="P1926" s="1" t="n">
        <v>93.54</v>
      </c>
      <c r="Q1926" s="1" t="s">
        <v>20</v>
      </c>
      <c r="R1926" s="1" t="s">
        <v>27</v>
      </c>
      <c r="S1926" s="1" t="s">
        <v>28</v>
      </c>
      <c r="T1926" s="1" t="s">
        <v>29</v>
      </c>
    </row>
    <row r="1927" customFormat="false" ht="18.7" hidden="false" customHeight="true" outlineLevel="0" collapsed="false">
      <c r="A1927" s="1" t="n">
        <v>1926</v>
      </c>
      <c r="B1927" s="6" t="str">
        <f aca="false">HYPERLINK("https://mncourtfraud.com/file/MCRO_27-CR-21-23188_Demand or Request for Discovery_2021-12-20_20240430083752.pdf","MCRO_27-CR-21-23188_Demand or Request for Discovery_2021-12-20_20240430083752.pdf")</f>
        <v>MCRO_27-CR-21-23188_Demand or Request for Discovery_2021-12-20_20240430083752.pdf</v>
      </c>
      <c r="C1927" s="1" t="n">
        <v>3</v>
      </c>
      <c r="D1927" s="1" t="n">
        <v>1</v>
      </c>
      <c r="E1927" s="1" t="n">
        <v>1</v>
      </c>
      <c r="F1927" s="3" t="s">
        <v>20</v>
      </c>
      <c r="G1927" s="3" t="s">
        <v>7878</v>
      </c>
      <c r="H1927" s="1" t="s">
        <v>22</v>
      </c>
      <c r="I1927" s="1" t="n">
        <v>20240430083752</v>
      </c>
      <c r="J1927" s="3" t="s">
        <v>7879</v>
      </c>
      <c r="K1927" s="3" t="s">
        <v>7880</v>
      </c>
      <c r="L1927" s="3" t="s">
        <v>7881</v>
      </c>
      <c r="M1927" s="3" t="n">
        <v>618735</v>
      </c>
      <c r="N1927" s="3" t="s">
        <v>3699</v>
      </c>
      <c r="O1927" s="1" t="n">
        <v>602349</v>
      </c>
      <c r="P1927" s="1" t="n">
        <v>97.35</v>
      </c>
      <c r="Q1927" s="1" t="s">
        <v>20</v>
      </c>
      <c r="R1927" s="1" t="s">
        <v>27</v>
      </c>
      <c r="S1927" s="1" t="s">
        <v>28</v>
      </c>
      <c r="T1927" s="1" t="s">
        <v>29</v>
      </c>
    </row>
    <row r="1928" customFormat="false" ht="18.7" hidden="false" customHeight="true" outlineLevel="0" collapsed="false">
      <c r="A1928" s="1" t="n">
        <v>1927</v>
      </c>
      <c r="B1928" s="6" t="str">
        <f aca="false">HYPERLINK("https://mncourtfraud.com/file/MCRO_27-CR-21-23188_E-filed Comp-Warrant_2021-12-17_20240430083756.pdf","MCRO_27-CR-21-23188_E-filed Comp-Warrant_2021-12-17_20240430083756.pdf")</f>
        <v>MCRO_27-CR-21-23188_E-filed Comp-Warrant_2021-12-17_20240430083756.pdf</v>
      </c>
      <c r="C1928" s="1" t="n">
        <v>4</v>
      </c>
      <c r="D1928" s="1" t="n">
        <v>2</v>
      </c>
      <c r="E1928" s="1" t="n">
        <v>2</v>
      </c>
      <c r="F1928" s="3" t="s">
        <v>20</v>
      </c>
      <c r="G1928" s="3" t="s">
        <v>7882</v>
      </c>
      <c r="H1928" s="1" t="s">
        <v>22</v>
      </c>
      <c r="I1928" s="1" t="n">
        <v>20240430083756</v>
      </c>
      <c r="J1928" s="3" t="s">
        <v>7883</v>
      </c>
      <c r="K1928" s="3" t="s">
        <v>7884</v>
      </c>
      <c r="L1928" s="3" t="s">
        <v>7885</v>
      </c>
      <c r="M1928" s="3" t="n">
        <v>496854</v>
      </c>
      <c r="N1928" s="3" t="s">
        <v>5604</v>
      </c>
      <c r="O1928" s="1" t="n">
        <v>480468</v>
      </c>
      <c r="P1928" s="1" t="n">
        <v>96.7</v>
      </c>
      <c r="Q1928" s="1" t="s">
        <v>20</v>
      </c>
      <c r="R1928" s="1" t="s">
        <v>27</v>
      </c>
      <c r="S1928" s="1" t="s">
        <v>28</v>
      </c>
      <c r="T1928" s="1" t="s">
        <v>29</v>
      </c>
    </row>
    <row r="1929" customFormat="false" ht="18.7" hidden="false" customHeight="true" outlineLevel="0" collapsed="false">
      <c r="A1929" s="1" t="n">
        <v>1928</v>
      </c>
      <c r="B1929" s="6" t="str">
        <f aca="false">HYPERLINK("https://mncourtfraud.com/file/MCRO_27-CR-21-23188_Finding of Incompetency and Order_2023-06-01_20240430083741.pdf","MCRO_27-CR-21-23188_Finding of Incompetency and Order_2023-06-01_20240430083741.pdf")</f>
        <v>MCRO_27-CR-21-23188_Finding of Incompetency and Order_2023-06-01_20240430083741.pdf</v>
      </c>
      <c r="C1929" s="1" t="n">
        <v>9</v>
      </c>
      <c r="D1929" s="1" t="n">
        <v>3</v>
      </c>
      <c r="E1929" s="1" t="n">
        <v>3</v>
      </c>
      <c r="F1929" s="3" t="s">
        <v>27</v>
      </c>
      <c r="G1929" s="3" t="s">
        <v>7886</v>
      </c>
      <c r="H1929" s="1" t="s">
        <v>22</v>
      </c>
      <c r="I1929" s="1" t="n">
        <v>20240430083741</v>
      </c>
      <c r="J1929" s="3" t="s">
        <v>7887</v>
      </c>
      <c r="K1929" s="3" t="s">
        <v>7888</v>
      </c>
      <c r="L1929" s="3" t="s">
        <v>7194</v>
      </c>
      <c r="M1929" s="3" t="n">
        <v>957989</v>
      </c>
      <c r="N1929" s="3" t="s">
        <v>7046</v>
      </c>
      <c r="O1929" s="1" t="n">
        <v>941603</v>
      </c>
      <c r="P1929" s="1" t="n">
        <v>98.29</v>
      </c>
      <c r="Q1929" s="1" t="s">
        <v>20</v>
      </c>
      <c r="R1929" s="1" t="s">
        <v>27</v>
      </c>
      <c r="S1929" s="1" t="s">
        <v>28</v>
      </c>
      <c r="T1929" s="1" t="s">
        <v>29</v>
      </c>
    </row>
    <row r="1930" customFormat="false" ht="18.7" hidden="false" customHeight="true" outlineLevel="0" collapsed="false">
      <c r="A1930" s="1" t="n">
        <v>1929</v>
      </c>
      <c r="B1930" s="6" t="str">
        <f aca="false">HYPERLINK("https://mncourtfraud.com/file/MCRO_27-CR-21-23188_Findings and Order_2022-09-13_20240430083746.pdf","MCRO_27-CR-21-23188_Findings and Order_2022-09-13_20240430083746.pdf")</f>
        <v>MCRO_27-CR-21-23188_Findings and Order_2022-09-13_20240430083746.pdf</v>
      </c>
      <c r="C1930" s="1" t="n">
        <v>6</v>
      </c>
      <c r="D1930" s="1" t="n">
        <v>1</v>
      </c>
      <c r="E1930" s="1" t="n">
        <v>1</v>
      </c>
      <c r="F1930" s="3" t="s">
        <v>20</v>
      </c>
      <c r="G1930" s="3" t="s">
        <v>7889</v>
      </c>
      <c r="H1930" s="1" t="s">
        <v>22</v>
      </c>
      <c r="I1930" s="1" t="n">
        <v>20240430083746</v>
      </c>
      <c r="J1930" s="3" t="s">
        <v>7890</v>
      </c>
      <c r="K1930" s="3" t="s">
        <v>7891</v>
      </c>
      <c r="L1930" s="3" t="s">
        <v>7892</v>
      </c>
      <c r="M1930" s="3" t="n">
        <v>293933</v>
      </c>
      <c r="N1930" s="3" t="s">
        <v>7051</v>
      </c>
      <c r="O1930" s="1" t="n">
        <v>277547</v>
      </c>
      <c r="P1930" s="1" t="n">
        <v>94.43</v>
      </c>
      <c r="Q1930" s="1" t="s">
        <v>20</v>
      </c>
      <c r="R1930" s="1" t="s">
        <v>27</v>
      </c>
      <c r="S1930" s="1" t="s">
        <v>28</v>
      </c>
      <c r="T1930" s="1" t="s">
        <v>29</v>
      </c>
    </row>
    <row r="1931" customFormat="false" ht="18.7" hidden="false" customHeight="true" outlineLevel="0" collapsed="false">
      <c r="A1931" s="1" t="n">
        <v>1930</v>
      </c>
      <c r="B1931" s="6" t="str">
        <f aca="false">HYPERLINK("https://mncourtfraud.com/file/MCRO_27-CR-21-23188_Notice of Case Reassignment_2023-06-16_20240430083739.pdf","MCRO_27-CR-21-23188_Notice of Case Reassignment_2023-06-16_20240430083739.pdf")</f>
        <v>MCRO_27-CR-21-23188_Notice of Case Reassignment_2023-06-16_20240430083739.pdf</v>
      </c>
      <c r="C1931" s="1" t="n">
        <v>3</v>
      </c>
      <c r="D1931" s="1" t="n">
        <v>1</v>
      </c>
      <c r="E1931" s="1" t="n">
        <v>1</v>
      </c>
      <c r="F1931" s="3" t="s">
        <v>20</v>
      </c>
      <c r="G1931" s="3" t="s">
        <v>7893</v>
      </c>
      <c r="H1931" s="1" t="s">
        <v>22</v>
      </c>
      <c r="I1931" s="1" t="n">
        <v>20240430083739</v>
      </c>
      <c r="J1931" s="3" t="s">
        <v>7894</v>
      </c>
      <c r="K1931" s="3" t="s">
        <v>7895</v>
      </c>
      <c r="L1931" s="3" t="s">
        <v>7599</v>
      </c>
      <c r="M1931" s="3" t="n">
        <v>113628</v>
      </c>
      <c r="N1931" s="3" t="s">
        <v>128</v>
      </c>
      <c r="O1931" s="1" t="n">
        <v>97242</v>
      </c>
      <c r="P1931" s="1" t="n">
        <v>85.58</v>
      </c>
      <c r="Q1931" s="1" t="s">
        <v>20</v>
      </c>
      <c r="R1931" s="1" t="s">
        <v>27</v>
      </c>
      <c r="S1931" s="1" t="s">
        <v>28</v>
      </c>
      <c r="T1931" s="1" t="s">
        <v>29</v>
      </c>
    </row>
    <row r="1932" customFormat="false" ht="18.7" hidden="false" customHeight="true" outlineLevel="0" collapsed="false">
      <c r="A1932" s="1" t="n">
        <v>1931</v>
      </c>
      <c r="B1932" s="6" t="str">
        <f aca="false">HYPERLINK("https://mncourtfraud.com/file/MCRO_27-CR-21-23188_Notice of Hearing_2024-01-26_20240430083735.pdf","MCRO_27-CR-21-23188_Notice of Hearing_2024-01-26_20240430083735.pdf")</f>
        <v>MCRO_27-CR-21-23188_Notice of Hearing_2024-01-26_20240430083735.pdf</v>
      </c>
      <c r="C1932" s="1" t="n">
        <v>4</v>
      </c>
      <c r="D1932" s="1" t="n">
        <v>1</v>
      </c>
      <c r="E1932" s="1" t="n">
        <v>1</v>
      </c>
      <c r="F1932" s="3" t="s">
        <v>20</v>
      </c>
      <c r="G1932" s="3" t="s">
        <v>7896</v>
      </c>
      <c r="H1932" s="1" t="s">
        <v>22</v>
      </c>
      <c r="I1932" s="1" t="n">
        <v>20240430083735</v>
      </c>
      <c r="J1932" s="3" t="s">
        <v>7897</v>
      </c>
      <c r="K1932" s="3" t="s">
        <v>7898</v>
      </c>
      <c r="L1932" s="3" t="s">
        <v>7067</v>
      </c>
      <c r="M1932" s="3" t="n">
        <v>714353</v>
      </c>
      <c r="N1932" s="3" t="s">
        <v>727</v>
      </c>
      <c r="O1932" s="1" t="n">
        <v>697967</v>
      </c>
      <c r="P1932" s="1" t="n">
        <v>97.71</v>
      </c>
      <c r="Q1932" s="1" t="s">
        <v>20</v>
      </c>
      <c r="R1932" s="1" t="s">
        <v>27</v>
      </c>
      <c r="S1932" s="1" t="s">
        <v>28</v>
      </c>
      <c r="T1932" s="1" t="s">
        <v>29</v>
      </c>
    </row>
    <row r="1933" customFormat="false" ht="18.7" hidden="false" customHeight="true" outlineLevel="0" collapsed="false">
      <c r="A1933" s="1" t="n">
        <v>1932</v>
      </c>
      <c r="B1933" s="6" t="str">
        <f aca="false">HYPERLINK("https://mncourtfraud.com/file/MCRO_27-CR-21-23188_Notice of Hearing_2024-03-19_20240430083733.pdf","MCRO_27-CR-21-23188_Notice of Hearing_2024-03-19_20240430083733.pdf")</f>
        <v>MCRO_27-CR-21-23188_Notice of Hearing_2024-03-19_20240430083733.pdf</v>
      </c>
      <c r="C1933" s="1" t="n">
        <v>5</v>
      </c>
      <c r="D1933" s="1" t="n">
        <v>1</v>
      </c>
      <c r="E1933" s="1" t="n">
        <v>1</v>
      </c>
      <c r="F1933" s="3" t="s">
        <v>20</v>
      </c>
      <c r="G1933" s="3" t="s">
        <v>7899</v>
      </c>
      <c r="H1933" s="1" t="s">
        <v>22</v>
      </c>
      <c r="I1933" s="1" t="n">
        <v>20240430083733</v>
      </c>
      <c r="J1933" s="3" t="s">
        <v>7900</v>
      </c>
      <c r="K1933" s="3" t="s">
        <v>7901</v>
      </c>
      <c r="L1933" s="3" t="s">
        <v>7071</v>
      </c>
      <c r="M1933" s="3" t="n">
        <v>729079</v>
      </c>
      <c r="N1933" s="3" t="s">
        <v>1278</v>
      </c>
      <c r="O1933" s="1" t="n">
        <v>712693</v>
      </c>
      <c r="P1933" s="1" t="n">
        <v>97.75</v>
      </c>
      <c r="Q1933" s="1" t="s">
        <v>20</v>
      </c>
      <c r="R1933" s="1" t="s">
        <v>27</v>
      </c>
      <c r="S1933" s="1" t="s">
        <v>28</v>
      </c>
      <c r="T1933" s="1" t="s">
        <v>29</v>
      </c>
    </row>
    <row r="1934" customFormat="false" ht="18.7" hidden="false" customHeight="true" outlineLevel="0" collapsed="false">
      <c r="A1934" s="1" t="n">
        <v>1933</v>
      </c>
      <c r="B1934" s="6" t="str">
        <f aca="false">HYPERLINK("https://mncourtfraud.com/file/MCRO_27-CR-21-23188_Notice of Remote Hearing with Instructions_2023-11-28_20240430083737.pdf","MCRO_27-CR-21-23188_Notice of Remote Hearing with Instructions_2023-11-28_20240430083737.pdf")</f>
        <v>MCRO_27-CR-21-23188_Notice of Remote Hearing with Instructions_2023-11-28_20240430083737.pdf</v>
      </c>
      <c r="C1934" s="1" t="n">
        <v>4</v>
      </c>
      <c r="D1934" s="1" t="n">
        <v>1</v>
      </c>
      <c r="E1934" s="1" t="n">
        <v>1</v>
      </c>
      <c r="F1934" s="3" t="s">
        <v>20</v>
      </c>
      <c r="G1934" s="3" t="s">
        <v>7902</v>
      </c>
      <c r="H1934" s="1" t="s">
        <v>22</v>
      </c>
      <c r="I1934" s="1" t="n">
        <v>20240430083737</v>
      </c>
      <c r="J1934" s="3" t="s">
        <v>7903</v>
      </c>
      <c r="K1934" s="3" t="s">
        <v>7904</v>
      </c>
      <c r="L1934" s="3" t="s">
        <v>7905</v>
      </c>
      <c r="M1934" s="3" t="n">
        <v>269237</v>
      </c>
      <c r="N1934" s="3" t="s">
        <v>74</v>
      </c>
      <c r="O1934" s="1" t="n">
        <v>252851</v>
      </c>
      <c r="P1934" s="1" t="n">
        <v>93.91</v>
      </c>
      <c r="Q1934" s="1" t="s">
        <v>20</v>
      </c>
      <c r="R1934" s="1" t="s">
        <v>27</v>
      </c>
      <c r="S1934" s="1" t="s">
        <v>28</v>
      </c>
      <c r="T1934" s="1" t="s">
        <v>29</v>
      </c>
    </row>
    <row r="1935" customFormat="false" ht="18.7" hidden="false" customHeight="true" outlineLevel="0" collapsed="false">
      <c r="A1935" s="1" t="n">
        <v>1934</v>
      </c>
      <c r="B1935" s="6" t="str">
        <f aca="false">HYPERLINK("https://mncourtfraud.com/file/MCRO_27-CR-21-23188_Notice of Remote Hearing with Instructions_2023-12-05_20240430083736.pdf","MCRO_27-CR-21-23188_Notice of Remote Hearing with Instructions_2023-12-05_20240430083736.pdf")</f>
        <v>MCRO_27-CR-21-23188_Notice of Remote Hearing with Instructions_2023-12-05_20240430083736.pdf</v>
      </c>
      <c r="C1935" s="1" t="n">
        <v>5</v>
      </c>
      <c r="D1935" s="1" t="n">
        <v>1</v>
      </c>
      <c r="E1935" s="1" t="n">
        <v>1</v>
      </c>
      <c r="F1935" s="3" t="s">
        <v>20</v>
      </c>
      <c r="G1935" s="3" t="s">
        <v>7906</v>
      </c>
      <c r="H1935" s="1" t="s">
        <v>22</v>
      </c>
      <c r="I1935" s="1" t="n">
        <v>20240430083736</v>
      </c>
      <c r="J1935" s="3" t="s">
        <v>7907</v>
      </c>
      <c r="K1935" s="3" t="s">
        <v>7908</v>
      </c>
      <c r="L1935" s="3" t="s">
        <v>7909</v>
      </c>
      <c r="M1935" s="3" t="n">
        <v>843400</v>
      </c>
      <c r="N1935" s="3" t="s">
        <v>3164</v>
      </c>
      <c r="O1935" s="1" t="n">
        <v>827014</v>
      </c>
      <c r="P1935" s="1" t="n">
        <v>98.06</v>
      </c>
      <c r="Q1935" s="1" t="s">
        <v>20</v>
      </c>
      <c r="R1935" s="1" t="s">
        <v>27</v>
      </c>
      <c r="S1935" s="1" t="s">
        <v>28</v>
      </c>
      <c r="T1935" s="1" t="s">
        <v>29</v>
      </c>
    </row>
    <row r="1936" customFormat="false" ht="18.7" hidden="false" customHeight="true" outlineLevel="0" collapsed="false">
      <c r="A1936" s="1" t="n">
        <v>1935</v>
      </c>
      <c r="B1936" s="6" t="str">
        <f aca="false">HYPERLINK("https://mncourtfraud.com/file/MCRO_27-CR-21-23188_Order-Evaluation for Competency to Proceed (Rule 20.01)_2021-12-20_20240430083755.pdf","MCRO_27-CR-21-23188_Order-Evaluation for Competency to Proceed (Rule 20.01)_2021-12-20_20240430083755.pdf")</f>
        <v>MCRO_27-CR-21-23188_Order-Evaluation for Competency to Proceed (Rule 20.01)_2021-12-20_20240430083755.pdf</v>
      </c>
      <c r="C1936" s="1" t="n">
        <v>4</v>
      </c>
      <c r="D1936" s="1" t="n">
        <v>1</v>
      </c>
      <c r="E1936" s="1" t="n">
        <v>1</v>
      </c>
      <c r="F1936" s="3" t="s">
        <v>20</v>
      </c>
      <c r="G1936" s="3" t="s">
        <v>7910</v>
      </c>
      <c r="H1936" s="1" t="s">
        <v>22</v>
      </c>
      <c r="I1936" s="1" t="n">
        <v>20240430083755</v>
      </c>
      <c r="J1936" s="3" t="s">
        <v>7911</v>
      </c>
      <c r="K1936" s="3" t="s">
        <v>7912</v>
      </c>
      <c r="L1936" s="3" t="s">
        <v>7913</v>
      </c>
      <c r="M1936" s="3" t="n">
        <v>1502625</v>
      </c>
      <c r="N1936" s="3" t="s">
        <v>6293</v>
      </c>
      <c r="O1936" s="1" t="n">
        <v>1486239</v>
      </c>
      <c r="P1936" s="1" t="n">
        <v>98.91</v>
      </c>
      <c r="Q1936" s="1" t="s">
        <v>20</v>
      </c>
      <c r="R1936" s="1" t="s">
        <v>27</v>
      </c>
      <c r="S1936" s="1" t="s">
        <v>28</v>
      </c>
      <c r="T1936" s="1" t="s">
        <v>29</v>
      </c>
    </row>
    <row r="1937" customFormat="false" ht="18.7" hidden="false" customHeight="true" outlineLevel="0" collapsed="false">
      <c r="A1937" s="1" t="n">
        <v>1936</v>
      </c>
      <c r="B1937" s="6" t="str">
        <f aca="false">HYPERLINK("https://mncourtfraud.com/file/MCRO_27-CR-21-23188_Order-Evaluation for Competency to Proceed (Rule 20.01)_2022-08-09_20240430083747.pdf","MCRO_27-CR-21-23188_Order-Evaluation for Competency to Proceed (Rule 20.01)_2022-08-09_20240430083747.pdf")</f>
        <v>MCRO_27-CR-21-23188_Order-Evaluation for Competency to Proceed (Rule 20.01)_2022-08-09_20240430083747.pdf</v>
      </c>
      <c r="C1937" s="1" t="n">
        <v>4</v>
      </c>
      <c r="D1937" s="1" t="n">
        <v>1</v>
      </c>
      <c r="E1937" s="1" t="n">
        <v>1</v>
      </c>
      <c r="F1937" s="3" t="s">
        <v>20</v>
      </c>
      <c r="G1937" s="3" t="s">
        <v>7914</v>
      </c>
      <c r="H1937" s="1" t="s">
        <v>22</v>
      </c>
      <c r="I1937" s="1" t="n">
        <v>20240430083747</v>
      </c>
      <c r="J1937" s="3" t="s">
        <v>7915</v>
      </c>
      <c r="K1937" s="3" t="s">
        <v>7916</v>
      </c>
      <c r="L1937" s="3" t="s">
        <v>7917</v>
      </c>
      <c r="M1937" s="3" t="n">
        <v>924337</v>
      </c>
      <c r="N1937" s="3" t="s">
        <v>602</v>
      </c>
      <c r="O1937" s="1" t="n">
        <v>907951</v>
      </c>
      <c r="P1937" s="1" t="n">
        <v>98.23</v>
      </c>
      <c r="Q1937" s="1" t="s">
        <v>20</v>
      </c>
      <c r="R1937" s="1" t="s">
        <v>27</v>
      </c>
      <c r="S1937" s="1" t="s">
        <v>28</v>
      </c>
      <c r="T1937" s="1" t="s">
        <v>29</v>
      </c>
    </row>
    <row r="1938" customFormat="false" ht="18.7" hidden="false" customHeight="true" outlineLevel="0" collapsed="false">
      <c r="A1938" s="1" t="n">
        <v>1937</v>
      </c>
      <c r="B1938" s="6" t="str">
        <f aca="false">HYPERLINK("https://mncourtfraud.com/file/MCRO_27-CR-21-23188_Order-Evaluation for Competency to Proceed (Rule 20.01)_2023-01-05_20240430083744.pdf","MCRO_27-CR-21-23188_Order-Evaluation for Competency to Proceed (Rule 20.01)_2023-01-05_20240430083744.pdf")</f>
        <v>MCRO_27-CR-21-23188_Order-Evaluation for Competency to Proceed (Rule 20.01)_2023-01-05_20240430083744.pdf</v>
      </c>
      <c r="C1938" s="1" t="n">
        <v>6</v>
      </c>
      <c r="D1938" s="1" t="n">
        <v>2</v>
      </c>
      <c r="E1938" s="1" t="n">
        <v>2</v>
      </c>
      <c r="F1938" s="3" t="s">
        <v>27</v>
      </c>
      <c r="G1938" s="3" t="s">
        <v>7918</v>
      </c>
      <c r="H1938" s="1" t="s">
        <v>22</v>
      </c>
      <c r="I1938" s="1" t="n">
        <v>20240430083744</v>
      </c>
      <c r="J1938" s="3" t="s">
        <v>7919</v>
      </c>
      <c r="K1938" s="3" t="s">
        <v>7920</v>
      </c>
      <c r="L1938" s="3" t="s">
        <v>7921</v>
      </c>
      <c r="M1938" s="3" t="n">
        <v>889990</v>
      </c>
      <c r="N1938" s="3" t="s">
        <v>810</v>
      </c>
      <c r="O1938" s="1" t="n">
        <v>873604</v>
      </c>
      <c r="P1938" s="1" t="n">
        <v>98.16</v>
      </c>
      <c r="Q1938" s="1" t="s">
        <v>20</v>
      </c>
      <c r="R1938" s="1" t="s">
        <v>27</v>
      </c>
      <c r="S1938" s="1" t="s">
        <v>28</v>
      </c>
      <c r="T1938" s="1" t="s">
        <v>29</v>
      </c>
    </row>
    <row r="1939" customFormat="false" ht="18.7" hidden="false" customHeight="true" outlineLevel="0" collapsed="false">
      <c r="A1939" s="1" t="n">
        <v>1938</v>
      </c>
      <c r="B1939" s="6" t="str">
        <f aca="false">HYPERLINK("https://mncourtfraud.com/file/MCRO_27-CR-21-23188_Order-Evaluation for Competency to Proceed (Rule 20.01)_2023-04-03_20240430083742.pdf","MCRO_27-CR-21-23188_Order-Evaluation for Competency to Proceed (Rule 20.01)_2023-04-03_20240430083742.pdf")</f>
        <v>MCRO_27-CR-21-23188_Order-Evaluation for Competency to Proceed (Rule 20.01)_2023-04-03_20240430083742.pdf</v>
      </c>
      <c r="C1939" s="1" t="n">
        <v>4</v>
      </c>
      <c r="D1939" s="1" t="n">
        <v>1</v>
      </c>
      <c r="E1939" s="1" t="n">
        <v>1</v>
      </c>
      <c r="F1939" s="3" t="s">
        <v>20</v>
      </c>
      <c r="G1939" s="3" t="s">
        <v>7922</v>
      </c>
      <c r="H1939" s="1" t="s">
        <v>22</v>
      </c>
      <c r="I1939" s="1" t="n">
        <v>20240430083742</v>
      </c>
      <c r="J1939" s="3" t="s">
        <v>7923</v>
      </c>
      <c r="K1939" s="3" t="s">
        <v>7924</v>
      </c>
      <c r="L1939" s="3" t="s">
        <v>7925</v>
      </c>
      <c r="M1939" s="3" t="n">
        <v>1091900</v>
      </c>
      <c r="N1939" s="3" t="s">
        <v>1128</v>
      </c>
      <c r="O1939" s="1" t="n">
        <v>1075514</v>
      </c>
      <c r="P1939" s="1" t="n">
        <v>98.5</v>
      </c>
      <c r="Q1939" s="1" t="s">
        <v>20</v>
      </c>
      <c r="R1939" s="1" t="s">
        <v>27</v>
      </c>
      <c r="S1939" s="1" t="s">
        <v>28</v>
      </c>
      <c r="T1939" s="1" t="s">
        <v>29</v>
      </c>
    </row>
    <row r="1940" customFormat="false" ht="18.7" hidden="false" customHeight="true" outlineLevel="0" collapsed="false">
      <c r="A1940" s="1" t="n">
        <v>1939</v>
      </c>
      <c r="B1940" s="6" t="str">
        <f aca="false">HYPERLINK("https://mncourtfraud.com/file/MCRO_27-CR-21-23188_Order-Evaluation for Competency to Proceed (Rule 20.01)_2023-09-18_20240430083739.pdf","MCRO_27-CR-21-23188_Order-Evaluation for Competency to Proceed (Rule 20.01)_2023-09-18_20240430083739.pdf")</f>
        <v>MCRO_27-CR-21-23188_Order-Evaluation for Competency to Proceed (Rule 20.01)_2023-09-18_20240430083739.pdf</v>
      </c>
      <c r="C1940" s="1" t="n">
        <v>6</v>
      </c>
      <c r="D1940" s="1" t="n">
        <v>2</v>
      </c>
      <c r="E1940" s="1" t="n">
        <v>2</v>
      </c>
      <c r="F1940" s="3" t="s">
        <v>27</v>
      </c>
      <c r="G1940" s="3" t="s">
        <v>7926</v>
      </c>
      <c r="H1940" s="1" t="s">
        <v>22</v>
      </c>
      <c r="I1940" s="1" t="n">
        <v>20240430083739</v>
      </c>
      <c r="J1940" s="3" t="s">
        <v>7927</v>
      </c>
      <c r="K1940" s="3" t="s">
        <v>7928</v>
      </c>
      <c r="L1940" s="3" t="s">
        <v>7929</v>
      </c>
      <c r="M1940" s="3" t="n">
        <v>868842</v>
      </c>
      <c r="N1940" s="3" t="s">
        <v>554</v>
      </c>
      <c r="O1940" s="1" t="n">
        <v>852456</v>
      </c>
      <c r="P1940" s="1" t="n">
        <v>98.11</v>
      </c>
      <c r="Q1940" s="1" t="s">
        <v>20</v>
      </c>
      <c r="R1940" s="1" t="s">
        <v>27</v>
      </c>
      <c r="S1940" s="1" t="s">
        <v>28</v>
      </c>
      <c r="T1940" s="1" t="s">
        <v>29</v>
      </c>
    </row>
    <row r="1941" customFormat="false" ht="18.7" hidden="false" customHeight="true" outlineLevel="0" collapsed="false">
      <c r="A1941" s="1" t="n">
        <v>1940</v>
      </c>
      <c r="B1941" s="6" t="str">
        <f aca="false">HYPERLINK("https://mncourtfraud.com/file/MCRO_27-CR-21-23188_Order-Evaluation for Competency to Proceed (Rule 20.01)_2024-01-26_20240430083735.pdf","MCRO_27-CR-21-23188_Order-Evaluation for Competency to Proceed (Rule 20.01)_2024-01-26_20240430083735.pdf")</f>
        <v>MCRO_27-CR-21-23188_Order-Evaluation for Competency to Proceed (Rule 20.01)_2024-01-26_20240430083735.pdf</v>
      </c>
      <c r="C1941" s="1" t="n">
        <v>6</v>
      </c>
      <c r="D1941" s="1" t="n">
        <v>2</v>
      </c>
      <c r="E1941" s="1" t="n">
        <v>2</v>
      </c>
      <c r="F1941" s="3" t="s">
        <v>20</v>
      </c>
      <c r="G1941" s="3" t="s">
        <v>7930</v>
      </c>
      <c r="H1941" s="1" t="s">
        <v>22</v>
      </c>
      <c r="I1941" s="1" t="n">
        <v>20240430083735</v>
      </c>
      <c r="J1941" s="3" t="s">
        <v>7931</v>
      </c>
      <c r="K1941" s="3" t="s">
        <v>7932</v>
      </c>
      <c r="L1941" s="3" t="s">
        <v>7933</v>
      </c>
      <c r="M1941" s="3" t="n">
        <v>868591</v>
      </c>
      <c r="N1941" s="3" t="s">
        <v>6214</v>
      </c>
      <c r="O1941" s="1" t="n">
        <v>852205</v>
      </c>
      <c r="P1941" s="1" t="n">
        <v>98.11</v>
      </c>
      <c r="Q1941" s="1" t="s">
        <v>20</v>
      </c>
      <c r="R1941" s="1" t="s">
        <v>27</v>
      </c>
      <c r="S1941" s="1" t="s">
        <v>28</v>
      </c>
      <c r="T1941" s="1" t="s">
        <v>29</v>
      </c>
    </row>
    <row r="1942" customFormat="false" ht="18.7" hidden="false" customHeight="true" outlineLevel="0" collapsed="false">
      <c r="A1942" s="1" t="n">
        <v>1941</v>
      </c>
      <c r="B1942" s="6" t="str">
        <f aca="false">HYPERLINK("https://mncourtfraud.com/file/MCRO_27-CR-21-23188_Order for Conditional Release_2021-12-20_20240430083753.pdf","MCRO_27-CR-21-23188_Order for Conditional Release_2021-12-20_20240430083753.pdf")</f>
        <v>MCRO_27-CR-21-23188_Order for Conditional Release_2021-12-20_20240430083753.pdf</v>
      </c>
      <c r="C1942" s="1" t="n">
        <v>4</v>
      </c>
      <c r="D1942" s="1" t="n">
        <v>1</v>
      </c>
      <c r="E1942" s="1" t="n">
        <v>1</v>
      </c>
      <c r="F1942" s="3" t="s">
        <v>20</v>
      </c>
      <c r="G1942" s="3" t="s">
        <v>7934</v>
      </c>
      <c r="H1942" s="1" t="s">
        <v>22</v>
      </c>
      <c r="I1942" s="1" t="n">
        <v>20240430083753</v>
      </c>
      <c r="J1942" s="3" t="s">
        <v>7935</v>
      </c>
      <c r="K1942" s="3" t="s">
        <v>7936</v>
      </c>
      <c r="L1942" s="3" t="s">
        <v>7937</v>
      </c>
      <c r="M1942" s="3" t="n">
        <v>815261</v>
      </c>
      <c r="N1942" s="3" t="s">
        <v>680</v>
      </c>
      <c r="O1942" s="1" t="n">
        <v>798875</v>
      </c>
      <c r="P1942" s="1" t="n">
        <v>97.99</v>
      </c>
      <c r="Q1942" s="1" t="s">
        <v>20</v>
      </c>
      <c r="R1942" s="1" t="s">
        <v>27</v>
      </c>
      <c r="S1942" s="1" t="s">
        <v>28</v>
      </c>
      <c r="T1942" s="1" t="s">
        <v>29</v>
      </c>
    </row>
    <row r="1943" customFormat="false" ht="18.7" hidden="false" customHeight="true" outlineLevel="0" collapsed="false">
      <c r="A1943" s="1" t="n">
        <v>1942</v>
      </c>
      <c r="B1943" s="6" t="str">
        <f aca="false">HYPERLINK("https://mncourtfraud.com/file/MCRO_27-CR-21-23188_Order for Conditional Release_2022-03-08_20240430083750.pdf","MCRO_27-CR-21-23188_Order for Conditional Release_2022-03-08_20240430083750.pdf")</f>
        <v>MCRO_27-CR-21-23188_Order for Conditional Release_2022-03-08_20240430083750.pdf</v>
      </c>
      <c r="C1943" s="1" t="n">
        <v>4</v>
      </c>
      <c r="D1943" s="1" t="n">
        <v>54</v>
      </c>
      <c r="E1943" s="1" t="n">
        <v>2</v>
      </c>
      <c r="F1943" s="3" t="s">
        <v>20</v>
      </c>
      <c r="G1943" s="3" t="s">
        <v>7938</v>
      </c>
      <c r="H1943" s="1" t="s">
        <v>22</v>
      </c>
      <c r="I1943" s="1" t="n">
        <v>20240430083750</v>
      </c>
      <c r="J1943" s="3" t="s">
        <v>7939</v>
      </c>
      <c r="K1943" s="3" t="s">
        <v>7940</v>
      </c>
      <c r="L1943" s="3" t="s">
        <v>7941</v>
      </c>
      <c r="M1943" s="3" t="n">
        <v>308370</v>
      </c>
      <c r="N1943" s="3" t="s">
        <v>7942</v>
      </c>
      <c r="O1943" s="1" t="n">
        <v>291984</v>
      </c>
      <c r="P1943" s="1" t="n">
        <v>94.69</v>
      </c>
      <c r="Q1943" s="1" t="s">
        <v>20</v>
      </c>
      <c r="R1943" s="1" t="s">
        <v>27</v>
      </c>
      <c r="S1943" s="1" t="s">
        <v>28</v>
      </c>
      <c r="T1943" s="1" t="s">
        <v>29</v>
      </c>
    </row>
    <row r="1944" customFormat="false" ht="18.7" hidden="false" customHeight="true" outlineLevel="0" collapsed="false">
      <c r="A1944" s="1" t="n">
        <v>1943</v>
      </c>
      <c r="B1944" s="6" t="str">
        <f aca="false">HYPERLINK("https://mncourtfraud.com/file/MCRO_27-CR-21-23188_Order for Conditional Release_2022-05-31_20240430083749.pdf","MCRO_27-CR-21-23188_Order for Conditional Release_2022-05-31_20240430083749.pdf")</f>
        <v>MCRO_27-CR-21-23188_Order for Conditional Release_2022-05-31_20240430083749.pdf</v>
      </c>
      <c r="C1944" s="1" t="n">
        <v>4</v>
      </c>
      <c r="D1944" s="1" t="n">
        <v>1</v>
      </c>
      <c r="E1944" s="1" t="n">
        <v>1</v>
      </c>
      <c r="F1944" s="3" t="s">
        <v>20</v>
      </c>
      <c r="G1944" s="3" t="s">
        <v>7943</v>
      </c>
      <c r="H1944" s="1" t="s">
        <v>22</v>
      </c>
      <c r="I1944" s="1" t="n">
        <v>20240430083749</v>
      </c>
      <c r="J1944" s="3" t="s">
        <v>7944</v>
      </c>
      <c r="K1944" s="3" t="s">
        <v>7945</v>
      </c>
      <c r="L1944" s="3" t="s">
        <v>7946</v>
      </c>
      <c r="M1944" s="3" t="n">
        <v>808051</v>
      </c>
      <c r="N1944" s="3" t="s">
        <v>456</v>
      </c>
      <c r="O1944" s="1" t="n">
        <v>791665</v>
      </c>
      <c r="P1944" s="1" t="n">
        <v>97.97</v>
      </c>
      <c r="Q1944" s="1" t="s">
        <v>20</v>
      </c>
      <c r="R1944" s="1" t="s">
        <v>27</v>
      </c>
      <c r="S1944" s="1" t="s">
        <v>28</v>
      </c>
      <c r="T1944" s="1" t="s">
        <v>29</v>
      </c>
    </row>
    <row r="1945" customFormat="false" ht="18.7" hidden="false" customHeight="true" outlineLevel="0" collapsed="false">
      <c r="A1945" s="1" t="n">
        <v>1944</v>
      </c>
      <c r="B1945" s="6" t="str">
        <f aca="false">HYPERLINK("https://mncourtfraud.com/file/MCRO_27-CR-21-23188_Order for Conditional Release_2022-10-04_20240430083745.pdf","MCRO_27-CR-21-23188_Order for Conditional Release_2022-10-04_20240430083745.pdf")</f>
        <v>MCRO_27-CR-21-23188_Order for Conditional Release_2022-10-04_20240430083745.pdf</v>
      </c>
      <c r="C1945" s="1" t="n">
        <v>5</v>
      </c>
      <c r="D1945" s="1" t="n">
        <v>1</v>
      </c>
      <c r="E1945" s="1" t="n">
        <v>1</v>
      </c>
      <c r="F1945" s="3" t="s">
        <v>20</v>
      </c>
      <c r="G1945" s="3" t="s">
        <v>7947</v>
      </c>
      <c r="H1945" s="1" t="s">
        <v>22</v>
      </c>
      <c r="I1945" s="1" t="n">
        <v>20240430083745</v>
      </c>
      <c r="J1945" s="3" t="s">
        <v>7948</v>
      </c>
      <c r="K1945" s="3" t="s">
        <v>7949</v>
      </c>
      <c r="L1945" s="3" t="s">
        <v>7288</v>
      </c>
      <c r="M1945" s="3" t="n">
        <v>793301</v>
      </c>
      <c r="N1945" s="3" t="s">
        <v>7151</v>
      </c>
      <c r="O1945" s="1" t="n">
        <v>776915</v>
      </c>
      <c r="P1945" s="1" t="n">
        <v>97.93</v>
      </c>
      <c r="Q1945" s="1" t="s">
        <v>20</v>
      </c>
      <c r="R1945" s="1" t="s">
        <v>27</v>
      </c>
      <c r="S1945" s="1" t="s">
        <v>28</v>
      </c>
      <c r="T1945" s="1" t="s">
        <v>29</v>
      </c>
    </row>
    <row r="1946" customFormat="false" ht="18.7" hidden="false" customHeight="true" outlineLevel="0" collapsed="false">
      <c r="A1946" s="1" t="n">
        <v>1945</v>
      </c>
      <c r="B1946" s="6" t="str">
        <f aca="false">HYPERLINK("https://mncourtfraud.com/file/MCRO_27-CR-21-23188_Order for Conditional Release_2023-04-03_20240430083743.pdf","MCRO_27-CR-21-23188_Order for Conditional Release_2023-04-03_20240430083743.pdf")</f>
        <v>MCRO_27-CR-21-23188_Order for Conditional Release_2023-04-03_20240430083743.pdf</v>
      </c>
      <c r="C1946" s="1" t="n">
        <v>4</v>
      </c>
      <c r="D1946" s="1" t="n">
        <v>1</v>
      </c>
      <c r="E1946" s="1" t="n">
        <v>1</v>
      </c>
      <c r="F1946" s="3" t="s">
        <v>20</v>
      </c>
      <c r="G1946" s="3" t="s">
        <v>7950</v>
      </c>
      <c r="H1946" s="1" t="s">
        <v>22</v>
      </c>
      <c r="I1946" s="1" t="n">
        <v>20240430083743</v>
      </c>
      <c r="J1946" s="3" t="s">
        <v>7951</v>
      </c>
      <c r="K1946" s="3" t="s">
        <v>7952</v>
      </c>
      <c r="L1946" s="3" t="s">
        <v>7953</v>
      </c>
      <c r="M1946" s="3" t="n">
        <v>826774</v>
      </c>
      <c r="N1946" s="3" t="s">
        <v>158</v>
      </c>
      <c r="O1946" s="1" t="n">
        <v>810388</v>
      </c>
      <c r="P1946" s="1" t="n">
        <v>98.02</v>
      </c>
      <c r="Q1946" s="1" t="s">
        <v>20</v>
      </c>
      <c r="R1946" s="1" t="s">
        <v>27</v>
      </c>
      <c r="S1946" s="1" t="s">
        <v>28</v>
      </c>
      <c r="T1946" s="1" t="s">
        <v>29</v>
      </c>
    </row>
    <row r="1947" customFormat="false" ht="18.7" hidden="false" customHeight="true" outlineLevel="0" collapsed="false">
      <c r="A1947" s="1" t="n">
        <v>1946</v>
      </c>
      <c r="B1947" s="6" t="str">
        <f aca="false">HYPERLINK("https://mncourtfraud.com/file/MCRO_27-CR-21-23188_Other Document_2022-03-02_20240430083751.pdf","MCRO_27-CR-21-23188_Other Document_2022-03-02_20240430083751.pdf")</f>
        <v>MCRO_27-CR-21-23188_Other Document_2022-03-02_20240430083751.pdf</v>
      </c>
      <c r="C1947" s="1" t="n">
        <v>5</v>
      </c>
      <c r="D1947" s="1" t="n">
        <v>1</v>
      </c>
      <c r="E1947" s="1" t="n">
        <v>1</v>
      </c>
      <c r="F1947" s="3" t="s">
        <v>20</v>
      </c>
      <c r="G1947" s="3" t="s">
        <v>7954</v>
      </c>
      <c r="H1947" s="1" t="s">
        <v>22</v>
      </c>
      <c r="I1947" s="1" t="n">
        <v>20240430083751</v>
      </c>
      <c r="J1947" s="3" t="s">
        <v>7955</v>
      </c>
      <c r="K1947" s="3" t="s">
        <v>7956</v>
      </c>
      <c r="L1947" s="3" t="s">
        <v>7957</v>
      </c>
      <c r="M1947" s="3" t="n">
        <v>737959</v>
      </c>
      <c r="N1947" s="3" t="s">
        <v>6298</v>
      </c>
      <c r="O1947" s="1" t="n">
        <v>721573</v>
      </c>
      <c r="P1947" s="1" t="n">
        <v>97.78</v>
      </c>
      <c r="Q1947" s="1" t="s">
        <v>20</v>
      </c>
      <c r="R1947" s="1" t="s">
        <v>27</v>
      </c>
      <c r="S1947" s="1" t="s">
        <v>28</v>
      </c>
      <c r="T1947" s="1" t="s">
        <v>29</v>
      </c>
    </row>
    <row r="1948" customFormat="false" ht="18.7" hidden="false" customHeight="true" outlineLevel="0" collapsed="false">
      <c r="A1948" s="1" t="n">
        <v>1947</v>
      </c>
      <c r="B1948" s="6" t="str">
        <f aca="false">HYPERLINK("https://mncourtfraud.com/file/MCRO_27-CR-21-23188_Other Document_2022-05-31_20240430083748.pdf","MCRO_27-CR-21-23188_Other Document_2022-05-31_20240430083748.pdf")</f>
        <v>MCRO_27-CR-21-23188_Other Document_2022-05-31_20240430083748.pdf</v>
      </c>
      <c r="C1948" s="1" t="n">
        <v>4</v>
      </c>
      <c r="D1948" s="1" t="n">
        <v>1</v>
      </c>
      <c r="E1948" s="1" t="n">
        <v>1</v>
      </c>
      <c r="F1948" s="3" t="s">
        <v>20</v>
      </c>
      <c r="G1948" s="3" t="s">
        <v>7958</v>
      </c>
      <c r="H1948" s="1" t="s">
        <v>22</v>
      </c>
      <c r="I1948" s="1" t="n">
        <v>20240430083748</v>
      </c>
      <c r="J1948" s="3" t="s">
        <v>7959</v>
      </c>
      <c r="K1948" s="3" t="s">
        <v>7960</v>
      </c>
      <c r="L1948" s="3" t="s">
        <v>7168</v>
      </c>
      <c r="M1948" s="3" t="n">
        <v>274168</v>
      </c>
      <c r="N1948" s="3" t="s">
        <v>4614</v>
      </c>
      <c r="O1948" s="1" t="n">
        <v>257782</v>
      </c>
      <c r="P1948" s="1" t="n">
        <v>94.02</v>
      </c>
      <c r="Q1948" s="1" t="s">
        <v>20</v>
      </c>
      <c r="R1948" s="1" t="s">
        <v>27</v>
      </c>
      <c r="S1948" s="1" t="s">
        <v>28</v>
      </c>
      <c r="T1948" s="1" t="s">
        <v>29</v>
      </c>
    </row>
    <row r="1949" customFormat="false" ht="18.7" hidden="false" customHeight="true" outlineLevel="0" collapsed="false">
      <c r="A1949" s="1" t="n">
        <v>1948</v>
      </c>
      <c r="B1949" s="6" t="str">
        <f aca="false">HYPERLINK("https://mncourtfraud.com/file/MCRO_27-CR-21-23215_Demand or Request for Discovery_2021-12-20_20240430084136.pdf","MCRO_27-CR-21-23215_Demand or Request for Discovery_2021-12-20_20240430084136.pdf")</f>
        <v>MCRO_27-CR-21-23215_Demand or Request for Discovery_2021-12-20_20240430084136.pdf</v>
      </c>
      <c r="C1949" s="1" t="n">
        <v>3</v>
      </c>
      <c r="D1949" s="1" t="n">
        <v>1</v>
      </c>
      <c r="E1949" s="1" t="n">
        <v>1</v>
      </c>
      <c r="F1949" s="3" t="s">
        <v>20</v>
      </c>
      <c r="G1949" s="3" t="s">
        <v>7961</v>
      </c>
      <c r="H1949" s="1" t="s">
        <v>22</v>
      </c>
      <c r="I1949" s="1" t="n">
        <v>20240430084136</v>
      </c>
      <c r="J1949" s="3" t="s">
        <v>7962</v>
      </c>
      <c r="K1949" s="3" t="s">
        <v>7963</v>
      </c>
      <c r="L1949" s="3" t="s">
        <v>7964</v>
      </c>
      <c r="M1949" s="3" t="n">
        <v>618602</v>
      </c>
      <c r="N1949" s="3" t="s">
        <v>3699</v>
      </c>
      <c r="O1949" s="1" t="n">
        <v>602216</v>
      </c>
      <c r="P1949" s="1" t="n">
        <v>97.35</v>
      </c>
      <c r="Q1949" s="1" t="s">
        <v>20</v>
      </c>
      <c r="R1949" s="1" t="s">
        <v>27</v>
      </c>
      <c r="S1949" s="1" t="s">
        <v>28</v>
      </c>
      <c r="T1949" s="1" t="s">
        <v>29</v>
      </c>
    </row>
    <row r="1950" customFormat="false" ht="18.7" hidden="false" customHeight="true" outlineLevel="0" collapsed="false">
      <c r="A1950" s="1" t="n">
        <v>1949</v>
      </c>
      <c r="B1950" s="6" t="str">
        <f aca="false">HYPERLINK("https://mncourtfraud.com/file/MCRO_27-CR-21-23215_E-filed Comp-Order for Detention_2021-12-17_20240430084139.pdf","MCRO_27-CR-21-23215_E-filed Comp-Order for Detention_2021-12-17_20240430084139.pdf")</f>
        <v>MCRO_27-CR-21-23215_E-filed Comp-Order for Detention_2021-12-17_20240430084139.pdf</v>
      </c>
      <c r="C1950" s="1" t="n">
        <v>4</v>
      </c>
      <c r="D1950" s="1" t="n">
        <v>2</v>
      </c>
      <c r="E1950" s="1" t="n">
        <v>2</v>
      </c>
      <c r="F1950" s="3" t="s">
        <v>20</v>
      </c>
      <c r="G1950" s="3" t="s">
        <v>7965</v>
      </c>
      <c r="H1950" s="1" t="s">
        <v>22</v>
      </c>
      <c r="I1950" s="1" t="n">
        <v>20240430084139</v>
      </c>
      <c r="J1950" s="3" t="s">
        <v>7966</v>
      </c>
      <c r="K1950" s="3" t="s">
        <v>7967</v>
      </c>
      <c r="L1950" s="3" t="s">
        <v>7968</v>
      </c>
      <c r="M1950" s="3" t="n">
        <v>497409</v>
      </c>
      <c r="N1950" s="3" t="s">
        <v>7588</v>
      </c>
      <c r="O1950" s="1" t="n">
        <v>481023</v>
      </c>
      <c r="P1950" s="1" t="n">
        <v>96.71</v>
      </c>
      <c r="Q1950" s="1" t="s">
        <v>20</v>
      </c>
      <c r="R1950" s="1" t="s">
        <v>27</v>
      </c>
      <c r="S1950" s="1" t="s">
        <v>28</v>
      </c>
      <c r="T1950" s="1" t="s">
        <v>29</v>
      </c>
    </row>
    <row r="1951" customFormat="false" ht="18.7" hidden="false" customHeight="true" outlineLevel="0" collapsed="false">
      <c r="A1951" s="1" t="n">
        <v>1950</v>
      </c>
      <c r="B1951" s="6" t="str">
        <f aca="false">HYPERLINK("https://mncourtfraud.com/file/MCRO_27-CR-21-23215_Findings and Order_2022-09-13_20240430084129.pdf","MCRO_27-CR-21-23215_Findings and Order_2022-09-13_20240430084129.pdf")</f>
        <v>MCRO_27-CR-21-23215_Findings and Order_2022-09-13_20240430084129.pdf</v>
      </c>
      <c r="C1951" s="1" t="n">
        <v>6</v>
      </c>
      <c r="D1951" s="1" t="n">
        <v>1</v>
      </c>
      <c r="E1951" s="1" t="n">
        <v>1</v>
      </c>
      <c r="F1951" s="3" t="s">
        <v>20</v>
      </c>
      <c r="G1951" s="3" t="s">
        <v>7969</v>
      </c>
      <c r="H1951" s="1" t="s">
        <v>22</v>
      </c>
      <c r="I1951" s="1" t="n">
        <v>20240430084129</v>
      </c>
      <c r="J1951" s="3" t="s">
        <v>7970</v>
      </c>
      <c r="K1951" s="3" t="s">
        <v>7971</v>
      </c>
      <c r="L1951" s="3" t="s">
        <v>7972</v>
      </c>
      <c r="M1951" s="3" t="n">
        <v>293933</v>
      </c>
      <c r="N1951" s="3" t="s">
        <v>7051</v>
      </c>
      <c r="O1951" s="1" t="n">
        <v>277547</v>
      </c>
      <c r="P1951" s="1" t="n">
        <v>94.43</v>
      </c>
      <c r="Q1951" s="1" t="s">
        <v>20</v>
      </c>
      <c r="R1951" s="1" t="s">
        <v>27</v>
      </c>
      <c r="S1951" s="1" t="s">
        <v>28</v>
      </c>
      <c r="T1951" s="1" t="s">
        <v>29</v>
      </c>
    </row>
    <row r="1952" customFormat="false" ht="18.7" hidden="false" customHeight="true" outlineLevel="0" collapsed="false">
      <c r="A1952" s="1" t="n">
        <v>1951</v>
      </c>
      <c r="B1952" s="6" t="str">
        <f aca="false">HYPERLINK("https://mncourtfraud.com/file/MCRO_27-CR-21-23215_Notice of Case Reassignment_2023-06-16_20240430084124.pdf","MCRO_27-CR-21-23215_Notice of Case Reassignment_2023-06-16_20240430084124.pdf")</f>
        <v>MCRO_27-CR-21-23215_Notice of Case Reassignment_2023-06-16_20240430084124.pdf</v>
      </c>
      <c r="C1952" s="1" t="n">
        <v>3</v>
      </c>
      <c r="D1952" s="1" t="n">
        <v>1</v>
      </c>
      <c r="E1952" s="1" t="n">
        <v>1</v>
      </c>
      <c r="F1952" s="3" t="s">
        <v>20</v>
      </c>
      <c r="G1952" s="3" t="s">
        <v>7973</v>
      </c>
      <c r="H1952" s="1" t="s">
        <v>22</v>
      </c>
      <c r="I1952" s="1" t="n">
        <v>20240430084124</v>
      </c>
      <c r="J1952" s="3" t="s">
        <v>7974</v>
      </c>
      <c r="K1952" s="3" t="s">
        <v>7975</v>
      </c>
      <c r="L1952" s="3" t="s">
        <v>7976</v>
      </c>
      <c r="M1952" s="3" t="n">
        <v>113630</v>
      </c>
      <c r="N1952" s="3" t="s">
        <v>128</v>
      </c>
      <c r="O1952" s="1" t="n">
        <v>97244</v>
      </c>
      <c r="P1952" s="1" t="n">
        <v>85.58</v>
      </c>
      <c r="Q1952" s="1" t="s">
        <v>20</v>
      </c>
      <c r="R1952" s="1" t="s">
        <v>27</v>
      </c>
      <c r="S1952" s="1" t="s">
        <v>28</v>
      </c>
      <c r="T1952" s="1" t="s">
        <v>29</v>
      </c>
    </row>
    <row r="1953" customFormat="false" ht="18.7" hidden="false" customHeight="true" outlineLevel="0" collapsed="false">
      <c r="A1953" s="1" t="n">
        <v>1952</v>
      </c>
      <c r="B1953" s="6" t="str">
        <f aca="false">HYPERLINK("https://mncourtfraud.com/file/MCRO_27-CR-21-23215_Notice of Hearing_2024-01-26_20240430084117.pdf","MCRO_27-CR-21-23215_Notice of Hearing_2024-01-26_20240430084117.pdf")</f>
        <v>MCRO_27-CR-21-23215_Notice of Hearing_2024-01-26_20240430084117.pdf</v>
      </c>
      <c r="C1953" s="1" t="n">
        <v>4</v>
      </c>
      <c r="D1953" s="1" t="n">
        <v>1</v>
      </c>
      <c r="E1953" s="1" t="n">
        <v>1</v>
      </c>
      <c r="F1953" s="3" t="s">
        <v>20</v>
      </c>
      <c r="G1953" s="3" t="s">
        <v>7977</v>
      </c>
      <c r="H1953" s="1" t="s">
        <v>22</v>
      </c>
      <c r="I1953" s="1" t="n">
        <v>20240430084117</v>
      </c>
      <c r="J1953" s="3" t="s">
        <v>7978</v>
      </c>
      <c r="K1953" s="3" t="s">
        <v>7979</v>
      </c>
      <c r="L1953" s="3" t="s">
        <v>7980</v>
      </c>
      <c r="M1953" s="3" t="n">
        <v>714352</v>
      </c>
      <c r="N1953" s="3" t="s">
        <v>727</v>
      </c>
      <c r="O1953" s="1" t="n">
        <v>697966</v>
      </c>
      <c r="P1953" s="1" t="n">
        <v>97.71</v>
      </c>
      <c r="Q1953" s="1" t="s">
        <v>20</v>
      </c>
      <c r="R1953" s="1" t="s">
        <v>27</v>
      </c>
      <c r="S1953" s="1" t="s">
        <v>28</v>
      </c>
      <c r="T1953" s="1" t="s">
        <v>29</v>
      </c>
    </row>
    <row r="1954" customFormat="false" ht="18.7" hidden="false" customHeight="true" outlineLevel="0" collapsed="false">
      <c r="A1954" s="1" t="n">
        <v>1953</v>
      </c>
      <c r="B1954" s="6" t="str">
        <f aca="false">HYPERLINK("https://mncourtfraud.com/file/MCRO_27-CR-21-23215_Notice of Hearing_2024-03-19_20240430084116.pdf","MCRO_27-CR-21-23215_Notice of Hearing_2024-03-19_20240430084116.pdf")</f>
        <v>MCRO_27-CR-21-23215_Notice of Hearing_2024-03-19_20240430084116.pdf</v>
      </c>
      <c r="C1954" s="1" t="n">
        <v>5</v>
      </c>
      <c r="D1954" s="1" t="n">
        <v>1</v>
      </c>
      <c r="E1954" s="1" t="n">
        <v>1</v>
      </c>
      <c r="F1954" s="3" t="s">
        <v>20</v>
      </c>
      <c r="G1954" s="3" t="s">
        <v>7981</v>
      </c>
      <c r="H1954" s="1" t="s">
        <v>22</v>
      </c>
      <c r="I1954" s="1" t="n">
        <v>20240430084116</v>
      </c>
      <c r="J1954" s="3" t="s">
        <v>7982</v>
      </c>
      <c r="K1954" s="3" t="s">
        <v>7983</v>
      </c>
      <c r="L1954" s="3" t="s">
        <v>7607</v>
      </c>
      <c r="M1954" s="3" t="n">
        <v>729080</v>
      </c>
      <c r="N1954" s="3" t="s">
        <v>1278</v>
      </c>
      <c r="O1954" s="1" t="n">
        <v>712694</v>
      </c>
      <c r="P1954" s="1" t="n">
        <v>97.75</v>
      </c>
      <c r="Q1954" s="1" t="s">
        <v>20</v>
      </c>
      <c r="R1954" s="1" t="s">
        <v>27</v>
      </c>
      <c r="S1954" s="1" t="s">
        <v>28</v>
      </c>
      <c r="T1954" s="1" t="s">
        <v>29</v>
      </c>
    </row>
    <row r="1955" customFormat="false" ht="18.7" hidden="false" customHeight="true" outlineLevel="0" collapsed="false">
      <c r="A1955" s="1" t="n">
        <v>1954</v>
      </c>
      <c r="B1955" s="6" t="str">
        <f aca="false">HYPERLINK("https://mncourtfraud.com/file/MCRO_27-CR-21-23215_Notice of Remote Hearing with Instructions_2023-11-28_20240430084122.pdf","MCRO_27-CR-21-23215_Notice of Remote Hearing with Instructions_2023-11-28_20240430084122.pdf")</f>
        <v>MCRO_27-CR-21-23215_Notice of Remote Hearing with Instructions_2023-11-28_20240430084122.pdf</v>
      </c>
      <c r="C1955" s="1" t="n">
        <v>4</v>
      </c>
      <c r="D1955" s="1" t="n">
        <v>1</v>
      </c>
      <c r="E1955" s="1" t="n">
        <v>1</v>
      </c>
      <c r="F1955" s="3" t="s">
        <v>20</v>
      </c>
      <c r="G1955" s="3" t="s">
        <v>7984</v>
      </c>
      <c r="H1955" s="1" t="s">
        <v>22</v>
      </c>
      <c r="I1955" s="1" t="n">
        <v>20240430084122</v>
      </c>
      <c r="J1955" s="3" t="s">
        <v>7985</v>
      </c>
      <c r="K1955" s="3" t="s">
        <v>7986</v>
      </c>
      <c r="L1955" s="3" t="s">
        <v>7987</v>
      </c>
      <c r="M1955" s="3" t="n">
        <v>269238</v>
      </c>
      <c r="N1955" s="3" t="s">
        <v>74</v>
      </c>
      <c r="O1955" s="1" t="n">
        <v>252852</v>
      </c>
      <c r="P1955" s="1" t="n">
        <v>93.91</v>
      </c>
      <c r="Q1955" s="1" t="s">
        <v>20</v>
      </c>
      <c r="R1955" s="1" t="s">
        <v>27</v>
      </c>
      <c r="S1955" s="1" t="s">
        <v>28</v>
      </c>
      <c r="T1955" s="1" t="s">
        <v>29</v>
      </c>
    </row>
    <row r="1956" customFormat="false" ht="18.7" hidden="false" customHeight="true" outlineLevel="0" collapsed="false">
      <c r="A1956" s="1" t="n">
        <v>1955</v>
      </c>
      <c r="B1956" s="6" t="str">
        <f aca="false">HYPERLINK("https://mncourtfraud.com/file/MCRO_27-CR-21-23215_Notice of Remote Hearing with Instructions_2023-12-05_20240430084121.pdf","MCRO_27-CR-21-23215_Notice of Remote Hearing with Instructions_2023-12-05_20240430084121.pdf")</f>
        <v>MCRO_27-CR-21-23215_Notice of Remote Hearing with Instructions_2023-12-05_20240430084121.pdf</v>
      </c>
      <c r="C1956" s="1" t="n">
        <v>5</v>
      </c>
      <c r="D1956" s="1" t="n">
        <v>1</v>
      </c>
      <c r="E1956" s="1" t="n">
        <v>1</v>
      </c>
      <c r="F1956" s="3" t="s">
        <v>20</v>
      </c>
      <c r="G1956" s="3" t="s">
        <v>7988</v>
      </c>
      <c r="H1956" s="1" t="s">
        <v>22</v>
      </c>
      <c r="I1956" s="1" t="n">
        <v>20240430084121</v>
      </c>
      <c r="J1956" s="3" t="s">
        <v>7989</v>
      </c>
      <c r="K1956" s="3" t="s">
        <v>7990</v>
      </c>
      <c r="L1956" s="3" t="s">
        <v>7991</v>
      </c>
      <c r="M1956" s="3" t="n">
        <v>843398</v>
      </c>
      <c r="N1956" s="3" t="s">
        <v>3164</v>
      </c>
      <c r="O1956" s="1" t="n">
        <v>827012</v>
      </c>
      <c r="P1956" s="1" t="n">
        <v>98.06</v>
      </c>
      <c r="Q1956" s="1" t="s">
        <v>20</v>
      </c>
      <c r="R1956" s="1" t="s">
        <v>27</v>
      </c>
      <c r="S1956" s="1" t="s">
        <v>28</v>
      </c>
      <c r="T1956" s="1" t="s">
        <v>29</v>
      </c>
    </row>
    <row r="1957" customFormat="false" ht="18.7" hidden="false" customHeight="true" outlineLevel="0" collapsed="false">
      <c r="A1957" s="1" t="n">
        <v>1956</v>
      </c>
      <c r="B1957" s="6" t="str">
        <f aca="false">HYPERLINK("https://mncourtfraud.com/file/MCRO_27-CR-21-23215_Order-Evaluation for Competency to Proceed (Rule 20.01)_2021-12-20_20240430084138.pdf","MCRO_27-CR-21-23215_Order-Evaluation for Competency to Proceed (Rule 20.01)_2021-12-20_20240430084138.pdf")</f>
        <v>MCRO_27-CR-21-23215_Order-Evaluation for Competency to Proceed (Rule 20.01)_2021-12-20_20240430084138.pdf</v>
      </c>
      <c r="C1957" s="1" t="n">
        <v>4</v>
      </c>
      <c r="D1957" s="1" t="n">
        <v>1</v>
      </c>
      <c r="E1957" s="1" t="n">
        <v>1</v>
      </c>
      <c r="F1957" s="3" t="s">
        <v>20</v>
      </c>
      <c r="G1957" s="3" t="s">
        <v>7992</v>
      </c>
      <c r="H1957" s="1" t="s">
        <v>22</v>
      </c>
      <c r="I1957" s="1" t="n">
        <v>20240430084138</v>
      </c>
      <c r="J1957" s="3" t="s">
        <v>7993</v>
      </c>
      <c r="K1957" s="3" t="s">
        <v>7994</v>
      </c>
      <c r="L1957" s="3" t="s">
        <v>7995</v>
      </c>
      <c r="M1957" s="3" t="n">
        <v>1502622</v>
      </c>
      <c r="N1957" s="3" t="s">
        <v>6293</v>
      </c>
      <c r="O1957" s="1" t="n">
        <v>1486236</v>
      </c>
      <c r="P1957" s="1" t="n">
        <v>98.91</v>
      </c>
      <c r="Q1957" s="1" t="s">
        <v>20</v>
      </c>
      <c r="R1957" s="1" t="s">
        <v>27</v>
      </c>
      <c r="S1957" s="1" t="s">
        <v>28</v>
      </c>
      <c r="T1957" s="1" t="s">
        <v>29</v>
      </c>
    </row>
    <row r="1958" customFormat="false" ht="18.7" hidden="false" customHeight="true" outlineLevel="0" collapsed="false">
      <c r="A1958" s="1" t="n">
        <v>1957</v>
      </c>
      <c r="B1958" s="6" t="str">
        <f aca="false">HYPERLINK("https://mncourtfraud.com/file/MCRO_27-CR-21-23215_Order-Evaluation for Competency to Proceed (Rule 20.01)_2022-08-09_20240430084130.pdf","MCRO_27-CR-21-23215_Order-Evaluation for Competency to Proceed (Rule 20.01)_2022-08-09_20240430084130.pdf")</f>
        <v>MCRO_27-CR-21-23215_Order-Evaluation for Competency to Proceed (Rule 20.01)_2022-08-09_20240430084130.pdf</v>
      </c>
      <c r="C1958" s="1" t="n">
        <v>4</v>
      </c>
      <c r="D1958" s="1" t="n">
        <v>1</v>
      </c>
      <c r="E1958" s="1" t="n">
        <v>1</v>
      </c>
      <c r="F1958" s="3" t="s">
        <v>20</v>
      </c>
      <c r="G1958" s="3" t="s">
        <v>7996</v>
      </c>
      <c r="H1958" s="1" t="s">
        <v>22</v>
      </c>
      <c r="I1958" s="1" t="n">
        <v>20240430084130</v>
      </c>
      <c r="J1958" s="3" t="s">
        <v>7997</v>
      </c>
      <c r="K1958" s="3" t="s">
        <v>7998</v>
      </c>
      <c r="L1958" s="3" t="s">
        <v>7999</v>
      </c>
      <c r="M1958" s="3" t="n">
        <v>924333</v>
      </c>
      <c r="N1958" s="3" t="s">
        <v>602</v>
      </c>
      <c r="O1958" s="1" t="n">
        <v>907947</v>
      </c>
      <c r="P1958" s="1" t="n">
        <v>98.23</v>
      </c>
      <c r="Q1958" s="1" t="s">
        <v>20</v>
      </c>
      <c r="R1958" s="1" t="s">
        <v>27</v>
      </c>
      <c r="S1958" s="1" t="s">
        <v>28</v>
      </c>
      <c r="T1958" s="1" t="s">
        <v>29</v>
      </c>
    </row>
    <row r="1959" customFormat="false" ht="18.7" hidden="false" customHeight="true" outlineLevel="0" collapsed="false">
      <c r="A1959" s="1" t="n">
        <v>1958</v>
      </c>
      <c r="B1959" s="6" t="str">
        <f aca="false">HYPERLINK("https://mncourtfraud.com/file/MCRO_27-CR-21-23215_Order-Evaluation for Competency to Proceed (Rule 20.01)_2023-01-05_20240430084127.pdf","MCRO_27-CR-21-23215_Order-Evaluation for Competency to Proceed (Rule 20.01)_2023-01-05_20240430084127.pdf")</f>
        <v>MCRO_27-CR-21-23215_Order-Evaluation for Competency to Proceed (Rule 20.01)_2023-01-05_20240430084127.pdf</v>
      </c>
      <c r="C1959" s="1" t="n">
        <v>6</v>
      </c>
      <c r="D1959" s="1" t="n">
        <v>2</v>
      </c>
      <c r="E1959" s="1" t="n">
        <v>2</v>
      </c>
      <c r="F1959" s="3" t="s">
        <v>27</v>
      </c>
      <c r="G1959" s="3" t="s">
        <v>8000</v>
      </c>
      <c r="H1959" s="1" t="s">
        <v>22</v>
      </c>
      <c r="I1959" s="1" t="n">
        <v>20240430084127</v>
      </c>
      <c r="J1959" s="3" t="s">
        <v>8001</v>
      </c>
      <c r="K1959" s="3" t="s">
        <v>8002</v>
      </c>
      <c r="L1959" s="3" t="s">
        <v>8003</v>
      </c>
      <c r="M1959" s="3" t="n">
        <v>889995</v>
      </c>
      <c r="N1959" s="3" t="s">
        <v>810</v>
      </c>
      <c r="O1959" s="1" t="n">
        <v>873609</v>
      </c>
      <c r="P1959" s="1" t="n">
        <v>98.16</v>
      </c>
      <c r="Q1959" s="1" t="s">
        <v>20</v>
      </c>
      <c r="R1959" s="1" t="s">
        <v>27</v>
      </c>
      <c r="S1959" s="1" t="s">
        <v>28</v>
      </c>
      <c r="T1959" s="1" t="s">
        <v>29</v>
      </c>
    </row>
    <row r="1960" customFormat="false" ht="18.7" hidden="false" customHeight="true" outlineLevel="0" collapsed="false">
      <c r="A1960" s="1" t="n">
        <v>1959</v>
      </c>
      <c r="B1960" s="6" t="str">
        <f aca="false">HYPERLINK("https://mncourtfraud.com/file/MCRO_27-CR-21-23215_Order-Evaluation for Competency to Proceed (Rule 20.01)_2023-04-03_20240430084125.pdf","MCRO_27-CR-21-23215_Order-Evaluation for Competency to Proceed (Rule 20.01)_2023-04-03_20240430084125.pdf")</f>
        <v>MCRO_27-CR-21-23215_Order-Evaluation for Competency to Proceed (Rule 20.01)_2023-04-03_20240430084125.pdf</v>
      </c>
      <c r="C1960" s="1" t="n">
        <v>4</v>
      </c>
      <c r="D1960" s="1" t="n">
        <v>1</v>
      </c>
      <c r="E1960" s="1" t="n">
        <v>1</v>
      </c>
      <c r="F1960" s="3" t="s">
        <v>20</v>
      </c>
      <c r="G1960" s="3" t="s">
        <v>8004</v>
      </c>
      <c r="H1960" s="1" t="s">
        <v>22</v>
      </c>
      <c r="I1960" s="1" t="n">
        <v>20240430084125</v>
      </c>
      <c r="J1960" s="3" t="s">
        <v>8005</v>
      </c>
      <c r="K1960" s="3" t="s">
        <v>8006</v>
      </c>
      <c r="L1960" s="3" t="s">
        <v>8007</v>
      </c>
      <c r="M1960" s="3" t="n">
        <v>1092066</v>
      </c>
      <c r="N1960" s="3" t="s">
        <v>1128</v>
      </c>
      <c r="O1960" s="1" t="n">
        <v>1075680</v>
      </c>
      <c r="P1960" s="1" t="n">
        <v>98.5</v>
      </c>
      <c r="Q1960" s="1" t="s">
        <v>20</v>
      </c>
      <c r="R1960" s="1" t="s">
        <v>27</v>
      </c>
      <c r="S1960" s="1" t="s">
        <v>28</v>
      </c>
      <c r="T1960" s="1" t="s">
        <v>29</v>
      </c>
    </row>
    <row r="1961" customFormat="false" ht="18.7" hidden="false" customHeight="true" outlineLevel="0" collapsed="false">
      <c r="A1961" s="1" t="n">
        <v>1960</v>
      </c>
      <c r="B1961" s="6" t="str">
        <f aca="false">HYPERLINK("https://mncourtfraud.com/file/MCRO_27-CR-21-23215_Order-Evaluation for Competency to Proceed (Rule 20.01)_2023-09-18_20240430084123.pdf","MCRO_27-CR-21-23215_Order-Evaluation for Competency to Proceed (Rule 20.01)_2023-09-18_20240430084123.pdf")</f>
        <v>MCRO_27-CR-21-23215_Order-Evaluation for Competency to Proceed (Rule 20.01)_2023-09-18_20240430084123.pdf</v>
      </c>
      <c r="C1961" s="1" t="n">
        <v>6</v>
      </c>
      <c r="D1961" s="1" t="n">
        <v>2</v>
      </c>
      <c r="E1961" s="1" t="n">
        <v>2</v>
      </c>
      <c r="F1961" s="3" t="s">
        <v>27</v>
      </c>
      <c r="G1961" s="3" t="s">
        <v>8008</v>
      </c>
      <c r="H1961" s="1" t="s">
        <v>22</v>
      </c>
      <c r="I1961" s="1" t="n">
        <v>20240430084123</v>
      </c>
      <c r="J1961" s="3" t="s">
        <v>8009</v>
      </c>
      <c r="K1961" s="3" t="s">
        <v>8010</v>
      </c>
      <c r="L1961" s="3" t="s">
        <v>7541</v>
      </c>
      <c r="M1961" s="3" t="n">
        <v>868845</v>
      </c>
      <c r="N1961" s="3" t="s">
        <v>554</v>
      </c>
      <c r="O1961" s="1" t="n">
        <v>852459</v>
      </c>
      <c r="P1961" s="1" t="n">
        <v>98.11</v>
      </c>
      <c r="Q1961" s="1" t="s">
        <v>20</v>
      </c>
      <c r="R1961" s="1" t="s">
        <v>27</v>
      </c>
      <c r="S1961" s="1" t="s">
        <v>28</v>
      </c>
      <c r="T1961" s="1" t="s">
        <v>29</v>
      </c>
    </row>
    <row r="1962" customFormat="false" ht="18.7" hidden="false" customHeight="true" outlineLevel="0" collapsed="false">
      <c r="A1962" s="1" t="n">
        <v>1961</v>
      </c>
      <c r="B1962" s="6" t="str">
        <f aca="false">HYPERLINK("https://mncourtfraud.com/file/MCRO_27-CR-21-23215_Order-Evaluation for Competency to Proceed (Rule 20.01)_2024-01-26_20240430084119.pdf","MCRO_27-CR-21-23215_Order-Evaluation for Competency to Proceed (Rule 20.01)_2024-01-26_20240430084119.pdf")</f>
        <v>MCRO_27-CR-21-23215_Order-Evaluation for Competency to Proceed (Rule 20.01)_2024-01-26_20240430084119.pdf</v>
      </c>
      <c r="C1962" s="1" t="n">
        <v>6</v>
      </c>
      <c r="D1962" s="1" t="n">
        <v>2</v>
      </c>
      <c r="E1962" s="1" t="n">
        <v>2</v>
      </c>
      <c r="F1962" s="3" t="s">
        <v>20</v>
      </c>
      <c r="G1962" s="3" t="s">
        <v>8011</v>
      </c>
      <c r="H1962" s="1" t="s">
        <v>22</v>
      </c>
      <c r="I1962" s="1" t="n">
        <v>20240430084119</v>
      </c>
      <c r="J1962" s="3" t="s">
        <v>8012</v>
      </c>
      <c r="K1962" s="3" t="s">
        <v>8013</v>
      </c>
      <c r="L1962" s="3" t="s">
        <v>7635</v>
      </c>
      <c r="M1962" s="3" t="n">
        <v>868592</v>
      </c>
      <c r="N1962" s="3" t="s">
        <v>6214</v>
      </c>
      <c r="O1962" s="1" t="n">
        <v>852206</v>
      </c>
      <c r="P1962" s="1" t="n">
        <v>98.11</v>
      </c>
      <c r="Q1962" s="1" t="s">
        <v>20</v>
      </c>
      <c r="R1962" s="1" t="s">
        <v>27</v>
      </c>
      <c r="S1962" s="1" t="s">
        <v>28</v>
      </c>
      <c r="T1962" s="1" t="s">
        <v>29</v>
      </c>
    </row>
    <row r="1963" customFormat="false" ht="18.7" hidden="false" customHeight="true" outlineLevel="0" collapsed="false">
      <c r="A1963" s="1" t="n">
        <v>1962</v>
      </c>
      <c r="B1963" s="6" t="str">
        <f aca="false">HYPERLINK("https://mncourtfraud.com/file/MCRO_27-CR-21-23215_Order for Conditional Release_2021-12-20_20240430084137.pdf","MCRO_27-CR-21-23215_Order for Conditional Release_2021-12-20_20240430084137.pdf")</f>
        <v>MCRO_27-CR-21-23215_Order for Conditional Release_2021-12-20_20240430084137.pdf</v>
      </c>
      <c r="C1963" s="1" t="n">
        <v>4</v>
      </c>
      <c r="D1963" s="1" t="n">
        <v>1</v>
      </c>
      <c r="E1963" s="1" t="n">
        <v>1</v>
      </c>
      <c r="F1963" s="3" t="s">
        <v>20</v>
      </c>
      <c r="G1963" s="3" t="s">
        <v>8014</v>
      </c>
      <c r="H1963" s="1" t="s">
        <v>22</v>
      </c>
      <c r="I1963" s="1" t="n">
        <v>20240430084137</v>
      </c>
      <c r="J1963" s="3" t="s">
        <v>8015</v>
      </c>
      <c r="K1963" s="3" t="s">
        <v>8016</v>
      </c>
      <c r="L1963" s="3" t="s">
        <v>8017</v>
      </c>
      <c r="M1963" s="3" t="n">
        <v>815265</v>
      </c>
      <c r="N1963" s="3" t="s">
        <v>680</v>
      </c>
      <c r="O1963" s="1" t="n">
        <v>798879</v>
      </c>
      <c r="P1963" s="1" t="n">
        <v>97.99</v>
      </c>
      <c r="Q1963" s="1" t="s">
        <v>20</v>
      </c>
      <c r="R1963" s="1" t="s">
        <v>27</v>
      </c>
      <c r="S1963" s="1" t="s">
        <v>28</v>
      </c>
      <c r="T1963" s="1" t="s">
        <v>29</v>
      </c>
    </row>
    <row r="1964" customFormat="false" ht="18.7" hidden="false" customHeight="true" outlineLevel="0" collapsed="false">
      <c r="A1964" s="1" t="n">
        <v>1963</v>
      </c>
      <c r="B1964" s="6" t="str">
        <f aca="false">HYPERLINK("https://mncourtfraud.com/file/MCRO_27-CR-21-23215_Order for Conditional Release_2022-03-08_20240430084133.pdf","MCRO_27-CR-21-23215_Order for Conditional Release_2022-03-08_20240430084133.pdf")</f>
        <v>MCRO_27-CR-21-23215_Order for Conditional Release_2022-03-08_20240430084133.pdf</v>
      </c>
      <c r="C1964" s="1" t="n">
        <v>4</v>
      </c>
      <c r="D1964" s="1" t="n">
        <v>54</v>
      </c>
      <c r="E1964" s="1" t="n">
        <v>2</v>
      </c>
      <c r="F1964" s="3" t="s">
        <v>20</v>
      </c>
      <c r="G1964" s="3" t="s">
        <v>8018</v>
      </c>
      <c r="H1964" s="1" t="s">
        <v>22</v>
      </c>
      <c r="I1964" s="1" t="n">
        <v>20240430084133</v>
      </c>
      <c r="J1964" s="3" t="s">
        <v>8019</v>
      </c>
      <c r="K1964" s="3" t="s">
        <v>8020</v>
      </c>
      <c r="L1964" s="3" t="s">
        <v>8021</v>
      </c>
      <c r="M1964" s="3" t="n">
        <v>308373</v>
      </c>
      <c r="N1964" s="3" t="s">
        <v>7942</v>
      </c>
      <c r="O1964" s="1" t="n">
        <v>291987</v>
      </c>
      <c r="P1964" s="1" t="n">
        <v>94.69</v>
      </c>
      <c r="Q1964" s="1" t="s">
        <v>20</v>
      </c>
      <c r="R1964" s="1" t="s">
        <v>27</v>
      </c>
      <c r="S1964" s="1" t="s">
        <v>28</v>
      </c>
      <c r="T1964" s="1" t="s">
        <v>29</v>
      </c>
    </row>
    <row r="1965" customFormat="false" ht="18.7" hidden="false" customHeight="true" outlineLevel="0" collapsed="false">
      <c r="A1965" s="1" t="n">
        <v>1964</v>
      </c>
      <c r="B1965" s="6" t="str">
        <f aca="false">HYPERLINK("https://mncourtfraud.com/file/MCRO_27-CR-21-23215_Order for Conditional Release_2022-05-31_20240430084133.pdf","MCRO_27-CR-21-23215_Order for Conditional Release_2022-05-31_20240430084133.pdf")</f>
        <v>MCRO_27-CR-21-23215_Order for Conditional Release_2022-05-31_20240430084133.pdf</v>
      </c>
      <c r="C1965" s="1" t="n">
        <v>4</v>
      </c>
      <c r="D1965" s="1" t="n">
        <v>1</v>
      </c>
      <c r="E1965" s="1" t="n">
        <v>1</v>
      </c>
      <c r="F1965" s="3" t="s">
        <v>20</v>
      </c>
      <c r="G1965" s="3" t="s">
        <v>8022</v>
      </c>
      <c r="H1965" s="1" t="s">
        <v>22</v>
      </c>
      <c r="I1965" s="1" t="n">
        <v>20240430084133</v>
      </c>
      <c r="J1965" s="3" t="s">
        <v>8023</v>
      </c>
      <c r="K1965" s="3" t="s">
        <v>8024</v>
      </c>
      <c r="L1965" s="3" t="s">
        <v>8025</v>
      </c>
      <c r="M1965" s="3" t="n">
        <v>812695</v>
      </c>
      <c r="N1965" s="3" t="s">
        <v>456</v>
      </c>
      <c r="O1965" s="1" t="n">
        <v>796309</v>
      </c>
      <c r="P1965" s="1" t="n">
        <v>97.98</v>
      </c>
      <c r="Q1965" s="1" t="s">
        <v>20</v>
      </c>
      <c r="R1965" s="1" t="s">
        <v>27</v>
      </c>
      <c r="S1965" s="1" t="s">
        <v>28</v>
      </c>
      <c r="T1965" s="1" t="s">
        <v>29</v>
      </c>
    </row>
    <row r="1966" customFormat="false" ht="18.7" hidden="false" customHeight="true" outlineLevel="0" collapsed="false">
      <c r="A1966" s="1" t="n">
        <v>1965</v>
      </c>
      <c r="B1966" s="6" t="str">
        <f aca="false">HYPERLINK("https://mncourtfraud.com/file/MCRO_27-CR-21-23215_Order for Conditional Release_2022-10-04_20240430084128.pdf","MCRO_27-CR-21-23215_Order for Conditional Release_2022-10-04_20240430084128.pdf")</f>
        <v>MCRO_27-CR-21-23215_Order for Conditional Release_2022-10-04_20240430084128.pdf</v>
      </c>
      <c r="C1966" s="1" t="n">
        <v>5</v>
      </c>
      <c r="D1966" s="1" t="n">
        <v>1</v>
      </c>
      <c r="E1966" s="1" t="n">
        <v>1</v>
      </c>
      <c r="F1966" s="3" t="s">
        <v>20</v>
      </c>
      <c r="G1966" s="3" t="s">
        <v>8026</v>
      </c>
      <c r="H1966" s="1" t="s">
        <v>22</v>
      </c>
      <c r="I1966" s="1" t="n">
        <v>20240430084128</v>
      </c>
      <c r="J1966" s="3" t="s">
        <v>8027</v>
      </c>
      <c r="K1966" s="3" t="s">
        <v>8028</v>
      </c>
      <c r="L1966" s="3" t="s">
        <v>7651</v>
      </c>
      <c r="M1966" s="3" t="n">
        <v>793300</v>
      </c>
      <c r="N1966" s="3" t="s">
        <v>7151</v>
      </c>
      <c r="O1966" s="1" t="n">
        <v>776914</v>
      </c>
      <c r="P1966" s="1" t="n">
        <v>97.93</v>
      </c>
      <c r="Q1966" s="1" t="s">
        <v>20</v>
      </c>
      <c r="R1966" s="1" t="s">
        <v>27</v>
      </c>
      <c r="S1966" s="1" t="s">
        <v>28</v>
      </c>
      <c r="T1966" s="1" t="s">
        <v>29</v>
      </c>
    </row>
    <row r="1967" customFormat="false" ht="18.7" hidden="false" customHeight="true" outlineLevel="0" collapsed="false">
      <c r="A1967" s="1" t="n">
        <v>1966</v>
      </c>
      <c r="B1967" s="6" t="str">
        <f aca="false">HYPERLINK("https://mncourtfraud.com/file/MCRO_27-CR-21-23215_Order for Conditional Release_2023-04-03_20240430084126.pdf","MCRO_27-CR-21-23215_Order for Conditional Release_2023-04-03_20240430084126.pdf")</f>
        <v>MCRO_27-CR-21-23215_Order for Conditional Release_2023-04-03_20240430084126.pdf</v>
      </c>
      <c r="C1967" s="1" t="n">
        <v>4</v>
      </c>
      <c r="D1967" s="1" t="n">
        <v>1</v>
      </c>
      <c r="E1967" s="1" t="n">
        <v>1</v>
      </c>
      <c r="F1967" s="3" t="s">
        <v>20</v>
      </c>
      <c r="G1967" s="3" t="s">
        <v>8029</v>
      </c>
      <c r="H1967" s="1" t="s">
        <v>22</v>
      </c>
      <c r="I1967" s="1" t="n">
        <v>20240430084126</v>
      </c>
      <c r="J1967" s="3" t="s">
        <v>8030</v>
      </c>
      <c r="K1967" s="3" t="s">
        <v>8031</v>
      </c>
      <c r="L1967" s="3" t="s">
        <v>8032</v>
      </c>
      <c r="M1967" s="3" t="n">
        <v>828979</v>
      </c>
      <c r="N1967" s="3" t="s">
        <v>158</v>
      </c>
      <c r="O1967" s="1" t="n">
        <v>812593</v>
      </c>
      <c r="P1967" s="1" t="n">
        <v>98.02</v>
      </c>
      <c r="Q1967" s="1" t="s">
        <v>20</v>
      </c>
      <c r="R1967" s="1" t="s">
        <v>27</v>
      </c>
      <c r="S1967" s="1" t="s">
        <v>28</v>
      </c>
      <c r="T1967" s="1" t="s">
        <v>29</v>
      </c>
    </row>
    <row r="1968" customFormat="false" ht="18.7" hidden="false" customHeight="true" outlineLevel="0" collapsed="false">
      <c r="A1968" s="1" t="n">
        <v>1967</v>
      </c>
      <c r="B1968" s="6" t="str">
        <f aca="false">HYPERLINK("https://mncourtfraud.com/file/MCRO_27-CR-21-23215_Other Document_2022-03-02_20240430084135.pdf","MCRO_27-CR-21-23215_Other Document_2022-03-02_20240430084135.pdf")</f>
        <v>MCRO_27-CR-21-23215_Other Document_2022-03-02_20240430084135.pdf</v>
      </c>
      <c r="C1968" s="1" t="n">
        <v>5</v>
      </c>
      <c r="D1968" s="1" t="n">
        <v>1</v>
      </c>
      <c r="E1968" s="1" t="n">
        <v>1</v>
      </c>
      <c r="F1968" s="3" t="s">
        <v>20</v>
      </c>
      <c r="G1968" s="3" t="s">
        <v>8033</v>
      </c>
      <c r="H1968" s="1" t="s">
        <v>22</v>
      </c>
      <c r="I1968" s="1" t="n">
        <v>20240430084135</v>
      </c>
      <c r="J1968" s="3" t="s">
        <v>8034</v>
      </c>
      <c r="K1968" s="3" t="s">
        <v>8035</v>
      </c>
      <c r="L1968" s="3" t="s">
        <v>8036</v>
      </c>
      <c r="M1968" s="3" t="n">
        <v>737959</v>
      </c>
      <c r="N1968" s="3" t="s">
        <v>6298</v>
      </c>
      <c r="O1968" s="1" t="n">
        <v>721573</v>
      </c>
      <c r="P1968" s="1" t="n">
        <v>97.78</v>
      </c>
      <c r="Q1968" s="1" t="s">
        <v>20</v>
      </c>
      <c r="R1968" s="1" t="s">
        <v>27</v>
      </c>
      <c r="S1968" s="1" t="s">
        <v>28</v>
      </c>
      <c r="T1968" s="1" t="s">
        <v>29</v>
      </c>
    </row>
    <row r="1969" customFormat="false" ht="18.7" hidden="false" customHeight="true" outlineLevel="0" collapsed="false">
      <c r="A1969" s="1" t="n">
        <v>1968</v>
      </c>
      <c r="B1969" s="6" t="str">
        <f aca="false">HYPERLINK("https://mncourtfraud.com/file/MCRO_27-CR-21-23215_Other Document_2022-05-31_20240430084131.pdf","MCRO_27-CR-21-23215_Other Document_2022-05-31_20240430084131.pdf")</f>
        <v>MCRO_27-CR-21-23215_Other Document_2022-05-31_20240430084131.pdf</v>
      </c>
      <c r="C1969" s="1" t="n">
        <v>4</v>
      </c>
      <c r="D1969" s="1" t="n">
        <v>1</v>
      </c>
      <c r="E1969" s="1" t="n">
        <v>1</v>
      </c>
      <c r="F1969" s="3" t="s">
        <v>20</v>
      </c>
      <c r="G1969" s="3" t="s">
        <v>8037</v>
      </c>
      <c r="H1969" s="1" t="s">
        <v>22</v>
      </c>
      <c r="I1969" s="1" t="n">
        <v>20240430084131</v>
      </c>
      <c r="J1969" s="3" t="s">
        <v>8038</v>
      </c>
      <c r="K1969" s="3" t="s">
        <v>8039</v>
      </c>
      <c r="L1969" s="3" t="s">
        <v>7168</v>
      </c>
      <c r="M1969" s="3" t="n">
        <v>274168</v>
      </c>
      <c r="N1969" s="3" t="s">
        <v>4614</v>
      </c>
      <c r="O1969" s="1" t="n">
        <v>257782</v>
      </c>
      <c r="P1969" s="1" t="n">
        <v>94.02</v>
      </c>
      <c r="Q1969" s="1" t="s">
        <v>20</v>
      </c>
      <c r="R1969" s="1" t="s">
        <v>27</v>
      </c>
      <c r="S1969" s="1" t="s">
        <v>28</v>
      </c>
      <c r="T1969" s="1" t="s">
        <v>29</v>
      </c>
    </row>
    <row r="1970" customFormat="false" ht="18.7" hidden="false" customHeight="true" outlineLevel="0" collapsed="false">
      <c r="A1970" s="1" t="n">
        <v>1969</v>
      </c>
      <c r="B1970" s="6" t="str">
        <f aca="false">HYPERLINK("https://mncourtfraud.com/file/MCRO_27-CR-21-23215_Returned Mail_2023-12-08_20240430084119.pdf","MCRO_27-CR-21-23215_Returned Mail_2023-12-08_20240430084119.pdf")</f>
        <v>MCRO_27-CR-21-23215_Returned Mail_2023-12-08_20240430084119.pdf</v>
      </c>
      <c r="C1970" s="1" t="n">
        <v>4</v>
      </c>
      <c r="D1970" s="1" t="n">
        <v>1</v>
      </c>
      <c r="E1970" s="1" t="n">
        <v>1</v>
      </c>
      <c r="F1970" s="3" t="s">
        <v>20</v>
      </c>
      <c r="G1970" s="3" t="s">
        <v>8040</v>
      </c>
      <c r="H1970" s="1" t="s">
        <v>22</v>
      </c>
      <c r="I1970" s="1" t="n">
        <v>20240430084119</v>
      </c>
      <c r="J1970" s="3" t="s">
        <v>8041</v>
      </c>
      <c r="K1970" s="3" t="s">
        <v>8042</v>
      </c>
      <c r="L1970" s="3" t="s">
        <v>8043</v>
      </c>
      <c r="M1970" s="3" t="n">
        <v>313940</v>
      </c>
      <c r="N1970" s="3" t="s">
        <v>158</v>
      </c>
      <c r="O1970" s="1" t="n">
        <v>297554</v>
      </c>
      <c r="P1970" s="1" t="n">
        <v>94.78</v>
      </c>
      <c r="Q1970" s="1" t="s">
        <v>20</v>
      </c>
      <c r="R1970" s="1" t="s">
        <v>27</v>
      </c>
      <c r="S1970" s="1" t="s">
        <v>28</v>
      </c>
      <c r="T1970" s="1" t="s">
        <v>29</v>
      </c>
    </row>
    <row r="1971" customFormat="false" ht="18.7" hidden="false" customHeight="true" outlineLevel="0" collapsed="false">
      <c r="A1971" s="1" t="n">
        <v>1970</v>
      </c>
      <c r="B1971" s="6" t="str">
        <f aca="false">HYPERLINK("https://mncourtfraud.com/file/MCRO_27-CR-21-23233_Correspondence for Judicial Approval_2022-11-07_20240430084220.pdf","MCRO_27-CR-21-23233_Correspondence for Judicial Approval_2022-11-07_20240430084220.pdf")</f>
        <v>MCRO_27-CR-21-23233_Correspondence for Judicial Approval_2022-11-07_20240430084220.pdf</v>
      </c>
      <c r="C1971" s="1" t="n">
        <v>3</v>
      </c>
      <c r="D1971" s="1" t="n">
        <v>1</v>
      </c>
      <c r="E1971" s="1" t="n">
        <v>1</v>
      </c>
      <c r="F1971" s="3" t="s">
        <v>20</v>
      </c>
      <c r="G1971" s="3" t="s">
        <v>8044</v>
      </c>
      <c r="H1971" s="1" t="s">
        <v>22</v>
      </c>
      <c r="I1971" s="1" t="n">
        <v>20240430084220</v>
      </c>
      <c r="J1971" s="3" t="s">
        <v>8045</v>
      </c>
      <c r="K1971" s="3" t="s">
        <v>8046</v>
      </c>
      <c r="L1971" s="3" t="s">
        <v>8047</v>
      </c>
      <c r="M1971" s="3" t="n">
        <v>211259</v>
      </c>
      <c r="N1971" s="3" t="s">
        <v>629</v>
      </c>
      <c r="O1971" s="1" t="n">
        <v>194873</v>
      </c>
      <c r="P1971" s="1" t="n">
        <v>92.24</v>
      </c>
      <c r="Q1971" s="1" t="s">
        <v>20</v>
      </c>
      <c r="R1971" s="1" t="s">
        <v>27</v>
      </c>
      <c r="S1971" s="1" t="s">
        <v>28</v>
      </c>
      <c r="T1971" s="1" t="s">
        <v>29</v>
      </c>
    </row>
    <row r="1972" customFormat="false" ht="18.7" hidden="false" customHeight="true" outlineLevel="0" collapsed="false">
      <c r="A1972" s="1" t="n">
        <v>1971</v>
      </c>
      <c r="B1972" s="6" t="str">
        <f aca="false">HYPERLINK("https://mncourtfraud.com/file/MCRO_27-CR-21-23233_Demand or Request for Discovery_2021-12-27_20240430084229.pdf","MCRO_27-CR-21-23233_Demand or Request for Discovery_2021-12-27_20240430084229.pdf")</f>
        <v>MCRO_27-CR-21-23233_Demand or Request for Discovery_2021-12-27_20240430084229.pdf</v>
      </c>
      <c r="C1972" s="1" t="n">
        <v>3</v>
      </c>
      <c r="D1972" s="1" t="n">
        <v>1</v>
      </c>
      <c r="E1972" s="1" t="n">
        <v>1</v>
      </c>
      <c r="F1972" s="3" t="s">
        <v>20</v>
      </c>
      <c r="G1972" s="3" t="s">
        <v>8048</v>
      </c>
      <c r="H1972" s="1" t="s">
        <v>22</v>
      </c>
      <c r="I1972" s="1" t="n">
        <v>20240430084229</v>
      </c>
      <c r="J1972" s="3" t="s">
        <v>8049</v>
      </c>
      <c r="K1972" s="3" t="s">
        <v>8050</v>
      </c>
      <c r="L1972" s="3" t="s">
        <v>8051</v>
      </c>
      <c r="M1972" s="3" t="n">
        <v>618000</v>
      </c>
      <c r="N1972" s="3" t="s">
        <v>3699</v>
      </c>
      <c r="O1972" s="1" t="n">
        <v>601614</v>
      </c>
      <c r="P1972" s="1" t="n">
        <v>97.35</v>
      </c>
      <c r="Q1972" s="1" t="s">
        <v>20</v>
      </c>
      <c r="R1972" s="1" t="s">
        <v>27</v>
      </c>
      <c r="S1972" s="1" t="s">
        <v>28</v>
      </c>
      <c r="T1972" s="1" t="s">
        <v>29</v>
      </c>
    </row>
    <row r="1973" customFormat="false" ht="18.7" hidden="false" customHeight="true" outlineLevel="0" collapsed="false">
      <c r="A1973" s="1" t="n">
        <v>1972</v>
      </c>
      <c r="B1973" s="6" t="str">
        <f aca="false">HYPERLINK("https://mncourtfraud.com/file/MCRO_27-CR-21-23233_E-filed Comp-Order for Detention_2021-12-17_20240430084231.pdf","MCRO_27-CR-21-23233_E-filed Comp-Order for Detention_2021-12-17_20240430084231.pdf")</f>
        <v>MCRO_27-CR-21-23233_E-filed Comp-Order for Detention_2021-12-17_20240430084231.pdf</v>
      </c>
      <c r="C1973" s="1" t="n">
        <v>4</v>
      </c>
      <c r="D1973" s="1" t="n">
        <v>2</v>
      </c>
      <c r="E1973" s="1" t="n">
        <v>2</v>
      </c>
      <c r="F1973" s="3" t="s">
        <v>20</v>
      </c>
      <c r="G1973" s="3" t="s">
        <v>8052</v>
      </c>
      <c r="H1973" s="1" t="s">
        <v>22</v>
      </c>
      <c r="I1973" s="1" t="n">
        <v>20240430084231</v>
      </c>
      <c r="J1973" s="3" t="s">
        <v>8053</v>
      </c>
      <c r="K1973" s="3" t="s">
        <v>8054</v>
      </c>
      <c r="L1973" s="3" t="s">
        <v>8055</v>
      </c>
      <c r="M1973" s="3" t="n">
        <v>498288</v>
      </c>
      <c r="N1973" s="3" t="s">
        <v>1707</v>
      </c>
      <c r="O1973" s="1" t="n">
        <v>481902</v>
      </c>
      <c r="P1973" s="1" t="n">
        <v>96.71</v>
      </c>
      <c r="Q1973" s="1" t="s">
        <v>20</v>
      </c>
      <c r="R1973" s="1" t="s">
        <v>27</v>
      </c>
      <c r="S1973" s="1" t="s">
        <v>28</v>
      </c>
      <c r="T1973" s="1" t="s">
        <v>29</v>
      </c>
    </row>
    <row r="1974" customFormat="false" ht="18.7" hidden="false" customHeight="true" outlineLevel="0" collapsed="false">
      <c r="A1974" s="1" t="n">
        <v>1973</v>
      </c>
      <c r="B1974" s="6" t="str">
        <f aca="false">HYPERLINK("https://mncourtfraud.com/file/MCRO_27-CR-21-23233_Finding of Incompetency and Order_2024-03-12_20240430084211.pdf","MCRO_27-CR-21-23233_Finding of Incompetency and Order_2024-03-12_20240430084211.pdf")</f>
        <v>MCRO_27-CR-21-23233_Finding of Incompetency and Order_2024-03-12_20240430084211.pdf</v>
      </c>
      <c r="C1974" s="1" t="n">
        <v>5</v>
      </c>
      <c r="D1974" s="1" t="n">
        <v>1</v>
      </c>
      <c r="E1974" s="1" t="n">
        <v>1</v>
      </c>
      <c r="F1974" s="3" t="s">
        <v>20</v>
      </c>
      <c r="G1974" s="3" t="s">
        <v>8056</v>
      </c>
      <c r="H1974" s="1" t="s">
        <v>22</v>
      </c>
      <c r="I1974" s="1" t="n">
        <v>20240430084211</v>
      </c>
      <c r="J1974" s="3" t="s">
        <v>8057</v>
      </c>
      <c r="K1974" s="3" t="s">
        <v>8058</v>
      </c>
      <c r="L1974" s="3" t="s">
        <v>6493</v>
      </c>
      <c r="M1974" s="3" t="n">
        <v>832563</v>
      </c>
      <c r="N1974" s="3" t="s">
        <v>1489</v>
      </c>
      <c r="O1974" s="1" t="n">
        <v>816177</v>
      </c>
      <c r="P1974" s="1" t="n">
        <v>98.03</v>
      </c>
      <c r="Q1974" s="1" t="s">
        <v>20</v>
      </c>
      <c r="R1974" s="1" t="s">
        <v>27</v>
      </c>
      <c r="S1974" s="1" t="s">
        <v>28</v>
      </c>
      <c r="T1974" s="1" t="s">
        <v>29</v>
      </c>
    </row>
    <row r="1975" customFormat="false" ht="18.7" hidden="false" customHeight="true" outlineLevel="0" collapsed="false">
      <c r="A1975" s="1" t="n">
        <v>1974</v>
      </c>
      <c r="B1975" s="6" t="str">
        <f aca="false">HYPERLINK("https://mncourtfraud.com/file/MCRO_27-CR-21-23233_Findings and Order_2022-03-08_20240430084225.pdf","MCRO_27-CR-21-23233_Findings and Order_2022-03-08_20240430084225.pdf")</f>
        <v>MCRO_27-CR-21-23233_Findings and Order_2022-03-08_20240430084225.pdf</v>
      </c>
      <c r="C1975" s="1" t="n">
        <v>5</v>
      </c>
      <c r="D1975" s="1" t="n">
        <v>1</v>
      </c>
      <c r="E1975" s="1" t="n">
        <v>1</v>
      </c>
      <c r="F1975" s="3" t="s">
        <v>20</v>
      </c>
      <c r="G1975" s="3" t="s">
        <v>8059</v>
      </c>
      <c r="H1975" s="1" t="s">
        <v>22</v>
      </c>
      <c r="I1975" s="1" t="n">
        <v>20240430084225</v>
      </c>
      <c r="J1975" s="3" t="s">
        <v>8060</v>
      </c>
      <c r="K1975" s="3" t="s">
        <v>8061</v>
      </c>
      <c r="L1975" s="3" t="s">
        <v>6497</v>
      </c>
      <c r="M1975" s="3" t="n">
        <v>340925</v>
      </c>
      <c r="N1975" s="3" t="s">
        <v>1494</v>
      </c>
      <c r="O1975" s="1" t="n">
        <v>324539</v>
      </c>
      <c r="P1975" s="1" t="n">
        <v>95.19</v>
      </c>
      <c r="Q1975" s="1" t="s">
        <v>20</v>
      </c>
      <c r="R1975" s="1" t="s">
        <v>27</v>
      </c>
      <c r="S1975" s="1" t="s">
        <v>28</v>
      </c>
      <c r="T1975" s="1" t="s">
        <v>29</v>
      </c>
    </row>
    <row r="1976" customFormat="false" ht="18.7" hidden="false" customHeight="true" outlineLevel="0" collapsed="false">
      <c r="A1976" s="1" t="n">
        <v>1975</v>
      </c>
      <c r="B1976" s="6" t="str">
        <f aca="false">HYPERLINK("https://mncourtfraud.com/file/MCRO_27-CR-21-23233_Notice of Appearance_2022-03-08_20240430084224.pdf","MCRO_27-CR-21-23233_Notice of Appearance_2022-03-08_20240430084224.pdf")</f>
        <v>MCRO_27-CR-21-23233_Notice of Appearance_2022-03-08_20240430084224.pdf</v>
      </c>
      <c r="C1976" s="1" t="n">
        <v>4</v>
      </c>
      <c r="D1976" s="1" t="n">
        <v>1</v>
      </c>
      <c r="E1976" s="1" t="n">
        <v>1</v>
      </c>
      <c r="F1976" s="3" t="s">
        <v>20</v>
      </c>
      <c r="G1976" s="3" t="s">
        <v>8062</v>
      </c>
      <c r="H1976" s="1" t="s">
        <v>22</v>
      </c>
      <c r="I1976" s="1" t="n">
        <v>20240430084224</v>
      </c>
      <c r="J1976" s="3" t="s">
        <v>8063</v>
      </c>
      <c r="K1976" s="3" t="s">
        <v>8064</v>
      </c>
      <c r="L1976" s="3" t="s">
        <v>2057</v>
      </c>
      <c r="M1976" s="3" t="n">
        <v>816220</v>
      </c>
      <c r="N1976" s="3" t="s">
        <v>486</v>
      </c>
      <c r="O1976" s="1" t="n">
        <v>799834</v>
      </c>
      <c r="P1976" s="1" t="n">
        <v>97.99</v>
      </c>
      <c r="Q1976" s="1" t="s">
        <v>20</v>
      </c>
      <c r="R1976" s="1" t="s">
        <v>27</v>
      </c>
      <c r="S1976" s="1" t="s">
        <v>28</v>
      </c>
      <c r="T1976" s="1" t="s">
        <v>29</v>
      </c>
    </row>
    <row r="1977" customFormat="false" ht="18.7" hidden="false" customHeight="true" outlineLevel="0" collapsed="false">
      <c r="A1977" s="1" t="n">
        <v>1976</v>
      </c>
      <c r="B1977" s="6" t="str">
        <f aca="false">HYPERLINK("https://mncourtfraud.com/file/MCRO_27-CR-21-23233_Notice of Case Reassignment_2022-04-01_20240430084222.pdf","MCRO_27-CR-21-23233_Notice of Case Reassignment_2022-04-01_20240430084222.pdf")</f>
        <v>MCRO_27-CR-21-23233_Notice of Case Reassignment_2022-04-01_20240430084222.pdf</v>
      </c>
      <c r="C1977" s="1" t="n">
        <v>4</v>
      </c>
      <c r="D1977" s="1" t="n">
        <v>1</v>
      </c>
      <c r="E1977" s="1" t="n">
        <v>1</v>
      </c>
      <c r="F1977" s="3" t="s">
        <v>20</v>
      </c>
      <c r="G1977" s="3" t="s">
        <v>8065</v>
      </c>
      <c r="H1977" s="1" t="s">
        <v>22</v>
      </c>
      <c r="I1977" s="1" t="n">
        <v>20240430084222</v>
      </c>
      <c r="J1977" s="3" t="s">
        <v>8066</v>
      </c>
      <c r="K1977" s="3" t="s">
        <v>8067</v>
      </c>
      <c r="L1977" s="3" t="s">
        <v>8068</v>
      </c>
      <c r="M1977" s="3" t="n">
        <v>97013</v>
      </c>
      <c r="N1977" s="3" t="s">
        <v>456</v>
      </c>
      <c r="O1977" s="1" t="n">
        <v>80627</v>
      </c>
      <c r="P1977" s="1" t="n">
        <v>83.11</v>
      </c>
      <c r="Q1977" s="1" t="s">
        <v>20</v>
      </c>
      <c r="R1977" s="1" t="s">
        <v>27</v>
      </c>
      <c r="S1977" s="1" t="s">
        <v>28</v>
      </c>
      <c r="T1977" s="1" t="s">
        <v>29</v>
      </c>
    </row>
    <row r="1978" customFormat="false" ht="18.7" hidden="false" customHeight="true" outlineLevel="0" collapsed="false">
      <c r="A1978" s="1" t="n">
        <v>1977</v>
      </c>
      <c r="B1978" s="6" t="str">
        <f aca="false">HYPERLINK("https://mncourtfraud.com/file/MCRO_27-CR-21-23233_Notice of Case Reassignment_2023-01-13_20240430084216.pdf","MCRO_27-CR-21-23233_Notice of Case Reassignment_2023-01-13_20240430084216.pdf")</f>
        <v>MCRO_27-CR-21-23233_Notice of Case Reassignment_2023-01-13_20240430084216.pdf</v>
      </c>
      <c r="C1978" s="1" t="n">
        <v>4</v>
      </c>
      <c r="D1978" s="1" t="n">
        <v>1</v>
      </c>
      <c r="E1978" s="1" t="n">
        <v>1</v>
      </c>
      <c r="F1978" s="3" t="s">
        <v>20</v>
      </c>
      <c r="G1978" s="3" t="s">
        <v>8069</v>
      </c>
      <c r="H1978" s="1" t="s">
        <v>22</v>
      </c>
      <c r="I1978" s="1" t="n">
        <v>20240430084216</v>
      </c>
      <c r="J1978" s="3" t="s">
        <v>8070</v>
      </c>
      <c r="K1978" s="3" t="s">
        <v>8071</v>
      </c>
      <c r="L1978" s="3" t="s">
        <v>8072</v>
      </c>
      <c r="M1978" s="3" t="n">
        <v>321515</v>
      </c>
      <c r="N1978" s="3" t="s">
        <v>158</v>
      </c>
      <c r="O1978" s="1" t="n">
        <v>305129</v>
      </c>
      <c r="P1978" s="1" t="n">
        <v>94.9</v>
      </c>
      <c r="Q1978" s="1" t="s">
        <v>20</v>
      </c>
      <c r="R1978" s="1" t="s">
        <v>27</v>
      </c>
      <c r="S1978" s="1" t="s">
        <v>28</v>
      </c>
      <c r="T1978" s="1" t="s">
        <v>29</v>
      </c>
    </row>
    <row r="1979" customFormat="false" ht="18.7" hidden="false" customHeight="true" outlineLevel="0" collapsed="false">
      <c r="A1979" s="1" t="n">
        <v>1978</v>
      </c>
      <c r="B1979" s="6" t="str">
        <f aca="false">HYPERLINK("https://mncourtfraud.com/file/MCRO_27-CR-21-23233_Notice of Case Reassignment_2024-01-12_20240430084213.pdf","MCRO_27-CR-21-23233_Notice of Case Reassignment_2024-01-12_20240430084213.pdf")</f>
        <v>MCRO_27-CR-21-23233_Notice of Case Reassignment_2024-01-12_20240430084213.pdf</v>
      </c>
      <c r="C1979" s="1" t="n">
        <v>4</v>
      </c>
      <c r="D1979" s="1" t="n">
        <v>1</v>
      </c>
      <c r="E1979" s="1" t="n">
        <v>1</v>
      </c>
      <c r="F1979" s="3" t="s">
        <v>20</v>
      </c>
      <c r="G1979" s="3" t="s">
        <v>8073</v>
      </c>
      <c r="H1979" s="1" t="s">
        <v>22</v>
      </c>
      <c r="I1979" s="1" t="n">
        <v>20240430084213</v>
      </c>
      <c r="J1979" s="3" t="s">
        <v>8074</v>
      </c>
      <c r="K1979" s="3" t="s">
        <v>8075</v>
      </c>
      <c r="L1979" s="3" t="s">
        <v>8076</v>
      </c>
      <c r="M1979" s="3" t="n">
        <v>296716</v>
      </c>
      <c r="N1979" s="3" t="s">
        <v>158</v>
      </c>
      <c r="O1979" s="1" t="n">
        <v>280330</v>
      </c>
      <c r="P1979" s="1" t="n">
        <v>94.48</v>
      </c>
      <c r="Q1979" s="1" t="s">
        <v>20</v>
      </c>
      <c r="R1979" s="1" t="s">
        <v>27</v>
      </c>
      <c r="S1979" s="1" t="s">
        <v>28</v>
      </c>
      <c r="T1979" s="1" t="s">
        <v>29</v>
      </c>
    </row>
    <row r="1980" customFormat="false" ht="18.7" hidden="false" customHeight="true" outlineLevel="0" collapsed="false">
      <c r="A1980" s="1" t="n">
        <v>1979</v>
      </c>
      <c r="B1980" s="6" t="str">
        <f aca="false">HYPERLINK("https://mncourtfraud.com/file/MCRO_27-CR-21-23233_Notice of Hearing_2024-03-12_20240430084208.pdf","MCRO_27-CR-21-23233_Notice of Hearing_2024-03-12_20240430084208.pdf")</f>
        <v>MCRO_27-CR-21-23233_Notice of Hearing_2024-03-12_20240430084208.pdf</v>
      </c>
      <c r="C1980" s="1" t="n">
        <v>4</v>
      </c>
      <c r="D1980" s="1" t="n">
        <v>1</v>
      </c>
      <c r="E1980" s="1" t="n">
        <v>1</v>
      </c>
      <c r="F1980" s="3" t="s">
        <v>20</v>
      </c>
      <c r="G1980" s="3" t="s">
        <v>8077</v>
      </c>
      <c r="H1980" s="1" t="s">
        <v>22</v>
      </c>
      <c r="I1980" s="1" t="n">
        <v>20240430084208</v>
      </c>
      <c r="J1980" s="3" t="s">
        <v>8078</v>
      </c>
      <c r="K1980" s="3" t="s">
        <v>8079</v>
      </c>
      <c r="L1980" s="3" t="s">
        <v>8080</v>
      </c>
      <c r="M1980" s="3" t="n">
        <v>255847</v>
      </c>
      <c r="N1980" s="3" t="s">
        <v>74</v>
      </c>
      <c r="O1980" s="1" t="n">
        <v>239461</v>
      </c>
      <c r="P1980" s="1" t="n">
        <v>93.6</v>
      </c>
      <c r="Q1980" s="1" t="s">
        <v>20</v>
      </c>
      <c r="R1980" s="1" t="s">
        <v>27</v>
      </c>
      <c r="S1980" s="1" t="s">
        <v>28</v>
      </c>
      <c r="T1980" s="1" t="s">
        <v>29</v>
      </c>
    </row>
    <row r="1981" customFormat="false" ht="18.7" hidden="false" customHeight="true" outlineLevel="0" collapsed="false">
      <c r="A1981" s="1" t="n">
        <v>1980</v>
      </c>
      <c r="B1981" s="6" t="str">
        <f aca="false">HYPERLINK("https://mncourtfraud.com/file/MCRO_27-CR-21-23233_Notice of Remote Hearing with Instructions_2023-08-29_20240430084215.pdf","MCRO_27-CR-21-23233_Notice of Remote Hearing with Instructions_2023-08-29_20240430084215.pdf")</f>
        <v>MCRO_27-CR-21-23233_Notice of Remote Hearing with Instructions_2023-08-29_20240430084215.pdf</v>
      </c>
      <c r="C1981" s="1" t="n">
        <v>5</v>
      </c>
      <c r="D1981" s="1" t="n">
        <v>1</v>
      </c>
      <c r="E1981" s="1" t="n">
        <v>1</v>
      </c>
      <c r="F1981" s="3" t="s">
        <v>20</v>
      </c>
      <c r="G1981" s="3" t="s">
        <v>8081</v>
      </c>
      <c r="H1981" s="1" t="s">
        <v>22</v>
      </c>
      <c r="I1981" s="1" t="n">
        <v>20240430084215</v>
      </c>
      <c r="J1981" s="3" t="s">
        <v>8082</v>
      </c>
      <c r="K1981" s="3" t="s">
        <v>8083</v>
      </c>
      <c r="L1981" s="3" t="s">
        <v>8084</v>
      </c>
      <c r="M1981" s="3" t="n">
        <v>844620</v>
      </c>
      <c r="N1981" s="3" t="s">
        <v>1579</v>
      </c>
      <c r="O1981" s="1" t="n">
        <v>828234</v>
      </c>
      <c r="P1981" s="1" t="n">
        <v>98.06</v>
      </c>
      <c r="Q1981" s="1" t="s">
        <v>20</v>
      </c>
      <c r="R1981" s="1" t="s">
        <v>27</v>
      </c>
      <c r="S1981" s="1" t="s">
        <v>28</v>
      </c>
      <c r="T1981" s="1" t="s">
        <v>29</v>
      </c>
    </row>
    <row r="1982" customFormat="false" ht="18.7" hidden="false" customHeight="true" outlineLevel="0" collapsed="false">
      <c r="A1982" s="1" t="n">
        <v>1981</v>
      </c>
      <c r="B1982" s="6" t="str">
        <f aca="false">HYPERLINK("https://mncourtfraud.com/file/MCRO_27-CR-21-23233_Notice of Remote Hearing with Instructions_2024-03-05_20240430084212.pdf","MCRO_27-CR-21-23233_Notice of Remote Hearing with Instructions_2024-03-05_20240430084212.pdf")</f>
        <v>MCRO_27-CR-21-23233_Notice of Remote Hearing with Instructions_2024-03-05_20240430084212.pdf</v>
      </c>
      <c r="C1982" s="1" t="n">
        <v>4</v>
      </c>
      <c r="D1982" s="1" t="n">
        <v>1</v>
      </c>
      <c r="E1982" s="1" t="n">
        <v>1</v>
      </c>
      <c r="F1982" s="3" t="s">
        <v>20</v>
      </c>
      <c r="G1982" s="3" t="s">
        <v>8085</v>
      </c>
      <c r="H1982" s="1" t="s">
        <v>22</v>
      </c>
      <c r="I1982" s="1" t="n">
        <v>20240430084212</v>
      </c>
      <c r="J1982" s="3" t="s">
        <v>8086</v>
      </c>
      <c r="K1982" s="3" t="s">
        <v>8087</v>
      </c>
      <c r="L1982" s="3" t="s">
        <v>8088</v>
      </c>
      <c r="M1982" s="3" t="n">
        <v>255667</v>
      </c>
      <c r="N1982" s="3" t="s">
        <v>74</v>
      </c>
      <c r="O1982" s="1" t="n">
        <v>239281</v>
      </c>
      <c r="P1982" s="1" t="n">
        <v>93.59</v>
      </c>
      <c r="Q1982" s="1" t="s">
        <v>20</v>
      </c>
      <c r="R1982" s="1" t="s">
        <v>27</v>
      </c>
      <c r="S1982" s="1" t="s">
        <v>28</v>
      </c>
      <c r="T1982" s="1" t="s">
        <v>29</v>
      </c>
    </row>
    <row r="1983" customFormat="false" ht="18.7" hidden="false" customHeight="true" outlineLevel="0" collapsed="false">
      <c r="A1983" s="1" t="n">
        <v>1982</v>
      </c>
      <c r="B1983" s="6" t="str">
        <f aca="false">HYPERLINK("https://mncourtfraud.com/file/MCRO_27-CR-21-23233_Notice of Remote Hearing with Instructions_2024-03-12_20240430084209.pdf","MCRO_27-CR-21-23233_Notice of Remote Hearing with Instructions_2024-03-12_20240430084209.pdf")</f>
        <v>MCRO_27-CR-21-23233_Notice of Remote Hearing with Instructions_2024-03-12_20240430084209.pdf</v>
      </c>
      <c r="C1983" s="1" t="n">
        <v>4</v>
      </c>
      <c r="D1983" s="1" t="n">
        <v>1</v>
      </c>
      <c r="E1983" s="1" t="n">
        <v>1</v>
      </c>
      <c r="F1983" s="3" t="s">
        <v>20</v>
      </c>
      <c r="G1983" s="3" t="s">
        <v>8089</v>
      </c>
      <c r="H1983" s="1" t="s">
        <v>22</v>
      </c>
      <c r="I1983" s="1" t="n">
        <v>20240430084209</v>
      </c>
      <c r="J1983" s="3" t="s">
        <v>8090</v>
      </c>
      <c r="K1983" s="3" t="s">
        <v>8091</v>
      </c>
      <c r="L1983" s="3" t="s">
        <v>6530</v>
      </c>
      <c r="M1983" s="3" t="n">
        <v>255641</v>
      </c>
      <c r="N1983" s="3" t="s">
        <v>74</v>
      </c>
      <c r="O1983" s="1" t="n">
        <v>239255</v>
      </c>
      <c r="P1983" s="1" t="n">
        <v>93.59</v>
      </c>
      <c r="Q1983" s="1" t="s">
        <v>20</v>
      </c>
      <c r="R1983" s="1" t="s">
        <v>27</v>
      </c>
      <c r="S1983" s="1" t="s">
        <v>28</v>
      </c>
      <c r="T1983" s="1" t="s">
        <v>29</v>
      </c>
    </row>
    <row r="1984" customFormat="false" ht="18.7" hidden="false" customHeight="true" outlineLevel="0" collapsed="false">
      <c r="A1984" s="1" t="n">
        <v>1983</v>
      </c>
      <c r="B1984" s="6" t="str">
        <f aca="false">HYPERLINK("https://mncourtfraud.com/file/MCRO_27-CR-21-23233_Order-Evaluation for Competency to Proceed (Rule 20.01)_2022-01-19_20240430084228.pdf","MCRO_27-CR-21-23233_Order-Evaluation for Competency to Proceed (Rule 20.01)_2022-01-19_20240430084228.pdf")</f>
        <v>MCRO_27-CR-21-23233_Order-Evaluation for Competency to Proceed (Rule 20.01)_2022-01-19_20240430084228.pdf</v>
      </c>
      <c r="C1984" s="1" t="n">
        <v>7</v>
      </c>
      <c r="D1984" s="1" t="n">
        <v>5</v>
      </c>
      <c r="E1984" s="1" t="n">
        <v>5</v>
      </c>
      <c r="F1984" s="3" t="s">
        <v>20</v>
      </c>
      <c r="G1984" s="3" t="s">
        <v>8092</v>
      </c>
      <c r="H1984" s="1" t="s">
        <v>22</v>
      </c>
      <c r="I1984" s="1" t="n">
        <v>20240430084228</v>
      </c>
      <c r="J1984" s="3" t="s">
        <v>8093</v>
      </c>
      <c r="K1984" s="3" t="s">
        <v>8094</v>
      </c>
      <c r="L1984" s="3" t="s">
        <v>8095</v>
      </c>
      <c r="M1984" s="3" t="n">
        <v>509748</v>
      </c>
      <c r="N1984" s="3" t="s">
        <v>564</v>
      </c>
      <c r="O1984" s="1" t="n">
        <v>493362</v>
      </c>
      <c r="P1984" s="1" t="n">
        <v>96.79</v>
      </c>
      <c r="Q1984" s="1" t="s">
        <v>20</v>
      </c>
      <c r="R1984" s="1" t="s">
        <v>27</v>
      </c>
      <c r="S1984" s="1" t="s">
        <v>28</v>
      </c>
      <c r="T1984" s="1" t="s">
        <v>29</v>
      </c>
    </row>
    <row r="1985" customFormat="false" ht="18.7" hidden="false" customHeight="true" outlineLevel="0" collapsed="false">
      <c r="A1985" s="1" t="n">
        <v>1984</v>
      </c>
      <c r="B1985" s="6" t="str">
        <f aca="false">HYPERLINK("https://mncourtfraud.com/file/MCRO_27-CR-21-23233_Order-Evaluation for Competency to Proceed (Rule 20.01)_2022-06-14_20240430084221.pdf","MCRO_27-CR-21-23233_Order-Evaluation for Competency to Proceed (Rule 20.01)_2022-06-14_20240430084221.pdf")</f>
        <v>MCRO_27-CR-21-23233_Order-Evaluation for Competency to Proceed (Rule 20.01)_2022-06-14_20240430084221.pdf</v>
      </c>
      <c r="C1985" s="1" t="n">
        <v>6</v>
      </c>
      <c r="D1985" s="1" t="n">
        <v>1</v>
      </c>
      <c r="E1985" s="1" t="n">
        <v>1</v>
      </c>
      <c r="F1985" s="3" t="s">
        <v>20</v>
      </c>
      <c r="G1985" s="3" t="s">
        <v>8096</v>
      </c>
      <c r="H1985" s="1" t="s">
        <v>22</v>
      </c>
      <c r="I1985" s="1" t="n">
        <v>20240430084221</v>
      </c>
      <c r="J1985" s="3" t="s">
        <v>8097</v>
      </c>
      <c r="K1985" s="3" t="s">
        <v>8098</v>
      </c>
      <c r="L1985" s="3" t="s">
        <v>8099</v>
      </c>
      <c r="M1985" s="3" t="n">
        <v>829222</v>
      </c>
      <c r="N1985" s="3" t="s">
        <v>1614</v>
      </c>
      <c r="O1985" s="1" t="n">
        <v>812836</v>
      </c>
      <c r="P1985" s="1" t="n">
        <v>98.02</v>
      </c>
      <c r="Q1985" s="1" t="s">
        <v>20</v>
      </c>
      <c r="R1985" s="1" t="s">
        <v>27</v>
      </c>
      <c r="S1985" s="1" t="s">
        <v>28</v>
      </c>
      <c r="T1985" s="1" t="s">
        <v>29</v>
      </c>
    </row>
    <row r="1986" customFormat="false" ht="18.7" hidden="false" customHeight="true" outlineLevel="0" collapsed="false">
      <c r="A1986" s="1" t="n">
        <v>1985</v>
      </c>
      <c r="B1986" s="6" t="str">
        <f aca="false">HYPERLINK("https://mncourtfraud.com/file/MCRO_27-CR-21-23233_Order-Evaluation for Competency to Proceed (Rule 20.01)_2022-12-27_20240430084218.pdf","MCRO_27-CR-21-23233_Order-Evaluation for Competency to Proceed (Rule 20.01)_2022-12-27_20240430084218.pdf")</f>
        <v>MCRO_27-CR-21-23233_Order-Evaluation for Competency to Proceed (Rule 20.01)_2022-12-27_20240430084218.pdf</v>
      </c>
      <c r="C1986" s="1" t="n">
        <v>6</v>
      </c>
      <c r="D1986" s="1" t="n">
        <v>1</v>
      </c>
      <c r="E1986" s="1" t="n">
        <v>1</v>
      </c>
      <c r="F1986" s="3" t="s">
        <v>20</v>
      </c>
      <c r="G1986" s="3" t="s">
        <v>8100</v>
      </c>
      <c r="H1986" s="1" t="s">
        <v>22</v>
      </c>
      <c r="I1986" s="1" t="n">
        <v>20240430084218</v>
      </c>
      <c r="J1986" s="3" t="s">
        <v>8101</v>
      </c>
      <c r="K1986" s="3" t="s">
        <v>8102</v>
      </c>
      <c r="L1986" s="3" t="s">
        <v>8103</v>
      </c>
      <c r="M1986" s="3" t="n">
        <v>823505</v>
      </c>
      <c r="N1986" s="3" t="s">
        <v>1619</v>
      </c>
      <c r="O1986" s="1" t="n">
        <v>807119</v>
      </c>
      <c r="P1986" s="1" t="n">
        <v>98.01</v>
      </c>
      <c r="Q1986" s="1" t="s">
        <v>20</v>
      </c>
      <c r="R1986" s="1" t="s">
        <v>27</v>
      </c>
      <c r="S1986" s="1" t="s">
        <v>28</v>
      </c>
      <c r="T1986" s="1" t="s">
        <v>29</v>
      </c>
    </row>
    <row r="1987" customFormat="false" ht="18.7" hidden="false" customHeight="true" outlineLevel="0" collapsed="false">
      <c r="A1987" s="1" t="n">
        <v>1986</v>
      </c>
      <c r="B1987" s="6" t="str">
        <f aca="false">HYPERLINK("https://mncourtfraud.com/file/MCRO_27-CR-21-23233_Order-Evaluation for Competency to Proceed (Rule 20.01)_2023-01-11_20240430084217.pdf","MCRO_27-CR-21-23233_Order-Evaluation for Competency to Proceed (Rule 20.01)_2023-01-11_20240430084217.pdf")</f>
        <v>MCRO_27-CR-21-23233_Order-Evaluation for Competency to Proceed (Rule 20.01)_2023-01-11_20240430084217.pdf</v>
      </c>
      <c r="C1987" s="1" t="n">
        <v>6</v>
      </c>
      <c r="D1987" s="1" t="n">
        <v>2</v>
      </c>
      <c r="E1987" s="1" t="n">
        <v>2</v>
      </c>
      <c r="F1987" s="3" t="s">
        <v>27</v>
      </c>
      <c r="G1987" s="3" t="s">
        <v>8104</v>
      </c>
      <c r="H1987" s="1" t="s">
        <v>22</v>
      </c>
      <c r="I1987" s="1" t="n">
        <v>20240430084217</v>
      </c>
      <c r="J1987" s="3" t="s">
        <v>8105</v>
      </c>
      <c r="K1987" s="3" t="s">
        <v>8106</v>
      </c>
      <c r="L1987" s="3" t="s">
        <v>2135</v>
      </c>
      <c r="M1987" s="3" t="n">
        <v>913098</v>
      </c>
      <c r="N1987" s="3" t="s">
        <v>1624</v>
      </c>
      <c r="O1987" s="1" t="n">
        <v>896712</v>
      </c>
      <c r="P1987" s="1" t="n">
        <v>98.21</v>
      </c>
      <c r="Q1987" s="1" t="s">
        <v>20</v>
      </c>
      <c r="R1987" s="1" t="s">
        <v>27</v>
      </c>
      <c r="S1987" s="1" t="s">
        <v>28</v>
      </c>
      <c r="T1987" s="1" t="s">
        <v>29</v>
      </c>
    </row>
    <row r="1988" customFormat="false" ht="18.7" hidden="false" customHeight="true" outlineLevel="0" collapsed="false">
      <c r="A1988" s="1" t="n">
        <v>1987</v>
      </c>
      <c r="B1988" s="6" t="str">
        <f aca="false">HYPERLINK("https://mncourtfraud.com/file/MCRO_27-CR-21-23233_Order-Evaluation for Competency to Proceed (Rule 20.01)_2023-12-22_20240430084214.pdf","MCRO_27-CR-21-23233_Order-Evaluation for Competency to Proceed (Rule 20.01)_2023-12-22_20240430084214.pdf")</f>
        <v>MCRO_27-CR-21-23233_Order-Evaluation for Competency to Proceed (Rule 20.01)_2023-12-22_20240430084214.pdf</v>
      </c>
      <c r="C1988" s="1" t="n">
        <v>5</v>
      </c>
      <c r="D1988" s="1" t="n">
        <v>1</v>
      </c>
      <c r="E1988" s="1" t="n">
        <v>1</v>
      </c>
      <c r="F1988" s="3" t="s">
        <v>20</v>
      </c>
      <c r="G1988" s="3" t="s">
        <v>8107</v>
      </c>
      <c r="H1988" s="1" t="s">
        <v>22</v>
      </c>
      <c r="I1988" s="1" t="n">
        <v>20240430084214</v>
      </c>
      <c r="J1988" s="3" t="s">
        <v>8108</v>
      </c>
      <c r="K1988" s="3" t="s">
        <v>8109</v>
      </c>
      <c r="L1988" s="3" t="s">
        <v>5313</v>
      </c>
      <c r="M1988" s="3" t="n">
        <v>761666</v>
      </c>
      <c r="N1988" s="3" t="s">
        <v>1091</v>
      </c>
      <c r="O1988" s="1" t="n">
        <v>745280</v>
      </c>
      <c r="P1988" s="1" t="n">
        <v>97.85</v>
      </c>
      <c r="Q1988" s="1" t="s">
        <v>20</v>
      </c>
      <c r="R1988" s="1" t="s">
        <v>27</v>
      </c>
      <c r="S1988" s="1" t="s">
        <v>28</v>
      </c>
      <c r="T1988" s="1" t="s">
        <v>29</v>
      </c>
    </row>
    <row r="1989" customFormat="false" ht="18.7" hidden="false" customHeight="true" outlineLevel="0" collapsed="false">
      <c r="A1989" s="1" t="n">
        <v>1988</v>
      </c>
      <c r="B1989" s="6" t="str">
        <f aca="false">HYPERLINK("https://mncourtfraud.com/file/MCRO_27-CR-21-23233_Order for Conditional Release_2021-12-20_20240430084230.pdf","MCRO_27-CR-21-23233_Order for Conditional Release_2021-12-20_20240430084230.pdf")</f>
        <v>MCRO_27-CR-21-23233_Order for Conditional Release_2021-12-20_20240430084230.pdf</v>
      </c>
      <c r="C1989" s="1" t="n">
        <v>4</v>
      </c>
      <c r="D1989" s="1" t="n">
        <v>1</v>
      </c>
      <c r="E1989" s="1" t="n">
        <v>1</v>
      </c>
      <c r="F1989" s="3" t="s">
        <v>20</v>
      </c>
      <c r="G1989" s="3" t="s">
        <v>8110</v>
      </c>
      <c r="H1989" s="1" t="s">
        <v>22</v>
      </c>
      <c r="I1989" s="1" t="n">
        <v>20240430084230</v>
      </c>
      <c r="J1989" s="3" t="s">
        <v>8111</v>
      </c>
      <c r="K1989" s="3" t="s">
        <v>8112</v>
      </c>
      <c r="L1989" s="3" t="s">
        <v>8113</v>
      </c>
      <c r="M1989" s="3" t="n">
        <v>156932</v>
      </c>
      <c r="N1989" s="3" t="s">
        <v>777</v>
      </c>
      <c r="O1989" s="1" t="n">
        <v>140546</v>
      </c>
      <c r="P1989" s="1" t="n">
        <v>89.56</v>
      </c>
      <c r="Q1989" s="1" t="s">
        <v>20</v>
      </c>
      <c r="R1989" s="1" t="s">
        <v>27</v>
      </c>
      <c r="S1989" s="1" t="s">
        <v>28</v>
      </c>
      <c r="T1989" s="1" t="s">
        <v>29</v>
      </c>
    </row>
    <row r="1990" customFormat="false" ht="18.7" hidden="false" customHeight="true" outlineLevel="0" collapsed="false">
      <c r="A1990" s="1" t="n">
        <v>1989</v>
      </c>
      <c r="B1990" s="6" t="str">
        <f aca="false">HYPERLINK("https://mncourtfraud.com/file/MCRO_27-CR-21-23233_Order for Conditional Release_2022-02-16_20240430084227.pdf","MCRO_27-CR-21-23233_Order for Conditional Release_2022-02-16_20240430084227.pdf")</f>
        <v>MCRO_27-CR-21-23233_Order for Conditional Release_2022-02-16_20240430084227.pdf</v>
      </c>
      <c r="C1990" s="1" t="n">
        <v>10</v>
      </c>
      <c r="D1990" s="1" t="n">
        <v>2</v>
      </c>
      <c r="E1990" s="1" t="n">
        <v>2</v>
      </c>
      <c r="F1990" s="3" t="s">
        <v>20</v>
      </c>
      <c r="G1990" s="3" t="s">
        <v>8114</v>
      </c>
      <c r="H1990" s="1" t="s">
        <v>22</v>
      </c>
      <c r="I1990" s="1" t="n">
        <v>20240430084227</v>
      </c>
      <c r="J1990" s="3" t="s">
        <v>8115</v>
      </c>
      <c r="K1990" s="3" t="s">
        <v>8116</v>
      </c>
      <c r="L1990" s="3" t="s">
        <v>8117</v>
      </c>
      <c r="M1990" s="3" t="n">
        <v>1167054</v>
      </c>
      <c r="N1990" s="3" t="s">
        <v>1645</v>
      </c>
      <c r="O1990" s="1" t="n">
        <v>1150668</v>
      </c>
      <c r="P1990" s="1" t="n">
        <v>98.6</v>
      </c>
      <c r="Q1990" s="1" t="s">
        <v>20</v>
      </c>
      <c r="R1990" s="1" t="s">
        <v>27</v>
      </c>
      <c r="S1990" s="1" t="s">
        <v>28</v>
      </c>
      <c r="T1990" s="1" t="s">
        <v>29</v>
      </c>
    </row>
    <row r="1991" customFormat="false" ht="18.7" hidden="false" customHeight="true" outlineLevel="0" collapsed="false">
      <c r="A1991" s="1" t="n">
        <v>1990</v>
      </c>
      <c r="B1991" s="6" t="str">
        <f aca="false">HYPERLINK("https://mncourtfraud.com/file/MCRO_27-CR-21-23233_Order for Conditional Release_2022-03-11_20240430084223.pdf","MCRO_27-CR-21-23233_Order for Conditional Release_2022-03-11_20240430084223.pdf")</f>
        <v>MCRO_27-CR-21-23233_Order for Conditional Release_2022-03-11_20240430084223.pdf</v>
      </c>
      <c r="C1991" s="1" t="n">
        <v>3</v>
      </c>
      <c r="D1991" s="1" t="n">
        <v>1</v>
      </c>
      <c r="E1991" s="1" t="n">
        <v>1</v>
      </c>
      <c r="F1991" s="3" t="s">
        <v>20</v>
      </c>
      <c r="G1991" s="3" t="s">
        <v>8118</v>
      </c>
      <c r="H1991" s="1" t="s">
        <v>22</v>
      </c>
      <c r="I1991" s="1" t="n">
        <v>20240430084223</v>
      </c>
      <c r="J1991" s="3" t="s">
        <v>8119</v>
      </c>
      <c r="K1991" s="3" t="s">
        <v>8120</v>
      </c>
      <c r="L1991" s="3" t="s">
        <v>8121</v>
      </c>
      <c r="M1991" s="3" t="n">
        <v>194382</v>
      </c>
      <c r="N1991" s="3" t="s">
        <v>1316</v>
      </c>
      <c r="O1991" s="1" t="n">
        <v>177996</v>
      </c>
      <c r="P1991" s="1" t="n">
        <v>91.57</v>
      </c>
      <c r="Q1991" s="1" t="s">
        <v>20</v>
      </c>
      <c r="R1991" s="1" t="s">
        <v>27</v>
      </c>
      <c r="S1991" s="1" t="s">
        <v>28</v>
      </c>
      <c r="T1991" s="1" t="s">
        <v>29</v>
      </c>
    </row>
    <row r="1992" customFormat="false" ht="18.7" hidden="false" customHeight="true" outlineLevel="0" collapsed="false">
      <c r="A1992" s="1" t="n">
        <v>1991</v>
      </c>
      <c r="B1992" s="6" t="str">
        <f aca="false">HYPERLINK("https://mncourtfraud.com/file/MCRO_27-CR-21-23233_Proposed Order or Document_2022-11-07_20240430084219.pdf","MCRO_27-CR-21-23233_Proposed Order or Document_2022-11-07_20240430084219.pdf")</f>
        <v>MCRO_27-CR-21-23233_Proposed Order or Document_2022-11-07_20240430084219.pdf</v>
      </c>
      <c r="C1992" s="1" t="n">
        <v>3</v>
      </c>
      <c r="D1992" s="1" t="n">
        <v>1</v>
      </c>
      <c r="E1992" s="1" t="n">
        <v>1</v>
      </c>
      <c r="F1992" s="3" t="s">
        <v>20</v>
      </c>
      <c r="G1992" s="3" t="s">
        <v>8122</v>
      </c>
      <c r="H1992" s="1" t="s">
        <v>22</v>
      </c>
      <c r="I1992" s="1" t="n">
        <v>20240430084219</v>
      </c>
      <c r="J1992" s="3" t="s">
        <v>8123</v>
      </c>
      <c r="K1992" s="3" t="s">
        <v>8124</v>
      </c>
      <c r="L1992" s="3" t="s">
        <v>8125</v>
      </c>
      <c r="M1992" s="3" t="n">
        <v>178717</v>
      </c>
      <c r="N1992" s="3" t="s">
        <v>1673</v>
      </c>
      <c r="O1992" s="1" t="n">
        <v>162331</v>
      </c>
      <c r="P1992" s="1" t="n">
        <v>90.83</v>
      </c>
      <c r="Q1992" s="1" t="s">
        <v>20</v>
      </c>
      <c r="R1992" s="1" t="s">
        <v>27</v>
      </c>
      <c r="S1992" s="1" t="s">
        <v>28</v>
      </c>
      <c r="T1992" s="1" t="s">
        <v>29</v>
      </c>
    </row>
    <row r="1993" customFormat="false" ht="18.7" hidden="false" customHeight="true" outlineLevel="0" collapsed="false">
      <c r="A1993" s="1" t="n">
        <v>1992</v>
      </c>
      <c r="B1993" s="6" t="str">
        <f aca="false">HYPERLINK("https://mncourtfraud.com/file/MCRO_27-CR-21-23233_Returned Mail_2024-03-19_20240430084207.pdf","MCRO_27-CR-21-23233_Returned Mail_2024-03-19_20240430084207.pdf")</f>
        <v>MCRO_27-CR-21-23233_Returned Mail_2024-03-19_20240430084207.pdf</v>
      </c>
      <c r="C1993" s="1" t="n">
        <v>4</v>
      </c>
      <c r="D1993" s="1" t="n">
        <v>1</v>
      </c>
      <c r="E1993" s="1" t="n">
        <v>1</v>
      </c>
      <c r="F1993" s="3" t="s">
        <v>20</v>
      </c>
      <c r="G1993" s="3" t="s">
        <v>8126</v>
      </c>
      <c r="H1993" s="1" t="s">
        <v>22</v>
      </c>
      <c r="I1993" s="1" t="n">
        <v>20240430084207</v>
      </c>
      <c r="J1993" s="3" t="s">
        <v>8127</v>
      </c>
      <c r="K1993" s="3" t="s">
        <v>8128</v>
      </c>
      <c r="L1993" s="3" t="s">
        <v>8129</v>
      </c>
      <c r="M1993" s="3" t="n">
        <v>88428</v>
      </c>
      <c r="N1993" s="3" t="s">
        <v>435</v>
      </c>
      <c r="O1993" s="1" t="n">
        <v>72042</v>
      </c>
      <c r="P1993" s="1" t="n">
        <v>81.47</v>
      </c>
      <c r="Q1993" s="1" t="s">
        <v>20</v>
      </c>
      <c r="R1993" s="1" t="s">
        <v>27</v>
      </c>
      <c r="S1993" s="1" t="s">
        <v>28</v>
      </c>
      <c r="T1993" s="1" t="s">
        <v>29</v>
      </c>
    </row>
    <row r="1994" customFormat="false" ht="18.7" hidden="false" customHeight="true" outlineLevel="0" collapsed="false">
      <c r="A1994" s="1" t="n">
        <v>1993</v>
      </c>
      <c r="B1994" s="6" t="str">
        <f aca="false">HYPERLINK("https://mncourtfraud.com/file/MCRO_27-CR-21-23456_Assignment of Bail_2022-05-27_20240430084331.pdf","MCRO_27-CR-21-23456_Assignment of Bail_2022-05-27_20240430084331.pdf")</f>
        <v>MCRO_27-CR-21-23456_Assignment of Bail_2022-05-27_20240430084331.pdf</v>
      </c>
      <c r="C1994" s="1" t="n">
        <v>4</v>
      </c>
      <c r="D1994" s="1" t="n">
        <v>1</v>
      </c>
      <c r="E1994" s="1" t="n">
        <v>1</v>
      </c>
      <c r="F1994" s="3" t="s">
        <v>20</v>
      </c>
      <c r="G1994" s="3" t="s">
        <v>8130</v>
      </c>
      <c r="H1994" s="1" t="s">
        <v>22</v>
      </c>
      <c r="I1994" s="1" t="n">
        <v>20240430084331</v>
      </c>
      <c r="J1994" s="3" t="s">
        <v>8131</v>
      </c>
      <c r="K1994" s="3" t="s">
        <v>8132</v>
      </c>
      <c r="L1994" s="3" t="s">
        <v>8133</v>
      </c>
      <c r="M1994" s="3" t="n">
        <v>197437</v>
      </c>
      <c r="N1994" s="3" t="s">
        <v>1086</v>
      </c>
      <c r="O1994" s="1" t="n">
        <v>181051</v>
      </c>
      <c r="P1994" s="1" t="n">
        <v>91.7</v>
      </c>
      <c r="Q1994" s="1" t="s">
        <v>20</v>
      </c>
      <c r="R1994" s="1" t="s">
        <v>27</v>
      </c>
      <c r="S1994" s="1" t="s">
        <v>28</v>
      </c>
      <c r="T1994" s="1" t="s">
        <v>29</v>
      </c>
    </row>
    <row r="1995" customFormat="false" ht="18.7" hidden="false" customHeight="true" outlineLevel="0" collapsed="false">
      <c r="A1995" s="1" t="n">
        <v>1994</v>
      </c>
      <c r="B1995" s="6" t="str">
        <f aca="false">HYPERLINK("https://mncourtfraud.com/file/MCRO_27-CR-21-23456_Correspondence_2022-06-17_20240430084330.pdf","MCRO_27-CR-21-23456_Correspondence_2022-06-17_20240430084330.pdf")</f>
        <v>MCRO_27-CR-21-23456_Correspondence_2022-06-17_20240430084330.pdf</v>
      </c>
      <c r="C1995" s="1" t="n">
        <v>3</v>
      </c>
      <c r="D1995" s="1" t="n">
        <v>1</v>
      </c>
      <c r="E1995" s="1" t="n">
        <v>1</v>
      </c>
      <c r="F1995" s="3" t="s">
        <v>20</v>
      </c>
      <c r="G1995" s="3" t="s">
        <v>8134</v>
      </c>
      <c r="H1995" s="1" t="s">
        <v>22</v>
      </c>
      <c r="I1995" s="1" t="n">
        <v>20240430084330</v>
      </c>
      <c r="J1995" s="3" t="s">
        <v>8135</v>
      </c>
      <c r="K1995" s="3" t="s">
        <v>8136</v>
      </c>
      <c r="L1995" s="3" t="s">
        <v>8137</v>
      </c>
      <c r="M1995" s="3" t="n">
        <v>225176</v>
      </c>
      <c r="N1995" s="3" t="s">
        <v>8138</v>
      </c>
      <c r="O1995" s="1" t="n">
        <v>208790</v>
      </c>
      <c r="P1995" s="1" t="n">
        <v>92.72</v>
      </c>
      <c r="Q1995" s="1" t="s">
        <v>20</v>
      </c>
      <c r="R1995" s="1" t="s">
        <v>27</v>
      </c>
      <c r="S1995" s="1" t="s">
        <v>28</v>
      </c>
      <c r="T1995" s="1" t="s">
        <v>29</v>
      </c>
    </row>
    <row r="1996" customFormat="false" ht="18.7" hidden="false" customHeight="true" outlineLevel="0" collapsed="false">
      <c r="A1996" s="1" t="n">
        <v>1995</v>
      </c>
      <c r="B1996" s="6" t="str">
        <f aca="false">HYPERLINK("https://mncourtfraud.com/file/MCRO_27-CR-21-23456_Demand or Request for Discovery_2021-12-27_20240430084344.pdf","MCRO_27-CR-21-23456_Demand or Request for Discovery_2021-12-27_20240430084344.pdf")</f>
        <v>MCRO_27-CR-21-23456_Demand or Request for Discovery_2021-12-27_20240430084344.pdf</v>
      </c>
      <c r="C1996" s="1" t="n">
        <v>3</v>
      </c>
      <c r="D1996" s="1" t="n">
        <v>1</v>
      </c>
      <c r="E1996" s="1" t="n">
        <v>1</v>
      </c>
      <c r="F1996" s="3" t="s">
        <v>20</v>
      </c>
      <c r="G1996" s="3" t="s">
        <v>8139</v>
      </c>
      <c r="H1996" s="1" t="s">
        <v>22</v>
      </c>
      <c r="I1996" s="1" t="n">
        <v>20240430084344</v>
      </c>
      <c r="J1996" s="3" t="s">
        <v>8140</v>
      </c>
      <c r="K1996" s="3" t="s">
        <v>8141</v>
      </c>
      <c r="L1996" s="3" t="s">
        <v>8142</v>
      </c>
      <c r="M1996" s="3" t="n">
        <v>303077</v>
      </c>
      <c r="N1996" s="3" t="s">
        <v>8143</v>
      </c>
      <c r="O1996" s="1" t="n">
        <v>286691</v>
      </c>
      <c r="P1996" s="1" t="n">
        <v>94.59</v>
      </c>
      <c r="Q1996" s="1" t="s">
        <v>20</v>
      </c>
      <c r="R1996" s="1" t="s">
        <v>27</v>
      </c>
      <c r="S1996" s="1" t="s">
        <v>28</v>
      </c>
      <c r="T1996" s="1" t="s">
        <v>29</v>
      </c>
    </row>
    <row r="1997" customFormat="false" ht="18.7" hidden="false" customHeight="true" outlineLevel="0" collapsed="false">
      <c r="A1997" s="1" t="n">
        <v>1996</v>
      </c>
      <c r="B1997" s="6" t="str">
        <f aca="false">HYPERLINK("https://mncourtfraud.com/file/MCRO_27-CR-21-23456_E-filed Comp-Order for Detention_2021-12-21_20240430084347.pdf","MCRO_27-CR-21-23456_E-filed Comp-Order for Detention_2021-12-21_20240430084347.pdf")</f>
        <v>MCRO_27-CR-21-23456_E-filed Comp-Order for Detention_2021-12-21_20240430084347.pdf</v>
      </c>
      <c r="C1997" s="1" t="n">
        <v>4</v>
      </c>
      <c r="D1997" s="1" t="n">
        <v>2</v>
      </c>
      <c r="E1997" s="1" t="n">
        <v>2</v>
      </c>
      <c r="F1997" s="3" t="s">
        <v>20</v>
      </c>
      <c r="G1997" s="3" t="s">
        <v>8144</v>
      </c>
      <c r="H1997" s="1" t="s">
        <v>22</v>
      </c>
      <c r="I1997" s="1" t="n">
        <v>20240430084347</v>
      </c>
      <c r="J1997" s="3" t="s">
        <v>8145</v>
      </c>
      <c r="K1997" s="3" t="s">
        <v>8146</v>
      </c>
      <c r="L1997" s="3" t="s">
        <v>8147</v>
      </c>
      <c r="M1997" s="3" t="n">
        <v>497719</v>
      </c>
      <c r="N1997" s="3" t="s">
        <v>5604</v>
      </c>
      <c r="O1997" s="1" t="n">
        <v>481333</v>
      </c>
      <c r="P1997" s="1" t="n">
        <v>96.71</v>
      </c>
      <c r="Q1997" s="1" t="s">
        <v>20</v>
      </c>
      <c r="R1997" s="1" t="s">
        <v>27</v>
      </c>
      <c r="S1997" s="1" t="s">
        <v>28</v>
      </c>
      <c r="T1997" s="1" t="s">
        <v>29</v>
      </c>
    </row>
    <row r="1998" customFormat="false" ht="18.7" hidden="false" customHeight="true" outlineLevel="0" collapsed="false">
      <c r="A1998" s="1" t="n">
        <v>1997</v>
      </c>
      <c r="B1998" s="6" t="str">
        <f aca="false">HYPERLINK("https://mncourtfraud.com/file/MCRO_27-CR-21-23456_Finding of Incompetency and Order_2023-07-12_20240430084309.pdf","MCRO_27-CR-21-23456_Finding of Incompetency and Order_2023-07-12_20240430084309.pdf")</f>
        <v>MCRO_27-CR-21-23456_Finding of Incompetency and Order_2023-07-12_20240430084309.pdf</v>
      </c>
      <c r="C1998" s="1" t="n">
        <v>9</v>
      </c>
      <c r="D1998" s="1" t="n">
        <v>3</v>
      </c>
      <c r="E1998" s="1" t="n">
        <v>3</v>
      </c>
      <c r="F1998" s="3" t="s">
        <v>27</v>
      </c>
      <c r="G1998" s="3" t="s">
        <v>8148</v>
      </c>
      <c r="H1998" s="1" t="s">
        <v>22</v>
      </c>
      <c r="I1998" s="1" t="n">
        <v>20240430084309</v>
      </c>
      <c r="J1998" s="3" t="s">
        <v>8149</v>
      </c>
      <c r="K1998" s="3" t="s">
        <v>8150</v>
      </c>
      <c r="L1998" s="3" t="s">
        <v>6579</v>
      </c>
      <c r="M1998" s="3" t="n">
        <v>927759</v>
      </c>
      <c r="N1998" s="3" t="s">
        <v>6172</v>
      </c>
      <c r="O1998" s="1" t="n">
        <v>911373</v>
      </c>
      <c r="P1998" s="1" t="n">
        <v>98.23</v>
      </c>
      <c r="Q1998" s="1" t="s">
        <v>20</v>
      </c>
      <c r="R1998" s="1" t="s">
        <v>27</v>
      </c>
      <c r="S1998" s="1" t="s">
        <v>28</v>
      </c>
      <c r="T1998" s="1" t="s">
        <v>29</v>
      </c>
    </row>
    <row r="1999" customFormat="false" ht="18.7" hidden="false" customHeight="true" outlineLevel="0" collapsed="false">
      <c r="A1999" s="1" t="n">
        <v>1998</v>
      </c>
      <c r="B1999" s="6" t="str">
        <f aca="false">HYPERLINK("https://mncourtfraud.com/file/MCRO_27-CR-21-23456_Findings and Order_2022-08-16_20240430084322.pdf","MCRO_27-CR-21-23456_Findings and Order_2022-08-16_20240430084322.pdf")</f>
        <v>MCRO_27-CR-21-23456_Findings and Order_2022-08-16_20240430084322.pdf</v>
      </c>
      <c r="C1999" s="1" t="n">
        <v>4</v>
      </c>
      <c r="D1999" s="1" t="n">
        <v>2</v>
      </c>
      <c r="E1999" s="1" t="n">
        <v>2</v>
      </c>
      <c r="F1999" s="3" t="s">
        <v>20</v>
      </c>
      <c r="G1999" s="3" t="s">
        <v>8151</v>
      </c>
      <c r="H1999" s="1" t="s">
        <v>22</v>
      </c>
      <c r="I1999" s="1" t="n">
        <v>20240430084322</v>
      </c>
      <c r="J1999" s="3" t="s">
        <v>8152</v>
      </c>
      <c r="K1999" s="3" t="s">
        <v>8153</v>
      </c>
      <c r="L1999" s="3" t="s">
        <v>8154</v>
      </c>
      <c r="M1999" s="3" t="n">
        <v>328771</v>
      </c>
      <c r="N1999" s="3" t="s">
        <v>6588</v>
      </c>
      <c r="O1999" s="1" t="n">
        <v>312385</v>
      </c>
      <c r="P1999" s="1" t="n">
        <v>95.02</v>
      </c>
      <c r="Q1999" s="1" t="s">
        <v>20</v>
      </c>
      <c r="R1999" s="1" t="s">
        <v>27</v>
      </c>
      <c r="S1999" s="1" t="s">
        <v>28</v>
      </c>
      <c r="T1999" s="1" t="s">
        <v>29</v>
      </c>
    </row>
    <row r="2000" customFormat="false" ht="18.7" hidden="false" customHeight="true" outlineLevel="0" collapsed="false">
      <c r="A2000" s="1" t="n">
        <v>1999</v>
      </c>
      <c r="B2000" s="6" t="str">
        <f aca="false">HYPERLINK("https://mncourtfraud.com/file/MCRO_27-CR-21-23456_Notice of Hearing_2024-03-11_20240430084304.pdf","MCRO_27-CR-21-23456_Notice of Hearing_2024-03-11_20240430084304.pdf")</f>
        <v>MCRO_27-CR-21-23456_Notice of Hearing_2024-03-11_20240430084304.pdf</v>
      </c>
      <c r="C2000" s="1" t="n">
        <v>4</v>
      </c>
      <c r="D2000" s="1" t="n">
        <v>1</v>
      </c>
      <c r="E2000" s="1" t="n">
        <v>1</v>
      </c>
      <c r="F2000" s="3" t="s">
        <v>20</v>
      </c>
      <c r="G2000" s="3" t="s">
        <v>8155</v>
      </c>
      <c r="H2000" s="1" t="s">
        <v>22</v>
      </c>
      <c r="I2000" s="1" t="n">
        <v>20240430084304</v>
      </c>
      <c r="J2000" s="3" t="s">
        <v>8156</v>
      </c>
      <c r="K2000" s="3" t="s">
        <v>8157</v>
      </c>
      <c r="L2000" s="3" t="s">
        <v>8158</v>
      </c>
      <c r="M2000" s="3" t="n">
        <v>460835</v>
      </c>
      <c r="N2000" s="3" t="s">
        <v>158</v>
      </c>
      <c r="O2000" s="1" t="n">
        <v>444449</v>
      </c>
      <c r="P2000" s="1" t="n">
        <v>96.44</v>
      </c>
      <c r="Q2000" s="1" t="s">
        <v>20</v>
      </c>
      <c r="R2000" s="1" t="s">
        <v>27</v>
      </c>
      <c r="S2000" s="1" t="s">
        <v>28</v>
      </c>
      <c r="T2000" s="1" t="s">
        <v>29</v>
      </c>
    </row>
    <row r="2001" customFormat="false" ht="18.7" hidden="false" customHeight="true" outlineLevel="0" collapsed="false">
      <c r="A2001" s="1" t="n">
        <v>2000</v>
      </c>
      <c r="B2001" s="6" t="str">
        <f aca="false">HYPERLINK("https://mncourtfraud.com/file/MCRO_27-CR-21-23456_Notice of Remote Hearing with Instructions_2021-12-22_20240430084345.pdf","MCRO_27-CR-21-23456_Notice of Remote Hearing with Instructions_2021-12-22_20240430084345.pdf")</f>
        <v>MCRO_27-CR-21-23456_Notice of Remote Hearing with Instructions_2021-12-22_20240430084345.pdf</v>
      </c>
      <c r="C2001" s="1" t="n">
        <v>5</v>
      </c>
      <c r="D2001" s="1" t="n">
        <v>1</v>
      </c>
      <c r="E2001" s="1" t="n">
        <v>1</v>
      </c>
      <c r="F2001" s="3" t="s">
        <v>20</v>
      </c>
      <c r="G2001" s="3" t="s">
        <v>8159</v>
      </c>
      <c r="H2001" s="1" t="s">
        <v>22</v>
      </c>
      <c r="I2001" s="1" t="n">
        <v>20240430084345</v>
      </c>
      <c r="J2001" s="3" t="s">
        <v>8160</v>
      </c>
      <c r="K2001" s="3" t="s">
        <v>8161</v>
      </c>
      <c r="L2001" s="3" t="s">
        <v>8162</v>
      </c>
      <c r="M2001" s="3" t="n">
        <v>839665</v>
      </c>
      <c r="N2001" s="3" t="s">
        <v>849</v>
      </c>
      <c r="O2001" s="1" t="n">
        <v>823279</v>
      </c>
      <c r="P2001" s="1" t="n">
        <v>98.05</v>
      </c>
      <c r="Q2001" s="1" t="s">
        <v>20</v>
      </c>
      <c r="R2001" s="1" t="s">
        <v>27</v>
      </c>
      <c r="S2001" s="1" t="s">
        <v>28</v>
      </c>
      <c r="T2001" s="1" t="s">
        <v>29</v>
      </c>
    </row>
    <row r="2002" customFormat="false" ht="18.7" hidden="false" customHeight="true" outlineLevel="0" collapsed="false">
      <c r="A2002" s="1" t="n">
        <v>2001</v>
      </c>
      <c r="B2002" s="6" t="str">
        <f aca="false">HYPERLINK("https://mncourtfraud.com/file/MCRO_27-CR-21-23456_Notice of Remote Hearing with Instructions_2022-03-14_20240430084333.pdf","MCRO_27-CR-21-23456_Notice of Remote Hearing with Instructions_2022-03-14_20240430084333.pdf")</f>
        <v>MCRO_27-CR-21-23456_Notice of Remote Hearing with Instructions_2022-03-14_20240430084333.pdf</v>
      </c>
      <c r="C2002" s="1" t="n">
        <v>6</v>
      </c>
      <c r="D2002" s="1" t="n">
        <v>1</v>
      </c>
      <c r="E2002" s="1" t="n">
        <v>1</v>
      </c>
      <c r="F2002" s="3" t="s">
        <v>20</v>
      </c>
      <c r="G2002" s="3" t="s">
        <v>8163</v>
      </c>
      <c r="H2002" s="1" t="s">
        <v>22</v>
      </c>
      <c r="I2002" s="1" t="n">
        <v>20240430084333</v>
      </c>
      <c r="J2002" s="3" t="s">
        <v>8164</v>
      </c>
      <c r="K2002" s="3" t="s">
        <v>8165</v>
      </c>
      <c r="L2002" s="3" t="s">
        <v>8166</v>
      </c>
      <c r="M2002" s="3" t="n">
        <v>240580</v>
      </c>
      <c r="N2002" s="3" t="s">
        <v>3445</v>
      </c>
      <c r="O2002" s="1" t="n">
        <v>224194</v>
      </c>
      <c r="P2002" s="1" t="n">
        <v>93.19</v>
      </c>
      <c r="Q2002" s="1" t="s">
        <v>20</v>
      </c>
      <c r="R2002" s="1" t="s">
        <v>27</v>
      </c>
      <c r="S2002" s="1" t="s">
        <v>28</v>
      </c>
      <c r="T2002" s="1" t="s">
        <v>29</v>
      </c>
    </row>
    <row r="2003" customFormat="false" ht="18.7" hidden="false" customHeight="true" outlineLevel="0" collapsed="false">
      <c r="A2003" s="1" t="n">
        <v>2002</v>
      </c>
      <c r="B2003" s="6" t="str">
        <f aca="false">HYPERLINK("https://mncourtfraud.com/file/MCRO_27-CR-21-23456_Notice of Remote Hearing with Instructions_2022-07-11_20240430084326.pdf","MCRO_27-CR-21-23456_Notice of Remote Hearing with Instructions_2022-07-11_20240430084326.pdf")</f>
        <v>MCRO_27-CR-21-23456_Notice of Remote Hearing with Instructions_2022-07-11_20240430084326.pdf</v>
      </c>
      <c r="C2003" s="1" t="n">
        <v>4</v>
      </c>
      <c r="D2003" s="1" t="n">
        <v>1</v>
      </c>
      <c r="E2003" s="1" t="n">
        <v>1</v>
      </c>
      <c r="F2003" s="3" t="s">
        <v>20</v>
      </c>
      <c r="G2003" s="3" t="s">
        <v>8167</v>
      </c>
      <c r="H2003" s="1" t="s">
        <v>22</v>
      </c>
      <c r="I2003" s="1" t="n">
        <v>20240430084326</v>
      </c>
      <c r="J2003" s="3" t="s">
        <v>8168</v>
      </c>
      <c r="K2003" s="3" t="s">
        <v>8169</v>
      </c>
      <c r="L2003" s="3" t="s">
        <v>8170</v>
      </c>
      <c r="M2003" s="3" t="n">
        <v>161924</v>
      </c>
      <c r="N2003" s="3" t="s">
        <v>1065</v>
      </c>
      <c r="O2003" s="1" t="n">
        <v>145538</v>
      </c>
      <c r="P2003" s="1" t="n">
        <v>89.88</v>
      </c>
      <c r="Q2003" s="1" t="s">
        <v>20</v>
      </c>
      <c r="R2003" s="1" t="s">
        <v>27</v>
      </c>
      <c r="S2003" s="1" t="s">
        <v>28</v>
      </c>
      <c r="T2003" s="1" t="s">
        <v>29</v>
      </c>
    </row>
    <row r="2004" customFormat="false" ht="18.7" hidden="false" customHeight="true" outlineLevel="0" collapsed="false">
      <c r="A2004" s="1" t="n">
        <v>2003</v>
      </c>
      <c r="B2004" s="6" t="str">
        <f aca="false">HYPERLINK("https://mncourtfraud.com/file/MCRO_27-CR-21-23456_Notice of Remote Hearing with Instructions_2022-07-11_20240430084327.pdf","MCRO_27-CR-21-23456_Notice of Remote Hearing with Instructions_2022-07-11_20240430084327.pdf")</f>
        <v>MCRO_27-CR-21-23456_Notice of Remote Hearing with Instructions_2022-07-11_20240430084327.pdf</v>
      </c>
      <c r="C2004" s="1" t="n">
        <v>4</v>
      </c>
      <c r="D2004" s="1" t="n">
        <v>1</v>
      </c>
      <c r="E2004" s="1" t="n">
        <v>1</v>
      </c>
      <c r="F2004" s="3" t="s">
        <v>20</v>
      </c>
      <c r="G2004" s="3" t="s">
        <v>8171</v>
      </c>
      <c r="H2004" s="1" t="s">
        <v>22</v>
      </c>
      <c r="I2004" s="1" t="n">
        <v>20240430084327</v>
      </c>
      <c r="J2004" s="3" t="s">
        <v>8172</v>
      </c>
      <c r="K2004" s="3" t="s">
        <v>8173</v>
      </c>
      <c r="L2004" s="3" t="s">
        <v>8174</v>
      </c>
      <c r="M2004" s="3" t="n">
        <v>161333</v>
      </c>
      <c r="N2004" s="3" t="s">
        <v>1065</v>
      </c>
      <c r="O2004" s="1" t="n">
        <v>144947</v>
      </c>
      <c r="P2004" s="1" t="n">
        <v>89.84</v>
      </c>
      <c r="Q2004" s="1" t="s">
        <v>20</v>
      </c>
      <c r="R2004" s="1" t="s">
        <v>27</v>
      </c>
      <c r="S2004" s="1" t="s">
        <v>28</v>
      </c>
      <c r="T2004" s="1" t="s">
        <v>29</v>
      </c>
    </row>
    <row r="2005" customFormat="false" ht="18.7" hidden="false" customHeight="true" outlineLevel="0" collapsed="false">
      <c r="A2005" s="1" t="n">
        <v>2004</v>
      </c>
      <c r="B2005" s="6" t="str">
        <f aca="false">HYPERLINK("https://mncourtfraud.com/file/MCRO_27-CR-21-23456_Notice of Remote Hearing with Instructions_2023-07-12_20240430084308.pdf","MCRO_27-CR-21-23456_Notice of Remote Hearing with Instructions_2023-07-12_20240430084308.pdf")</f>
        <v>MCRO_27-CR-21-23456_Notice of Remote Hearing with Instructions_2023-07-12_20240430084308.pdf</v>
      </c>
      <c r="C2005" s="1" t="n">
        <v>5</v>
      </c>
      <c r="D2005" s="1" t="n">
        <v>1</v>
      </c>
      <c r="E2005" s="1" t="n">
        <v>1</v>
      </c>
      <c r="F2005" s="3" t="s">
        <v>20</v>
      </c>
      <c r="G2005" s="3" t="s">
        <v>8175</v>
      </c>
      <c r="H2005" s="1" t="s">
        <v>22</v>
      </c>
      <c r="I2005" s="1" t="n">
        <v>20240430084308</v>
      </c>
      <c r="J2005" s="3" t="s">
        <v>8176</v>
      </c>
      <c r="K2005" s="3" t="s">
        <v>8177</v>
      </c>
      <c r="L2005" s="3" t="s">
        <v>8178</v>
      </c>
      <c r="M2005" s="3" t="n">
        <v>852340</v>
      </c>
      <c r="N2005" s="3" t="s">
        <v>505</v>
      </c>
      <c r="O2005" s="1" t="n">
        <v>835954</v>
      </c>
      <c r="P2005" s="1" t="n">
        <v>98.08</v>
      </c>
      <c r="Q2005" s="1" t="s">
        <v>20</v>
      </c>
      <c r="R2005" s="1" t="s">
        <v>27</v>
      </c>
      <c r="S2005" s="1" t="s">
        <v>28</v>
      </c>
      <c r="T2005" s="1" t="s">
        <v>29</v>
      </c>
    </row>
    <row r="2006" customFormat="false" ht="18.7" hidden="false" customHeight="true" outlineLevel="0" collapsed="false">
      <c r="A2006" s="1" t="n">
        <v>2005</v>
      </c>
      <c r="B2006" s="6" t="str">
        <f aca="false">HYPERLINK("https://mncourtfraud.com/file/MCRO_27-CR-21-23456_Notice of Remote Hearing with Instructions_2024-03-11_20240430084303.pdf","MCRO_27-CR-21-23456_Notice of Remote Hearing with Instructions_2024-03-11_20240430084303.pdf")</f>
        <v>MCRO_27-CR-21-23456_Notice of Remote Hearing with Instructions_2024-03-11_20240430084303.pdf</v>
      </c>
      <c r="C2006" s="1" t="n">
        <v>4</v>
      </c>
      <c r="D2006" s="1" t="n">
        <v>1</v>
      </c>
      <c r="E2006" s="1" t="n">
        <v>1</v>
      </c>
      <c r="F2006" s="3" t="s">
        <v>20</v>
      </c>
      <c r="G2006" s="3" t="s">
        <v>8179</v>
      </c>
      <c r="H2006" s="1" t="s">
        <v>22</v>
      </c>
      <c r="I2006" s="1" t="n">
        <v>20240430084303</v>
      </c>
      <c r="J2006" s="3" t="s">
        <v>8180</v>
      </c>
      <c r="K2006" s="3" t="s">
        <v>8181</v>
      </c>
      <c r="L2006" s="3" t="s">
        <v>8182</v>
      </c>
      <c r="M2006" s="3" t="n">
        <v>769646</v>
      </c>
      <c r="N2006" s="3" t="s">
        <v>1128</v>
      </c>
      <c r="O2006" s="1" t="n">
        <v>753260</v>
      </c>
      <c r="P2006" s="1" t="n">
        <v>97.87</v>
      </c>
      <c r="Q2006" s="1" t="s">
        <v>20</v>
      </c>
      <c r="R2006" s="1" t="s">
        <v>27</v>
      </c>
      <c r="S2006" s="1" t="s">
        <v>28</v>
      </c>
      <c r="T2006" s="1" t="s">
        <v>29</v>
      </c>
    </row>
    <row r="2007" customFormat="false" ht="18.7" hidden="false" customHeight="true" outlineLevel="0" collapsed="false">
      <c r="A2007" s="1" t="n">
        <v>2006</v>
      </c>
      <c r="B2007" s="6" t="str">
        <f aca="false">HYPERLINK("https://mncourtfraud.com/file/MCRO_27-CR-21-23456_Order-Evaluation for Competency to Proceed (Rule 20.01)_2022-01-31_20240430084341.pdf","MCRO_27-CR-21-23456_Order-Evaluation for Competency to Proceed (Rule 20.01)_2022-01-31_20240430084341.pdf")</f>
        <v>MCRO_27-CR-21-23456_Order-Evaluation for Competency to Proceed (Rule 20.01)_2022-01-31_20240430084341.pdf</v>
      </c>
      <c r="C2007" s="1" t="n">
        <v>4</v>
      </c>
      <c r="D2007" s="1" t="n">
        <v>1</v>
      </c>
      <c r="E2007" s="1" t="n">
        <v>1</v>
      </c>
      <c r="F2007" s="3" t="s">
        <v>20</v>
      </c>
      <c r="G2007" s="3" t="s">
        <v>8183</v>
      </c>
      <c r="H2007" s="1" t="s">
        <v>22</v>
      </c>
      <c r="I2007" s="1" t="n">
        <v>20240430084341</v>
      </c>
      <c r="J2007" s="3" t="s">
        <v>8184</v>
      </c>
      <c r="K2007" s="3" t="s">
        <v>8185</v>
      </c>
      <c r="L2007" s="3" t="s">
        <v>8186</v>
      </c>
      <c r="M2007" s="3" t="n">
        <v>289544</v>
      </c>
      <c r="N2007" s="3" t="s">
        <v>4515</v>
      </c>
      <c r="O2007" s="1" t="n">
        <v>273158</v>
      </c>
      <c r="P2007" s="1" t="n">
        <v>94.34</v>
      </c>
      <c r="Q2007" s="1" t="s">
        <v>20</v>
      </c>
      <c r="R2007" s="1" t="s">
        <v>27</v>
      </c>
      <c r="S2007" s="1" t="s">
        <v>28</v>
      </c>
      <c r="T2007" s="1" t="s">
        <v>29</v>
      </c>
    </row>
    <row r="2008" customFormat="false" ht="18.7" hidden="false" customHeight="true" outlineLevel="0" collapsed="false">
      <c r="A2008" s="1" t="n">
        <v>2007</v>
      </c>
      <c r="B2008" s="6" t="str">
        <f aca="false">HYPERLINK("https://mncourtfraud.com/file/MCRO_27-CR-21-23456_Order-Evaluation for Competency to Proceed (Rule 20.01)_2022-02-02_20240430084340.pdf","MCRO_27-CR-21-23456_Order-Evaluation for Competency to Proceed (Rule 20.01)_2022-02-02_20240430084340.pdf")</f>
        <v>MCRO_27-CR-21-23456_Order-Evaluation for Competency to Proceed (Rule 20.01)_2022-02-02_20240430084340.pdf</v>
      </c>
      <c r="C2008" s="1" t="n">
        <v>4</v>
      </c>
      <c r="D2008" s="1" t="n">
        <v>1</v>
      </c>
      <c r="E2008" s="1" t="n">
        <v>1</v>
      </c>
      <c r="F2008" s="3" t="s">
        <v>20</v>
      </c>
      <c r="G2008" s="3" t="s">
        <v>8187</v>
      </c>
      <c r="H2008" s="1" t="s">
        <v>22</v>
      </c>
      <c r="I2008" s="1" t="n">
        <v>20240430084340</v>
      </c>
      <c r="J2008" s="3" t="s">
        <v>8188</v>
      </c>
      <c r="K2008" s="3" t="s">
        <v>8189</v>
      </c>
      <c r="L2008" s="3" t="s">
        <v>8190</v>
      </c>
      <c r="M2008" s="3" t="n">
        <v>913299</v>
      </c>
      <c r="N2008" s="3" t="s">
        <v>801</v>
      </c>
      <c r="O2008" s="1" t="n">
        <v>896913</v>
      </c>
      <c r="P2008" s="1" t="n">
        <v>98.21</v>
      </c>
      <c r="Q2008" s="1" t="s">
        <v>20</v>
      </c>
      <c r="R2008" s="1" t="s">
        <v>27</v>
      </c>
      <c r="S2008" s="1" t="s">
        <v>28</v>
      </c>
      <c r="T2008" s="1" t="s">
        <v>29</v>
      </c>
    </row>
    <row r="2009" customFormat="false" ht="18.7" hidden="false" customHeight="true" outlineLevel="0" collapsed="false">
      <c r="A2009" s="1" t="n">
        <v>2008</v>
      </c>
      <c r="B2009" s="6" t="str">
        <f aca="false">HYPERLINK("https://mncourtfraud.com/file/MCRO_27-CR-21-23456_Order-Evaluation for Competency to Proceed (Rule 20.01)_2022-02-09_20240430084337.pdf","MCRO_27-CR-21-23456_Order-Evaluation for Competency to Proceed (Rule 20.01)_2022-02-09_20240430084337.pdf")</f>
        <v>MCRO_27-CR-21-23456_Order-Evaluation for Competency to Proceed (Rule 20.01)_2022-02-09_20240430084337.pdf</v>
      </c>
      <c r="C2009" s="1" t="n">
        <v>3</v>
      </c>
      <c r="D2009" s="1" t="n">
        <v>1</v>
      </c>
      <c r="E2009" s="1" t="n">
        <v>1</v>
      </c>
      <c r="F2009" s="3" t="s">
        <v>20</v>
      </c>
      <c r="G2009" s="3" t="s">
        <v>8191</v>
      </c>
      <c r="H2009" s="1" t="s">
        <v>22</v>
      </c>
      <c r="I2009" s="1" t="n">
        <v>20240430084337</v>
      </c>
      <c r="J2009" s="3" t="s">
        <v>8192</v>
      </c>
      <c r="K2009" s="3" t="s">
        <v>8193</v>
      </c>
      <c r="L2009" s="3" t="s">
        <v>8194</v>
      </c>
      <c r="M2009" s="3" t="n">
        <v>256987</v>
      </c>
      <c r="N2009" s="3" t="s">
        <v>79</v>
      </c>
      <c r="O2009" s="1" t="n">
        <v>240601</v>
      </c>
      <c r="P2009" s="1" t="n">
        <v>93.62</v>
      </c>
      <c r="Q2009" s="1" t="s">
        <v>20</v>
      </c>
      <c r="R2009" s="1" t="s">
        <v>27</v>
      </c>
      <c r="S2009" s="1" t="s">
        <v>28</v>
      </c>
      <c r="T2009" s="1" t="s">
        <v>29</v>
      </c>
    </row>
    <row r="2010" customFormat="false" ht="18.7" hidden="false" customHeight="true" outlineLevel="0" collapsed="false">
      <c r="A2010" s="1" t="n">
        <v>2009</v>
      </c>
      <c r="B2010" s="6" t="str">
        <f aca="false">HYPERLINK("https://mncourtfraud.com/file/MCRO_27-CR-21-23456_Order-Evaluation for Competency to Proceed (Rule 20.01)_2022-07-11_20240430084328.pdf","MCRO_27-CR-21-23456_Order-Evaluation for Competency to Proceed (Rule 20.01)_2022-07-11_20240430084328.pdf")</f>
        <v>MCRO_27-CR-21-23456_Order-Evaluation for Competency to Proceed (Rule 20.01)_2022-07-11_20240430084328.pdf</v>
      </c>
      <c r="C2010" s="1" t="n">
        <v>4</v>
      </c>
      <c r="D2010" s="1" t="n">
        <v>1</v>
      </c>
      <c r="E2010" s="1" t="n">
        <v>1</v>
      </c>
      <c r="F2010" s="3" t="s">
        <v>20</v>
      </c>
      <c r="G2010" s="3" t="s">
        <v>8195</v>
      </c>
      <c r="H2010" s="1" t="s">
        <v>22</v>
      </c>
      <c r="I2010" s="1" t="n">
        <v>20240430084328</v>
      </c>
      <c r="J2010" s="3" t="s">
        <v>8196</v>
      </c>
      <c r="K2010" s="3" t="s">
        <v>8197</v>
      </c>
      <c r="L2010" s="3" t="s">
        <v>8198</v>
      </c>
      <c r="M2010" s="3" t="n">
        <v>197675</v>
      </c>
      <c r="N2010" s="3" t="s">
        <v>2813</v>
      </c>
      <c r="O2010" s="1" t="n">
        <v>181289</v>
      </c>
      <c r="P2010" s="1" t="n">
        <v>91.71</v>
      </c>
      <c r="Q2010" s="1" t="s">
        <v>20</v>
      </c>
      <c r="R2010" s="1" t="s">
        <v>27</v>
      </c>
      <c r="S2010" s="1" t="s">
        <v>28</v>
      </c>
      <c r="T2010" s="1" t="s">
        <v>29</v>
      </c>
    </row>
    <row r="2011" customFormat="false" ht="18.7" hidden="false" customHeight="true" outlineLevel="0" collapsed="false">
      <c r="A2011" s="1" t="n">
        <v>2010</v>
      </c>
      <c r="B2011" s="6" t="str">
        <f aca="false">HYPERLINK("https://mncourtfraud.com/file/MCRO_27-CR-21-23456_Order-Evaluation for Competency to Proceed (Rule 20.01)_2022-07-28_20240430084325.pdf","MCRO_27-CR-21-23456_Order-Evaluation for Competency to Proceed (Rule 20.01)_2022-07-28_20240430084325.pdf")</f>
        <v>MCRO_27-CR-21-23456_Order-Evaluation for Competency to Proceed (Rule 20.01)_2022-07-28_20240430084325.pdf</v>
      </c>
      <c r="C2011" s="1" t="n">
        <v>4</v>
      </c>
      <c r="D2011" s="1" t="n">
        <v>1</v>
      </c>
      <c r="E2011" s="1" t="n">
        <v>1</v>
      </c>
      <c r="F2011" s="3" t="s">
        <v>20</v>
      </c>
      <c r="G2011" s="3" t="s">
        <v>8199</v>
      </c>
      <c r="H2011" s="1" t="s">
        <v>22</v>
      </c>
      <c r="I2011" s="1" t="n">
        <v>20240430084325</v>
      </c>
      <c r="J2011" s="3" t="s">
        <v>8200</v>
      </c>
      <c r="K2011" s="3" t="s">
        <v>8201</v>
      </c>
      <c r="L2011" s="3" t="s">
        <v>8202</v>
      </c>
      <c r="M2011" s="3" t="n">
        <v>310235</v>
      </c>
      <c r="N2011" s="3" t="s">
        <v>6293</v>
      </c>
      <c r="O2011" s="1" t="n">
        <v>293849</v>
      </c>
      <c r="P2011" s="1" t="n">
        <v>94.72</v>
      </c>
      <c r="Q2011" s="1" t="s">
        <v>20</v>
      </c>
      <c r="R2011" s="1" t="s">
        <v>27</v>
      </c>
      <c r="S2011" s="1" t="s">
        <v>28</v>
      </c>
      <c r="T2011" s="1" t="s">
        <v>29</v>
      </c>
    </row>
    <row r="2012" customFormat="false" ht="18.7" hidden="false" customHeight="true" outlineLevel="0" collapsed="false">
      <c r="A2012" s="1" t="n">
        <v>2011</v>
      </c>
      <c r="B2012" s="6" t="str">
        <f aca="false">HYPERLINK("https://mncourtfraud.com/file/MCRO_27-CR-21-23456_Order-Evaluation for Competency to Proceed (Rule 20.01)_2022-12-09_20240430084318.pdf","MCRO_27-CR-21-23456_Order-Evaluation for Competency to Proceed (Rule 20.01)_2022-12-09_20240430084318.pdf")</f>
        <v>MCRO_27-CR-21-23456_Order-Evaluation for Competency to Proceed (Rule 20.01)_2022-12-09_20240430084318.pdf</v>
      </c>
      <c r="C2012" s="1" t="n">
        <v>3</v>
      </c>
      <c r="D2012" s="1" t="n">
        <v>1</v>
      </c>
      <c r="E2012" s="1" t="n">
        <v>1</v>
      </c>
      <c r="F2012" s="3" t="s">
        <v>20</v>
      </c>
      <c r="G2012" s="3" t="s">
        <v>8203</v>
      </c>
      <c r="H2012" s="1" t="s">
        <v>22</v>
      </c>
      <c r="I2012" s="1" t="n">
        <v>20240430084318</v>
      </c>
      <c r="J2012" s="3" t="s">
        <v>8204</v>
      </c>
      <c r="K2012" s="3" t="s">
        <v>8205</v>
      </c>
      <c r="L2012" s="3" t="s">
        <v>8206</v>
      </c>
      <c r="M2012" s="3" t="n">
        <v>811138</v>
      </c>
      <c r="N2012" s="3" t="s">
        <v>2520</v>
      </c>
      <c r="O2012" s="1" t="n">
        <v>794752</v>
      </c>
      <c r="P2012" s="1" t="n">
        <v>97.98</v>
      </c>
      <c r="Q2012" s="1" t="s">
        <v>20</v>
      </c>
      <c r="R2012" s="1" t="s">
        <v>27</v>
      </c>
      <c r="S2012" s="1" t="s">
        <v>28</v>
      </c>
      <c r="T2012" s="1" t="s">
        <v>29</v>
      </c>
    </row>
    <row r="2013" customFormat="false" ht="18.7" hidden="false" customHeight="true" outlineLevel="0" collapsed="false">
      <c r="A2013" s="1" t="n">
        <v>2012</v>
      </c>
      <c r="B2013" s="6" t="str">
        <f aca="false">HYPERLINK("https://mncourtfraud.com/file/MCRO_27-CR-21-23456_Order-Evaluation for Competency to Proceed (Rule 20.01)_2023-03-13_20240430084315.pdf","MCRO_27-CR-21-23456_Order-Evaluation for Competency to Proceed (Rule 20.01)_2023-03-13_20240430084315.pdf")</f>
        <v>MCRO_27-CR-21-23456_Order-Evaluation for Competency to Proceed (Rule 20.01)_2023-03-13_20240430084315.pdf</v>
      </c>
      <c r="C2013" s="1" t="n">
        <v>4</v>
      </c>
      <c r="D2013" s="1" t="n">
        <v>1</v>
      </c>
      <c r="E2013" s="1" t="n">
        <v>1</v>
      </c>
      <c r="F2013" s="3" t="s">
        <v>20</v>
      </c>
      <c r="G2013" s="3" t="s">
        <v>8207</v>
      </c>
      <c r="H2013" s="1" t="s">
        <v>22</v>
      </c>
      <c r="I2013" s="1" t="n">
        <v>20240430084315</v>
      </c>
      <c r="J2013" s="3" t="s">
        <v>8208</v>
      </c>
      <c r="K2013" s="3" t="s">
        <v>8209</v>
      </c>
      <c r="L2013" s="3" t="s">
        <v>8210</v>
      </c>
      <c r="M2013" s="3" t="n">
        <v>1068162</v>
      </c>
      <c r="N2013" s="3" t="s">
        <v>1128</v>
      </c>
      <c r="O2013" s="1" t="n">
        <v>1051776</v>
      </c>
      <c r="P2013" s="1" t="n">
        <v>98.47</v>
      </c>
      <c r="Q2013" s="1" t="s">
        <v>20</v>
      </c>
      <c r="R2013" s="1" t="s">
        <v>27</v>
      </c>
      <c r="S2013" s="1" t="s">
        <v>28</v>
      </c>
      <c r="T2013" s="1" t="s">
        <v>29</v>
      </c>
    </row>
    <row r="2014" customFormat="false" ht="18.7" hidden="false" customHeight="true" outlineLevel="0" collapsed="false">
      <c r="A2014" s="1" t="n">
        <v>2013</v>
      </c>
      <c r="B2014" s="6" t="str">
        <f aca="false">HYPERLINK("https://mncourtfraud.com/file/MCRO_27-CR-21-23456_Order-Evaluation for Competency to Proceed (Rule 20.01)_2023-06-08_20240430084311.pdf","MCRO_27-CR-21-23456_Order-Evaluation for Competency to Proceed (Rule 20.01)_2023-06-08_20240430084311.pdf")</f>
        <v>MCRO_27-CR-21-23456_Order-Evaluation for Competency to Proceed (Rule 20.01)_2023-06-08_20240430084311.pdf</v>
      </c>
      <c r="C2014" s="1" t="n">
        <v>4</v>
      </c>
      <c r="D2014" s="1" t="n">
        <v>1</v>
      </c>
      <c r="E2014" s="1" t="n">
        <v>1</v>
      </c>
      <c r="F2014" s="3" t="s">
        <v>20</v>
      </c>
      <c r="G2014" s="3" t="s">
        <v>8211</v>
      </c>
      <c r="H2014" s="1" t="s">
        <v>22</v>
      </c>
      <c r="I2014" s="1" t="n">
        <v>20240430084311</v>
      </c>
      <c r="J2014" s="3" t="s">
        <v>8212</v>
      </c>
      <c r="K2014" s="3" t="s">
        <v>8213</v>
      </c>
      <c r="L2014" s="3" t="s">
        <v>8214</v>
      </c>
      <c r="M2014" s="3" t="n">
        <v>1037282</v>
      </c>
      <c r="N2014" s="3" t="s">
        <v>1128</v>
      </c>
      <c r="O2014" s="1" t="n">
        <v>1020896</v>
      </c>
      <c r="P2014" s="1" t="n">
        <v>98.42</v>
      </c>
      <c r="Q2014" s="1" t="s">
        <v>20</v>
      </c>
      <c r="R2014" s="1" t="s">
        <v>27</v>
      </c>
      <c r="S2014" s="1" t="s">
        <v>28</v>
      </c>
      <c r="T2014" s="1" t="s">
        <v>29</v>
      </c>
    </row>
    <row r="2015" customFormat="false" ht="18.7" hidden="false" customHeight="true" outlineLevel="0" collapsed="false">
      <c r="A2015" s="1" t="n">
        <v>2014</v>
      </c>
      <c r="B2015" s="6" t="str">
        <f aca="false">HYPERLINK("https://mncourtfraud.com/file/MCRO_27-CR-21-23456_Order-Evaluation for Competency to Proceed (Rule 20.01)_2023-11-08_20240430084307.pdf","MCRO_27-CR-21-23456_Order-Evaluation for Competency to Proceed (Rule 20.01)_2023-11-08_20240430084307.pdf")</f>
        <v>MCRO_27-CR-21-23456_Order-Evaluation for Competency to Proceed (Rule 20.01)_2023-11-08_20240430084307.pdf</v>
      </c>
      <c r="C2015" s="1" t="n">
        <v>6</v>
      </c>
      <c r="D2015" s="1" t="n">
        <v>2</v>
      </c>
      <c r="E2015" s="1" t="n">
        <v>2</v>
      </c>
      <c r="F2015" s="3" t="s">
        <v>20</v>
      </c>
      <c r="G2015" s="3" t="s">
        <v>8215</v>
      </c>
      <c r="H2015" s="1" t="s">
        <v>22</v>
      </c>
      <c r="I2015" s="1" t="n">
        <v>20240430084307</v>
      </c>
      <c r="J2015" s="3" t="s">
        <v>8216</v>
      </c>
      <c r="K2015" s="3" t="s">
        <v>8217</v>
      </c>
      <c r="L2015" s="3" t="s">
        <v>8218</v>
      </c>
      <c r="M2015" s="3" t="n">
        <v>870070</v>
      </c>
      <c r="N2015" s="3" t="s">
        <v>4399</v>
      </c>
      <c r="O2015" s="1" t="n">
        <v>853684</v>
      </c>
      <c r="P2015" s="1" t="n">
        <v>98.12</v>
      </c>
      <c r="Q2015" s="1" t="s">
        <v>20</v>
      </c>
      <c r="R2015" s="1" t="s">
        <v>27</v>
      </c>
      <c r="S2015" s="1" t="s">
        <v>28</v>
      </c>
      <c r="T2015" s="1" t="s">
        <v>29</v>
      </c>
    </row>
    <row r="2016" customFormat="false" ht="18.7" hidden="false" customHeight="true" outlineLevel="0" collapsed="false">
      <c r="A2016" s="1" t="n">
        <v>2015</v>
      </c>
      <c r="B2016" s="6" t="str">
        <f aca="false">HYPERLINK("https://mncourtfraud.com/file/MCRO_27-CR-21-23456_Order-Evaluation for Competency to Proceed (Rule 20.01)_2024-03-11_20240430084306.pdf","MCRO_27-CR-21-23456_Order-Evaluation for Competency to Proceed (Rule 20.01)_2024-03-11_20240430084306.pdf")</f>
        <v>MCRO_27-CR-21-23456_Order-Evaluation for Competency to Proceed (Rule 20.01)_2024-03-11_20240430084306.pdf</v>
      </c>
      <c r="C2016" s="1" t="n">
        <v>4</v>
      </c>
      <c r="D2016" s="1" t="n">
        <v>1</v>
      </c>
      <c r="E2016" s="1" t="n">
        <v>1</v>
      </c>
      <c r="F2016" s="3" t="s">
        <v>20</v>
      </c>
      <c r="G2016" s="3" t="s">
        <v>8219</v>
      </c>
      <c r="H2016" s="1" t="s">
        <v>22</v>
      </c>
      <c r="I2016" s="1" t="n">
        <v>20240430084306</v>
      </c>
      <c r="J2016" s="3" t="s">
        <v>8220</v>
      </c>
      <c r="K2016" s="3" t="s">
        <v>8221</v>
      </c>
      <c r="L2016" s="3" t="s">
        <v>8222</v>
      </c>
      <c r="M2016" s="3" t="n">
        <v>142992</v>
      </c>
      <c r="N2016" s="3" t="s">
        <v>1159</v>
      </c>
      <c r="O2016" s="1" t="n">
        <v>126606</v>
      </c>
      <c r="P2016" s="1" t="n">
        <v>88.54</v>
      </c>
      <c r="Q2016" s="1" t="s">
        <v>20</v>
      </c>
      <c r="R2016" s="1" t="s">
        <v>27</v>
      </c>
      <c r="S2016" s="1" t="s">
        <v>28</v>
      </c>
      <c r="T2016" s="1" t="s">
        <v>29</v>
      </c>
    </row>
    <row r="2017" customFormat="false" ht="18.7" hidden="false" customHeight="true" outlineLevel="0" collapsed="false">
      <c r="A2017" s="1" t="n">
        <v>2016</v>
      </c>
      <c r="B2017" s="6" t="str">
        <f aca="false">HYPERLINK("https://mncourtfraud.com/file/MCRO_27-CR-21-23456_Order for Conditional Release_2021-12-22_20240430084346.pdf","MCRO_27-CR-21-23456_Order for Conditional Release_2021-12-22_20240430084346.pdf")</f>
        <v>MCRO_27-CR-21-23456_Order for Conditional Release_2021-12-22_20240430084346.pdf</v>
      </c>
      <c r="C2017" s="1" t="n">
        <v>4</v>
      </c>
      <c r="D2017" s="1" t="n">
        <v>1</v>
      </c>
      <c r="E2017" s="1" t="n">
        <v>1</v>
      </c>
      <c r="F2017" s="3" t="s">
        <v>20</v>
      </c>
      <c r="G2017" s="3" t="s">
        <v>8223</v>
      </c>
      <c r="H2017" s="1" t="s">
        <v>22</v>
      </c>
      <c r="I2017" s="1" t="n">
        <v>20240430084346</v>
      </c>
      <c r="J2017" s="3" t="s">
        <v>8224</v>
      </c>
      <c r="K2017" s="3" t="s">
        <v>8225</v>
      </c>
      <c r="L2017" s="3" t="s">
        <v>8226</v>
      </c>
      <c r="M2017" s="3" t="n">
        <v>763057</v>
      </c>
      <c r="N2017" s="3" t="s">
        <v>456</v>
      </c>
      <c r="O2017" s="1" t="n">
        <v>746671</v>
      </c>
      <c r="P2017" s="1" t="n">
        <v>97.85</v>
      </c>
      <c r="Q2017" s="1" t="s">
        <v>20</v>
      </c>
      <c r="R2017" s="1" t="s">
        <v>27</v>
      </c>
      <c r="S2017" s="1" t="s">
        <v>28</v>
      </c>
      <c r="T2017" s="1" t="s">
        <v>29</v>
      </c>
    </row>
    <row r="2018" customFormat="false" ht="18.7" hidden="false" customHeight="true" outlineLevel="0" collapsed="false">
      <c r="A2018" s="1" t="n">
        <v>2017</v>
      </c>
      <c r="B2018" s="6" t="str">
        <f aca="false">HYPERLINK("https://mncourtfraud.com/file/MCRO_27-CR-21-23456_Order for Conditional Release_2022-02-02_20240430084339.pdf","MCRO_27-CR-21-23456_Order for Conditional Release_2022-02-02_20240430084339.pdf")</f>
        <v>MCRO_27-CR-21-23456_Order for Conditional Release_2022-02-02_20240430084339.pdf</v>
      </c>
      <c r="C2018" s="1" t="n">
        <v>5</v>
      </c>
      <c r="D2018" s="1" t="n">
        <v>2</v>
      </c>
      <c r="E2018" s="1" t="n">
        <v>2</v>
      </c>
      <c r="F2018" s="3" t="s">
        <v>20</v>
      </c>
      <c r="G2018" s="3" t="s">
        <v>8227</v>
      </c>
      <c r="H2018" s="1" t="s">
        <v>22</v>
      </c>
      <c r="I2018" s="1" t="n">
        <v>20240430084339</v>
      </c>
      <c r="J2018" s="3" t="s">
        <v>8228</v>
      </c>
      <c r="K2018" s="3" t="s">
        <v>8229</v>
      </c>
      <c r="L2018" s="3" t="s">
        <v>8230</v>
      </c>
      <c r="M2018" s="3" t="n">
        <v>897839</v>
      </c>
      <c r="N2018" s="3" t="s">
        <v>366</v>
      </c>
      <c r="O2018" s="1" t="n">
        <v>881453</v>
      </c>
      <c r="P2018" s="1" t="n">
        <v>98.17</v>
      </c>
      <c r="Q2018" s="1" t="s">
        <v>20</v>
      </c>
      <c r="R2018" s="1" t="s">
        <v>27</v>
      </c>
      <c r="S2018" s="1" t="s">
        <v>28</v>
      </c>
      <c r="T2018" s="1" t="s">
        <v>29</v>
      </c>
    </row>
    <row r="2019" customFormat="false" ht="18.7" hidden="false" customHeight="true" outlineLevel="0" collapsed="false">
      <c r="A2019" s="1" t="n">
        <v>2018</v>
      </c>
      <c r="B2019" s="6" t="str">
        <f aca="false">HYPERLINK("https://mncourtfraud.com/file/MCRO_27-CR-21-23456_Order for Conditional Release_2022-03-14_20240430084334.pdf","MCRO_27-CR-21-23456_Order for Conditional Release_2022-03-14_20240430084334.pdf")</f>
        <v>MCRO_27-CR-21-23456_Order for Conditional Release_2022-03-14_20240430084334.pdf</v>
      </c>
      <c r="C2019" s="1" t="n">
        <v>4</v>
      </c>
      <c r="D2019" s="1" t="n">
        <v>54</v>
      </c>
      <c r="E2019" s="1" t="n">
        <v>2</v>
      </c>
      <c r="F2019" s="3" t="s">
        <v>20</v>
      </c>
      <c r="G2019" s="3" t="s">
        <v>8231</v>
      </c>
      <c r="H2019" s="1" t="s">
        <v>22</v>
      </c>
      <c r="I2019" s="1" t="n">
        <v>20240430084334</v>
      </c>
      <c r="J2019" s="3" t="s">
        <v>8232</v>
      </c>
      <c r="K2019" s="3" t="s">
        <v>8233</v>
      </c>
      <c r="L2019" s="3" t="s">
        <v>8234</v>
      </c>
      <c r="M2019" s="3" t="n">
        <v>327226</v>
      </c>
      <c r="N2019" s="3" t="s">
        <v>4934</v>
      </c>
      <c r="O2019" s="1" t="n">
        <v>310840</v>
      </c>
      <c r="P2019" s="1" t="n">
        <v>94.99</v>
      </c>
      <c r="Q2019" s="1" t="s">
        <v>20</v>
      </c>
      <c r="R2019" s="1" t="s">
        <v>27</v>
      </c>
      <c r="S2019" s="1" t="s">
        <v>28</v>
      </c>
      <c r="T2019" s="1" t="s">
        <v>29</v>
      </c>
    </row>
    <row r="2020" customFormat="false" ht="18.7" hidden="false" customHeight="true" outlineLevel="0" collapsed="false">
      <c r="A2020" s="1" t="n">
        <v>2019</v>
      </c>
      <c r="B2020" s="6" t="str">
        <f aca="false">HYPERLINK("https://mncourtfraud.com/file/MCRO_27-CR-21-23456_Order for Conditional Release_2022-04-26_20240430084332.pdf","MCRO_27-CR-21-23456_Order for Conditional Release_2022-04-26_20240430084332.pdf")</f>
        <v>MCRO_27-CR-21-23456_Order for Conditional Release_2022-04-26_20240430084332.pdf</v>
      </c>
      <c r="C2020" s="1" t="n">
        <v>5</v>
      </c>
      <c r="D2020" s="1" t="n">
        <v>1</v>
      </c>
      <c r="E2020" s="1" t="n">
        <v>1</v>
      </c>
      <c r="F2020" s="3" t="s">
        <v>20</v>
      </c>
      <c r="G2020" s="3" t="s">
        <v>8235</v>
      </c>
      <c r="H2020" s="1" t="s">
        <v>22</v>
      </c>
      <c r="I2020" s="1" t="n">
        <v>20240430084332</v>
      </c>
      <c r="J2020" s="3" t="s">
        <v>8236</v>
      </c>
      <c r="K2020" s="3" t="s">
        <v>8237</v>
      </c>
      <c r="L2020" s="3" t="s">
        <v>8238</v>
      </c>
      <c r="M2020" s="3" t="n">
        <v>347131</v>
      </c>
      <c r="N2020" s="3" t="s">
        <v>2368</v>
      </c>
      <c r="O2020" s="1" t="n">
        <v>330745</v>
      </c>
      <c r="P2020" s="1" t="n">
        <v>95.28</v>
      </c>
      <c r="Q2020" s="1" t="s">
        <v>20</v>
      </c>
      <c r="R2020" s="1" t="s">
        <v>27</v>
      </c>
      <c r="S2020" s="1" t="s">
        <v>28</v>
      </c>
      <c r="T2020" s="1" t="s">
        <v>29</v>
      </c>
    </row>
    <row r="2021" customFormat="false" ht="18.7" hidden="false" customHeight="true" outlineLevel="0" collapsed="false">
      <c r="A2021" s="1" t="n">
        <v>2020</v>
      </c>
      <c r="B2021" s="6" t="str">
        <f aca="false">HYPERLINK("https://mncourtfraud.com/file/MCRO_27-CR-21-23456_Order for Conditional Release_2022-07-11_20240430084329.pdf","MCRO_27-CR-21-23456_Order for Conditional Release_2022-07-11_20240430084329.pdf")</f>
        <v>MCRO_27-CR-21-23456_Order for Conditional Release_2022-07-11_20240430084329.pdf</v>
      </c>
      <c r="C2021" s="1" t="n">
        <v>4</v>
      </c>
      <c r="D2021" s="1" t="n">
        <v>1</v>
      </c>
      <c r="E2021" s="1" t="n">
        <v>1</v>
      </c>
      <c r="F2021" s="3" t="s">
        <v>20</v>
      </c>
      <c r="G2021" s="3" t="s">
        <v>8239</v>
      </c>
      <c r="H2021" s="1" t="s">
        <v>22</v>
      </c>
      <c r="I2021" s="1" t="n">
        <v>20240430084329</v>
      </c>
      <c r="J2021" s="3" t="s">
        <v>8240</v>
      </c>
      <c r="K2021" s="3" t="s">
        <v>8241</v>
      </c>
      <c r="L2021" s="3" t="s">
        <v>6672</v>
      </c>
      <c r="M2021" s="3" t="n">
        <v>149759</v>
      </c>
      <c r="N2021" s="3" t="s">
        <v>128</v>
      </c>
      <c r="O2021" s="1" t="n">
        <v>133373</v>
      </c>
      <c r="P2021" s="1" t="n">
        <v>89.06</v>
      </c>
      <c r="Q2021" s="1" t="s">
        <v>20</v>
      </c>
      <c r="R2021" s="1" t="s">
        <v>27</v>
      </c>
      <c r="S2021" s="1" t="s">
        <v>28</v>
      </c>
      <c r="T2021" s="1" t="s">
        <v>29</v>
      </c>
    </row>
    <row r="2022" customFormat="false" ht="18.7" hidden="false" customHeight="true" outlineLevel="0" collapsed="false">
      <c r="A2022" s="1" t="n">
        <v>2021</v>
      </c>
      <c r="B2022" s="6" t="str">
        <f aca="false">HYPERLINK("https://mncourtfraud.com/file/MCRO_27-CR-21-23456_Order for Conditional Release_2022-11-04_20240430084321.pdf","MCRO_27-CR-21-23456_Order for Conditional Release_2022-11-04_20240430084321.pdf")</f>
        <v>MCRO_27-CR-21-23456_Order for Conditional Release_2022-11-04_20240430084321.pdf</v>
      </c>
      <c r="C2022" s="1" t="n">
        <v>5</v>
      </c>
      <c r="D2022" s="1" t="n">
        <v>1</v>
      </c>
      <c r="E2022" s="1" t="n">
        <v>1</v>
      </c>
      <c r="F2022" s="3" t="s">
        <v>20</v>
      </c>
      <c r="G2022" s="3" t="s">
        <v>8242</v>
      </c>
      <c r="H2022" s="1" t="s">
        <v>22</v>
      </c>
      <c r="I2022" s="1" t="n">
        <v>20240430084321</v>
      </c>
      <c r="J2022" s="3" t="s">
        <v>8243</v>
      </c>
      <c r="K2022" s="3" t="s">
        <v>8244</v>
      </c>
      <c r="L2022" s="3" t="s">
        <v>8245</v>
      </c>
      <c r="M2022" s="3" t="n">
        <v>790735</v>
      </c>
      <c r="N2022" s="3" t="s">
        <v>968</v>
      </c>
      <c r="O2022" s="1" t="n">
        <v>774349</v>
      </c>
      <c r="P2022" s="1" t="n">
        <v>97.93</v>
      </c>
      <c r="Q2022" s="1" t="s">
        <v>20</v>
      </c>
      <c r="R2022" s="1" t="s">
        <v>27</v>
      </c>
      <c r="S2022" s="1" t="s">
        <v>28</v>
      </c>
      <c r="T2022" s="1" t="s">
        <v>29</v>
      </c>
    </row>
    <row r="2023" customFormat="false" ht="18.7" hidden="false" customHeight="true" outlineLevel="0" collapsed="false">
      <c r="A2023" s="1" t="n">
        <v>2022</v>
      </c>
      <c r="B2023" s="6" t="str">
        <f aca="false">HYPERLINK("https://mncourtfraud.com/file/MCRO_27-CR-21-23456_Order for Conditional Release_2023-03-13_20240430084316.pdf","MCRO_27-CR-21-23456_Order for Conditional Release_2023-03-13_20240430084316.pdf")</f>
        <v>MCRO_27-CR-21-23456_Order for Conditional Release_2023-03-13_20240430084316.pdf</v>
      </c>
      <c r="C2023" s="1" t="n">
        <v>4</v>
      </c>
      <c r="D2023" s="1" t="n">
        <v>1</v>
      </c>
      <c r="E2023" s="1" t="n">
        <v>1</v>
      </c>
      <c r="F2023" s="3" t="s">
        <v>20</v>
      </c>
      <c r="G2023" s="3" t="s">
        <v>8246</v>
      </c>
      <c r="H2023" s="1" t="s">
        <v>22</v>
      </c>
      <c r="I2023" s="1" t="n">
        <v>20240430084316</v>
      </c>
      <c r="J2023" s="3" t="s">
        <v>8247</v>
      </c>
      <c r="K2023" s="3" t="s">
        <v>8248</v>
      </c>
      <c r="L2023" s="3" t="s">
        <v>8249</v>
      </c>
      <c r="M2023" s="3" t="n">
        <v>854326</v>
      </c>
      <c r="N2023" s="3" t="s">
        <v>158</v>
      </c>
      <c r="O2023" s="1" t="n">
        <v>837940</v>
      </c>
      <c r="P2023" s="1" t="n">
        <v>98.08</v>
      </c>
      <c r="Q2023" s="1" t="s">
        <v>20</v>
      </c>
      <c r="R2023" s="1" t="s">
        <v>27</v>
      </c>
      <c r="S2023" s="1" t="s">
        <v>28</v>
      </c>
      <c r="T2023" s="1" t="s">
        <v>29</v>
      </c>
    </row>
    <row r="2024" customFormat="false" ht="18.7" hidden="false" customHeight="true" outlineLevel="0" collapsed="false">
      <c r="A2024" s="1" t="n">
        <v>2023</v>
      </c>
      <c r="B2024" s="6" t="str">
        <f aca="false">HYPERLINK("https://mncourtfraud.com/file/MCRO_27-CR-21-23456_Order for Conditional Release_2023-06-08_20240430084312.pdf","MCRO_27-CR-21-23456_Order for Conditional Release_2023-06-08_20240430084312.pdf")</f>
        <v>MCRO_27-CR-21-23456_Order for Conditional Release_2023-06-08_20240430084312.pdf</v>
      </c>
      <c r="C2024" s="1" t="n">
        <v>4</v>
      </c>
      <c r="D2024" s="1" t="n">
        <v>1</v>
      </c>
      <c r="E2024" s="1" t="n">
        <v>1</v>
      </c>
      <c r="F2024" s="3" t="s">
        <v>20</v>
      </c>
      <c r="G2024" s="3" t="s">
        <v>8250</v>
      </c>
      <c r="H2024" s="1" t="s">
        <v>22</v>
      </c>
      <c r="I2024" s="1" t="n">
        <v>20240430084312</v>
      </c>
      <c r="J2024" s="3" t="s">
        <v>8251</v>
      </c>
      <c r="K2024" s="3" t="s">
        <v>8252</v>
      </c>
      <c r="L2024" s="3" t="s">
        <v>8253</v>
      </c>
      <c r="M2024" s="3" t="n">
        <v>903705</v>
      </c>
      <c r="N2024" s="3" t="s">
        <v>158</v>
      </c>
      <c r="O2024" s="1" t="n">
        <v>887319</v>
      </c>
      <c r="P2024" s="1" t="n">
        <v>98.19</v>
      </c>
      <c r="Q2024" s="1" t="s">
        <v>20</v>
      </c>
      <c r="R2024" s="1" t="s">
        <v>27</v>
      </c>
      <c r="S2024" s="1" t="s">
        <v>28</v>
      </c>
      <c r="T2024" s="1" t="s">
        <v>29</v>
      </c>
    </row>
    <row r="2025" customFormat="false" ht="18.7" hidden="false" customHeight="true" outlineLevel="0" collapsed="false">
      <c r="A2025" s="1" t="n">
        <v>2024</v>
      </c>
      <c r="B2025" s="6" t="str">
        <f aca="false">HYPERLINK("https://mncourtfraud.com/file/MCRO_27-CR-21-23456_Order for Conditional Release_2023-06-23_20240430084310.pdf","MCRO_27-CR-21-23456_Order for Conditional Release_2023-06-23_20240430084310.pdf")</f>
        <v>MCRO_27-CR-21-23456_Order for Conditional Release_2023-06-23_20240430084310.pdf</v>
      </c>
      <c r="C2025" s="1" t="n">
        <v>3</v>
      </c>
      <c r="D2025" s="1" t="n">
        <v>1</v>
      </c>
      <c r="E2025" s="1" t="n">
        <v>1</v>
      </c>
      <c r="F2025" s="3" t="s">
        <v>20</v>
      </c>
      <c r="G2025" s="3" t="s">
        <v>8254</v>
      </c>
      <c r="H2025" s="1" t="s">
        <v>22</v>
      </c>
      <c r="I2025" s="1" t="n">
        <v>20240430084310</v>
      </c>
      <c r="J2025" s="3" t="s">
        <v>8255</v>
      </c>
      <c r="K2025" s="3" t="s">
        <v>8256</v>
      </c>
      <c r="L2025" s="3" t="s">
        <v>6688</v>
      </c>
      <c r="M2025" s="3" t="n">
        <v>672435</v>
      </c>
      <c r="N2025" s="3" t="s">
        <v>1330</v>
      </c>
      <c r="O2025" s="1" t="n">
        <v>656049</v>
      </c>
      <c r="P2025" s="1" t="n">
        <v>97.56</v>
      </c>
      <c r="Q2025" s="1" t="s">
        <v>20</v>
      </c>
      <c r="R2025" s="1" t="s">
        <v>27</v>
      </c>
      <c r="S2025" s="1" t="s">
        <v>28</v>
      </c>
      <c r="T2025" s="1" t="s">
        <v>29</v>
      </c>
    </row>
    <row r="2026" customFormat="false" ht="18.7" hidden="false" customHeight="true" outlineLevel="0" collapsed="false">
      <c r="A2026" s="1" t="n">
        <v>2025</v>
      </c>
      <c r="B2026" s="6" t="str">
        <f aca="false">HYPERLINK("https://mncourtfraud.com/file/MCRO_27-CR-21-23456_Order for Conditional Release_2024-03-11_20240430084304.pdf","MCRO_27-CR-21-23456_Order for Conditional Release_2024-03-11_20240430084304.pdf")</f>
        <v>MCRO_27-CR-21-23456_Order for Conditional Release_2024-03-11_20240430084304.pdf</v>
      </c>
      <c r="C2026" s="1" t="n">
        <v>4</v>
      </c>
      <c r="D2026" s="1" t="n">
        <v>1</v>
      </c>
      <c r="E2026" s="1" t="n">
        <v>1</v>
      </c>
      <c r="F2026" s="3" t="s">
        <v>20</v>
      </c>
      <c r="G2026" s="3" t="s">
        <v>8257</v>
      </c>
      <c r="H2026" s="1" t="s">
        <v>22</v>
      </c>
      <c r="I2026" s="1" t="n">
        <v>20240430084304</v>
      </c>
      <c r="J2026" s="3" t="s">
        <v>8258</v>
      </c>
      <c r="K2026" s="3" t="s">
        <v>8259</v>
      </c>
      <c r="L2026" s="3" t="s">
        <v>8260</v>
      </c>
      <c r="M2026" s="3" t="n">
        <v>123318</v>
      </c>
      <c r="N2026" s="3" t="s">
        <v>435</v>
      </c>
      <c r="O2026" s="1" t="n">
        <v>106932</v>
      </c>
      <c r="P2026" s="1" t="n">
        <v>86.71</v>
      </c>
      <c r="Q2026" s="1" t="s">
        <v>20</v>
      </c>
      <c r="R2026" s="1" t="s">
        <v>27</v>
      </c>
      <c r="S2026" s="1" t="s">
        <v>28</v>
      </c>
      <c r="T2026" s="1" t="s">
        <v>29</v>
      </c>
    </row>
    <row r="2027" customFormat="false" ht="18.7" hidden="false" customHeight="true" outlineLevel="0" collapsed="false">
      <c r="A2027" s="1" t="n">
        <v>2026</v>
      </c>
      <c r="B2027" s="6" t="str">
        <f aca="false">HYPERLINK("https://mncourtfraud.com/file/MCRO_27-CR-21-23456_Order-Other_2022-11-04_20240430084320.pdf","MCRO_27-CR-21-23456_Order-Other_2022-11-04_20240430084320.pdf")</f>
        <v>MCRO_27-CR-21-23456_Order-Other_2022-11-04_20240430084320.pdf</v>
      </c>
      <c r="C2027" s="1" t="n">
        <v>5</v>
      </c>
      <c r="D2027" s="1" t="n">
        <v>1</v>
      </c>
      <c r="E2027" s="1" t="n">
        <v>1</v>
      </c>
      <c r="F2027" s="3" t="s">
        <v>20</v>
      </c>
      <c r="G2027" s="3" t="s">
        <v>8261</v>
      </c>
      <c r="H2027" s="1" t="s">
        <v>22</v>
      </c>
      <c r="I2027" s="1" t="n">
        <v>20240430084320</v>
      </c>
      <c r="J2027" s="3" t="s">
        <v>8262</v>
      </c>
      <c r="K2027" s="3" t="s">
        <v>8263</v>
      </c>
      <c r="L2027" s="3" t="s">
        <v>8264</v>
      </c>
      <c r="M2027" s="3" t="n">
        <v>810652</v>
      </c>
      <c r="N2027" s="3" t="s">
        <v>6697</v>
      </c>
      <c r="O2027" s="1" t="n">
        <v>794266</v>
      </c>
      <c r="P2027" s="1" t="n">
        <v>97.98</v>
      </c>
      <c r="Q2027" s="1" t="s">
        <v>20</v>
      </c>
      <c r="R2027" s="1" t="s">
        <v>27</v>
      </c>
      <c r="S2027" s="1" t="s">
        <v>28</v>
      </c>
      <c r="T2027" s="1" t="s">
        <v>29</v>
      </c>
    </row>
    <row r="2028" customFormat="false" ht="18.7" hidden="false" customHeight="true" outlineLevel="0" collapsed="false">
      <c r="A2028" s="1" t="n">
        <v>2027</v>
      </c>
      <c r="B2028" s="6" t="str">
        <f aca="false">HYPERLINK("https://mncourtfraud.com/file/MCRO_27-CR-21-23456_Order Revoking Interim Conditions of Release_2021-12-28_20240430084342.pdf","MCRO_27-CR-21-23456_Order Revoking Interim Conditions of Release_2021-12-28_20240430084342.pdf")</f>
        <v>MCRO_27-CR-21-23456_Order Revoking Interim Conditions of Release_2021-12-28_20240430084342.pdf</v>
      </c>
      <c r="C2028" s="1" t="n">
        <v>5</v>
      </c>
      <c r="D2028" s="1" t="n">
        <v>3</v>
      </c>
      <c r="E2028" s="1" t="n">
        <v>3</v>
      </c>
      <c r="F2028" s="3" t="s">
        <v>20</v>
      </c>
      <c r="G2028" s="3" t="s">
        <v>8265</v>
      </c>
      <c r="H2028" s="1" t="s">
        <v>22</v>
      </c>
      <c r="I2028" s="1" t="n">
        <v>20240430084342</v>
      </c>
      <c r="J2028" s="3" t="s">
        <v>8266</v>
      </c>
      <c r="K2028" s="3" t="s">
        <v>8267</v>
      </c>
      <c r="L2028" s="3" t="s">
        <v>8268</v>
      </c>
      <c r="M2028" s="3" t="n">
        <v>339796</v>
      </c>
      <c r="N2028" s="3" t="s">
        <v>39</v>
      </c>
      <c r="O2028" s="1" t="n">
        <v>323410</v>
      </c>
      <c r="P2028" s="1" t="n">
        <v>95.18</v>
      </c>
      <c r="Q2028" s="1" t="s">
        <v>20</v>
      </c>
      <c r="R2028" s="1" t="s">
        <v>27</v>
      </c>
      <c r="S2028" s="1" t="s">
        <v>28</v>
      </c>
      <c r="T2028" s="1" t="s">
        <v>29</v>
      </c>
    </row>
    <row r="2029" customFormat="false" ht="18.7" hidden="false" customHeight="true" outlineLevel="0" collapsed="false">
      <c r="A2029" s="1" t="n">
        <v>2028</v>
      </c>
      <c r="B2029" s="6" t="str">
        <f aca="false">HYPERLINK("https://mncourtfraud.com/file/MCRO_27-CR-21-23456_Order Revoking Interim Conditions of Release_2022-03-01_20240430084336.pdf","MCRO_27-CR-21-23456_Order Revoking Interim Conditions of Release_2022-03-01_20240430084336.pdf")</f>
        <v>MCRO_27-CR-21-23456_Order Revoking Interim Conditions of Release_2022-03-01_20240430084336.pdf</v>
      </c>
      <c r="C2029" s="1" t="n">
        <v>4</v>
      </c>
      <c r="D2029" s="1" t="n">
        <v>1</v>
      </c>
      <c r="E2029" s="1" t="n">
        <v>1</v>
      </c>
      <c r="F2029" s="3" t="s">
        <v>20</v>
      </c>
      <c r="G2029" s="3" t="s">
        <v>8269</v>
      </c>
      <c r="H2029" s="1" t="s">
        <v>22</v>
      </c>
      <c r="I2029" s="1" t="n">
        <v>20240430084336</v>
      </c>
      <c r="J2029" s="3" t="s">
        <v>8270</v>
      </c>
      <c r="K2029" s="3" t="s">
        <v>8271</v>
      </c>
      <c r="L2029" s="3" t="s">
        <v>8272</v>
      </c>
      <c r="M2029" s="3" t="n">
        <v>288127</v>
      </c>
      <c r="N2029" s="3" t="s">
        <v>3215</v>
      </c>
      <c r="O2029" s="1" t="n">
        <v>271741</v>
      </c>
      <c r="P2029" s="1" t="n">
        <v>94.31</v>
      </c>
      <c r="Q2029" s="1" t="s">
        <v>20</v>
      </c>
      <c r="R2029" s="1" t="s">
        <v>27</v>
      </c>
      <c r="S2029" s="1" t="s">
        <v>28</v>
      </c>
      <c r="T2029" s="1" t="s">
        <v>29</v>
      </c>
    </row>
    <row r="2030" customFormat="false" ht="18.7" hidden="false" customHeight="true" outlineLevel="0" collapsed="false">
      <c r="A2030" s="1" t="n">
        <v>2029</v>
      </c>
      <c r="B2030" s="6" t="str">
        <f aca="false">HYPERLINK("https://mncourtfraud.com/file/MCRO_27-CR-21-23456_Order Revoking Interim Conditions of Release_2023-05-10_20240430084313.pdf","MCRO_27-CR-21-23456_Order Revoking Interim Conditions of Release_2023-05-10_20240430084313.pdf")</f>
        <v>MCRO_27-CR-21-23456_Order Revoking Interim Conditions of Release_2023-05-10_20240430084313.pdf</v>
      </c>
      <c r="C2030" s="1" t="n">
        <v>5</v>
      </c>
      <c r="D2030" s="1" t="n">
        <v>4</v>
      </c>
      <c r="E2030" s="1" t="n">
        <v>4</v>
      </c>
      <c r="F2030" s="3" t="s">
        <v>20</v>
      </c>
      <c r="G2030" s="3" t="s">
        <v>8273</v>
      </c>
      <c r="H2030" s="1" t="s">
        <v>22</v>
      </c>
      <c r="I2030" s="1" t="n">
        <v>20240430084313</v>
      </c>
      <c r="J2030" s="3" t="s">
        <v>8274</v>
      </c>
      <c r="K2030" s="3" t="s">
        <v>8275</v>
      </c>
      <c r="L2030" s="3" t="s">
        <v>8276</v>
      </c>
      <c r="M2030" s="3" t="n">
        <v>399837</v>
      </c>
      <c r="N2030" s="3" t="s">
        <v>1145</v>
      </c>
      <c r="O2030" s="1" t="n">
        <v>383451</v>
      </c>
      <c r="P2030" s="1" t="n">
        <v>95.9</v>
      </c>
      <c r="Q2030" s="1" t="s">
        <v>20</v>
      </c>
      <c r="R2030" s="1" t="s">
        <v>27</v>
      </c>
      <c r="S2030" s="1" t="s">
        <v>28</v>
      </c>
      <c r="T2030" s="1" t="s">
        <v>29</v>
      </c>
    </row>
    <row r="2031" customFormat="false" ht="18.7" hidden="false" customHeight="true" outlineLevel="0" collapsed="false">
      <c r="A2031" s="1" t="n">
        <v>2030</v>
      </c>
      <c r="B2031" s="6" t="str">
        <f aca="false">HYPERLINK("https://mncourtfraud.com/file/MCRO_27-CR-21-23456_Probation Violation Order for Detention_2022-08-08_20240430084323.pdf","MCRO_27-CR-21-23456_Probation Violation Order for Detention_2022-08-08_20240430084323.pdf")</f>
        <v>MCRO_27-CR-21-23456_Probation Violation Order for Detention_2022-08-08_20240430084323.pdf</v>
      </c>
      <c r="C2031" s="1" t="n">
        <v>5</v>
      </c>
      <c r="D2031" s="1" t="n">
        <v>4</v>
      </c>
      <c r="E2031" s="1" t="n">
        <v>3</v>
      </c>
      <c r="F2031" s="3" t="s">
        <v>20</v>
      </c>
      <c r="G2031" s="3" t="s">
        <v>8277</v>
      </c>
      <c r="H2031" s="1" t="s">
        <v>22</v>
      </c>
      <c r="I2031" s="1" t="n">
        <v>20240430084323</v>
      </c>
      <c r="J2031" s="3" t="s">
        <v>8278</v>
      </c>
      <c r="K2031" s="3" t="s">
        <v>8279</v>
      </c>
      <c r="L2031" s="3" t="s">
        <v>8280</v>
      </c>
      <c r="M2031" s="3" t="n">
        <v>345590</v>
      </c>
      <c r="N2031" s="3" t="s">
        <v>3920</v>
      </c>
      <c r="O2031" s="1" t="n">
        <v>329204</v>
      </c>
      <c r="P2031" s="1" t="n">
        <v>95.26</v>
      </c>
      <c r="Q2031" s="1" t="s">
        <v>20</v>
      </c>
      <c r="R2031" s="1" t="s">
        <v>27</v>
      </c>
      <c r="S2031" s="1" t="s">
        <v>28</v>
      </c>
      <c r="T2031" s="1" t="s">
        <v>29</v>
      </c>
    </row>
    <row r="2032" customFormat="false" ht="18.7" hidden="false" customHeight="true" outlineLevel="0" collapsed="false">
      <c r="A2032" s="1" t="n">
        <v>2031</v>
      </c>
      <c r="B2032" s="6" t="str">
        <f aca="false">HYPERLINK("https://mncourtfraud.com/file/MCRO_27-CR-21-23456_Proposed Order or Document_2021-12-28_20240430084343.pdf","MCRO_27-CR-21-23456_Proposed Order or Document_2021-12-28_20240430084343.pdf")</f>
        <v>MCRO_27-CR-21-23456_Proposed Order or Document_2021-12-28_20240430084343.pdf</v>
      </c>
      <c r="C2032" s="1" t="n">
        <v>3</v>
      </c>
      <c r="D2032" s="1" t="n">
        <v>1</v>
      </c>
      <c r="E2032" s="1" t="n">
        <v>1</v>
      </c>
      <c r="F2032" s="3" t="s">
        <v>20</v>
      </c>
      <c r="G2032" s="3" t="s">
        <v>8281</v>
      </c>
      <c r="H2032" s="1" t="s">
        <v>22</v>
      </c>
      <c r="I2032" s="1" t="n">
        <v>20240430084343</v>
      </c>
      <c r="J2032" s="3" t="s">
        <v>8282</v>
      </c>
      <c r="K2032" s="3" t="s">
        <v>8283</v>
      </c>
      <c r="L2032" s="3" t="s">
        <v>8284</v>
      </c>
      <c r="M2032" s="3" t="n">
        <v>183797</v>
      </c>
      <c r="N2032" s="3" t="s">
        <v>577</v>
      </c>
      <c r="O2032" s="1" t="n">
        <v>167411</v>
      </c>
      <c r="P2032" s="1" t="n">
        <v>91.08</v>
      </c>
      <c r="Q2032" s="1" t="s">
        <v>20</v>
      </c>
      <c r="R2032" s="1" t="s">
        <v>27</v>
      </c>
      <c r="S2032" s="1" t="s">
        <v>28</v>
      </c>
      <c r="T2032" s="1" t="s">
        <v>29</v>
      </c>
    </row>
    <row r="2033" customFormat="false" ht="18.7" hidden="false" customHeight="true" outlineLevel="0" collapsed="false">
      <c r="A2033" s="1" t="n">
        <v>2032</v>
      </c>
      <c r="B2033" s="6" t="str">
        <f aca="false">HYPERLINK("https://mncourtfraud.com/file/MCRO_27-CR-21-23456_Proposed Order or Document_2022-03-01_20240430084336.pdf","MCRO_27-CR-21-23456_Proposed Order or Document_2022-03-01_20240430084336.pdf")</f>
        <v>MCRO_27-CR-21-23456_Proposed Order or Document_2022-03-01_20240430084336.pdf</v>
      </c>
      <c r="C2033" s="1" t="n">
        <v>4</v>
      </c>
      <c r="D2033" s="1" t="n">
        <v>1</v>
      </c>
      <c r="E2033" s="1" t="n">
        <v>1</v>
      </c>
      <c r="F2033" s="3" t="s">
        <v>20</v>
      </c>
      <c r="G2033" s="3" t="s">
        <v>8285</v>
      </c>
      <c r="H2033" s="1" t="s">
        <v>22</v>
      </c>
      <c r="I2033" s="1" t="n">
        <v>20240430084336</v>
      </c>
      <c r="J2033" s="3" t="s">
        <v>8286</v>
      </c>
      <c r="K2033" s="3" t="s">
        <v>8287</v>
      </c>
      <c r="L2033" s="3" t="s">
        <v>8288</v>
      </c>
      <c r="M2033" s="3" t="n">
        <v>212583</v>
      </c>
      <c r="N2033" s="3" t="s">
        <v>8138</v>
      </c>
      <c r="O2033" s="1" t="n">
        <v>196197</v>
      </c>
      <c r="P2033" s="1" t="n">
        <v>92.29</v>
      </c>
      <c r="Q2033" s="1" t="s">
        <v>20</v>
      </c>
      <c r="R2033" s="1" t="s">
        <v>27</v>
      </c>
      <c r="S2033" s="1" t="s">
        <v>28</v>
      </c>
      <c r="T2033" s="1" t="s">
        <v>29</v>
      </c>
    </row>
    <row r="2034" customFormat="false" ht="18.7" hidden="false" customHeight="true" outlineLevel="0" collapsed="false">
      <c r="A2034" s="1" t="n">
        <v>2033</v>
      </c>
      <c r="B2034" s="6" t="str">
        <f aca="false">HYPERLINK("https://mncourtfraud.com/file/MCRO_27-CR-21-23456_Proposed Order or Document_2022-08-08_20240430084324.pdf","MCRO_27-CR-21-23456_Proposed Order or Document_2022-08-08_20240430084324.pdf")</f>
        <v>MCRO_27-CR-21-23456_Proposed Order or Document_2022-08-08_20240430084324.pdf</v>
      </c>
      <c r="C2034" s="1" t="n">
        <v>3</v>
      </c>
      <c r="D2034" s="1" t="n">
        <v>1</v>
      </c>
      <c r="E2034" s="1" t="n">
        <v>1</v>
      </c>
      <c r="F2034" s="3" t="s">
        <v>20</v>
      </c>
      <c r="G2034" s="3" t="s">
        <v>8289</v>
      </c>
      <c r="H2034" s="1" t="s">
        <v>22</v>
      </c>
      <c r="I2034" s="1" t="n">
        <v>20240430084324</v>
      </c>
      <c r="J2034" s="3" t="s">
        <v>8290</v>
      </c>
      <c r="K2034" s="3" t="s">
        <v>8291</v>
      </c>
      <c r="L2034" s="3" t="s">
        <v>8292</v>
      </c>
      <c r="M2034" s="3" t="n">
        <v>175036</v>
      </c>
      <c r="N2034" s="3" t="s">
        <v>1512</v>
      </c>
      <c r="O2034" s="1" t="n">
        <v>158650</v>
      </c>
      <c r="P2034" s="1" t="n">
        <v>90.64</v>
      </c>
      <c r="Q2034" s="1" t="s">
        <v>20</v>
      </c>
      <c r="R2034" s="1" t="s">
        <v>27</v>
      </c>
      <c r="S2034" s="1" t="s">
        <v>28</v>
      </c>
      <c r="T2034" s="1" t="s">
        <v>29</v>
      </c>
    </row>
    <row r="2035" customFormat="false" ht="18.7" hidden="false" customHeight="true" outlineLevel="0" collapsed="false">
      <c r="A2035" s="1" t="n">
        <v>2034</v>
      </c>
      <c r="B2035" s="6" t="str">
        <f aca="false">HYPERLINK("https://mncourtfraud.com/file/MCRO_27-CR-21-23456_Proposed Order or Document_2022-12-05_20240430084318.pdf","MCRO_27-CR-21-23456_Proposed Order or Document_2022-12-05_20240430084318.pdf")</f>
        <v>MCRO_27-CR-21-23456_Proposed Order or Document_2022-12-05_20240430084318.pdf</v>
      </c>
      <c r="C2035" s="1" t="n">
        <v>3</v>
      </c>
      <c r="D2035" s="1" t="n">
        <v>1</v>
      </c>
      <c r="E2035" s="1" t="n">
        <v>1</v>
      </c>
      <c r="F2035" s="3" t="s">
        <v>20</v>
      </c>
      <c r="G2035" s="3" t="s">
        <v>8293</v>
      </c>
      <c r="H2035" s="1" t="s">
        <v>22</v>
      </c>
      <c r="I2035" s="1" t="n">
        <v>20240430084318</v>
      </c>
      <c r="J2035" s="3" t="s">
        <v>8294</v>
      </c>
      <c r="K2035" s="3" t="s">
        <v>8295</v>
      </c>
      <c r="L2035" s="3" t="s">
        <v>8296</v>
      </c>
      <c r="M2035" s="3" t="n">
        <v>178952</v>
      </c>
      <c r="N2035" s="3" t="s">
        <v>1115</v>
      </c>
      <c r="O2035" s="1" t="n">
        <v>162566</v>
      </c>
      <c r="P2035" s="1" t="n">
        <v>90.84</v>
      </c>
      <c r="Q2035" s="1" t="s">
        <v>20</v>
      </c>
      <c r="R2035" s="1" t="s">
        <v>27</v>
      </c>
      <c r="S2035" s="1" t="s">
        <v>28</v>
      </c>
      <c r="T2035" s="1" t="s">
        <v>29</v>
      </c>
    </row>
    <row r="2036" customFormat="false" ht="18.7" hidden="false" customHeight="true" outlineLevel="0" collapsed="false">
      <c r="A2036" s="1" t="n">
        <v>2035</v>
      </c>
      <c r="B2036" s="6" t="str">
        <f aca="false">HYPERLINK("https://mncourtfraud.com/file/MCRO_27-CR-21-23456_Proposed Order or Document_2023-05-10_20240430084314.pdf","MCRO_27-CR-21-23456_Proposed Order or Document_2023-05-10_20240430084314.pdf")</f>
        <v>MCRO_27-CR-21-23456_Proposed Order or Document_2023-05-10_20240430084314.pdf</v>
      </c>
      <c r="C2036" s="1" t="n">
        <v>4</v>
      </c>
      <c r="D2036" s="1" t="n">
        <v>1</v>
      </c>
      <c r="E2036" s="1" t="n">
        <v>1</v>
      </c>
      <c r="F2036" s="3" t="s">
        <v>20</v>
      </c>
      <c r="G2036" s="3" t="s">
        <v>8297</v>
      </c>
      <c r="H2036" s="1" t="s">
        <v>22</v>
      </c>
      <c r="I2036" s="1" t="n">
        <v>20240430084314</v>
      </c>
      <c r="J2036" s="3" t="s">
        <v>8298</v>
      </c>
      <c r="K2036" s="3" t="s">
        <v>8299</v>
      </c>
      <c r="L2036" s="3" t="s">
        <v>8300</v>
      </c>
      <c r="M2036" s="3" t="n">
        <v>215490</v>
      </c>
      <c r="N2036" s="3" t="s">
        <v>251</v>
      </c>
      <c r="O2036" s="1" t="n">
        <v>199104</v>
      </c>
      <c r="P2036" s="1" t="n">
        <v>92.4</v>
      </c>
      <c r="Q2036" s="1" t="s">
        <v>20</v>
      </c>
      <c r="R2036" s="1" t="s">
        <v>27</v>
      </c>
      <c r="S2036" s="1" t="s">
        <v>28</v>
      </c>
      <c r="T2036" s="1" t="s">
        <v>29</v>
      </c>
    </row>
    <row r="2037" customFormat="false" ht="18.7" hidden="false" customHeight="true" outlineLevel="0" collapsed="false">
      <c r="A2037" s="1" t="n">
        <v>2036</v>
      </c>
      <c r="B2037" s="6" t="str">
        <f aca="false">HYPERLINK("https://mncourtfraud.com/file/MCRO_27-CR-21-23456_Returned Mail_2024-04-02_20240430084301.pdf","MCRO_27-CR-21-23456_Returned Mail_2024-04-02_20240430084301.pdf")</f>
        <v>MCRO_27-CR-21-23456_Returned Mail_2024-04-02_20240430084301.pdf</v>
      </c>
      <c r="C2037" s="1" t="n">
        <v>4</v>
      </c>
      <c r="D2037" s="1" t="n">
        <v>1</v>
      </c>
      <c r="E2037" s="1" t="n">
        <v>1</v>
      </c>
      <c r="F2037" s="3" t="s">
        <v>20</v>
      </c>
      <c r="G2037" s="3" t="s">
        <v>8301</v>
      </c>
      <c r="H2037" s="1" t="s">
        <v>22</v>
      </c>
      <c r="I2037" s="1" t="n">
        <v>20240430084301</v>
      </c>
      <c r="J2037" s="3" t="s">
        <v>8302</v>
      </c>
      <c r="K2037" s="3" t="s">
        <v>8303</v>
      </c>
      <c r="L2037" s="3" t="s">
        <v>8304</v>
      </c>
      <c r="M2037" s="3" t="n">
        <v>204128</v>
      </c>
      <c r="N2037" s="3" t="s">
        <v>119</v>
      </c>
      <c r="O2037" s="1" t="n">
        <v>187742</v>
      </c>
      <c r="P2037" s="1" t="n">
        <v>91.97</v>
      </c>
      <c r="Q2037" s="1" t="s">
        <v>20</v>
      </c>
      <c r="R2037" s="1" t="s">
        <v>27</v>
      </c>
      <c r="S2037" s="1" t="s">
        <v>28</v>
      </c>
      <c r="T2037" s="1" t="s">
        <v>29</v>
      </c>
    </row>
    <row r="2038" customFormat="false" ht="18.7" hidden="false" customHeight="true" outlineLevel="0" collapsed="false">
      <c r="A2038" s="1" t="n">
        <v>2037</v>
      </c>
      <c r="B2038" s="6" t="str">
        <f aca="false">HYPERLINK("https://mncourtfraud.com/file/MCRO_27-CR-21-23628_Demand or Request for Discovery_2021-12-23_20240430084637.pdf","MCRO_27-CR-21-23628_Demand or Request for Discovery_2021-12-23_20240430084637.pdf")</f>
        <v>MCRO_27-CR-21-23628_Demand or Request for Discovery_2021-12-23_20240430084637.pdf</v>
      </c>
      <c r="C2038" s="1" t="n">
        <v>3</v>
      </c>
      <c r="D2038" s="1" t="n">
        <v>1</v>
      </c>
      <c r="E2038" s="1" t="n">
        <v>1</v>
      </c>
      <c r="F2038" s="3" t="s">
        <v>20</v>
      </c>
      <c r="G2038" s="3" t="s">
        <v>8305</v>
      </c>
      <c r="H2038" s="1" t="s">
        <v>22</v>
      </c>
      <c r="I2038" s="1" t="n">
        <v>20240430084637</v>
      </c>
      <c r="J2038" s="3" t="s">
        <v>8306</v>
      </c>
      <c r="K2038" s="3" t="s">
        <v>8307</v>
      </c>
      <c r="L2038" s="3" t="s">
        <v>8308</v>
      </c>
      <c r="M2038" s="3" t="n">
        <v>376362</v>
      </c>
      <c r="N2038" s="3" t="s">
        <v>8309</v>
      </c>
      <c r="O2038" s="1" t="n">
        <v>359976</v>
      </c>
      <c r="P2038" s="1" t="n">
        <v>95.65</v>
      </c>
      <c r="Q2038" s="1" t="s">
        <v>20</v>
      </c>
      <c r="R2038" s="1" t="s">
        <v>27</v>
      </c>
      <c r="S2038" s="1" t="s">
        <v>28</v>
      </c>
      <c r="T2038" s="1" t="s">
        <v>29</v>
      </c>
    </row>
    <row r="2039" customFormat="false" ht="18.7" hidden="false" customHeight="true" outlineLevel="0" collapsed="false">
      <c r="A2039" s="1" t="n">
        <v>2038</v>
      </c>
      <c r="B2039" s="6" t="str">
        <f aca="false">HYPERLINK("https://mncourtfraud.com/file/MCRO_27-CR-21-23628_Departure Report_2022-04-18_20240430084630.pdf","MCRO_27-CR-21-23628_Departure Report_2022-04-18_20240430084630.pdf")</f>
        <v>MCRO_27-CR-21-23628_Departure Report_2022-04-18_20240430084630.pdf</v>
      </c>
      <c r="C2039" s="1" t="n">
        <v>6</v>
      </c>
      <c r="D2039" s="1" t="n">
        <v>80</v>
      </c>
      <c r="E2039" s="1" t="n">
        <v>1</v>
      </c>
      <c r="F2039" s="3" t="s">
        <v>20</v>
      </c>
      <c r="G2039" s="3" t="s">
        <v>8310</v>
      </c>
      <c r="H2039" s="1" t="s">
        <v>22</v>
      </c>
      <c r="I2039" s="1" t="n">
        <v>20240430084630</v>
      </c>
      <c r="J2039" s="3" t="s">
        <v>8311</v>
      </c>
      <c r="K2039" s="3" t="s">
        <v>8312</v>
      </c>
      <c r="L2039" s="3" t="s">
        <v>8313</v>
      </c>
      <c r="M2039" s="3" t="n">
        <v>388360</v>
      </c>
      <c r="N2039" s="3" t="s">
        <v>8314</v>
      </c>
      <c r="O2039" s="1" t="n">
        <v>371974</v>
      </c>
      <c r="P2039" s="1" t="n">
        <v>95.78</v>
      </c>
      <c r="Q2039" s="1" t="s">
        <v>20</v>
      </c>
      <c r="R2039" s="1" t="s">
        <v>27</v>
      </c>
      <c r="S2039" s="1" t="s">
        <v>28</v>
      </c>
      <c r="T2039" s="1" t="s">
        <v>29</v>
      </c>
    </row>
    <row r="2040" customFormat="false" ht="18.7" hidden="false" customHeight="true" outlineLevel="0" collapsed="false">
      <c r="A2040" s="1" t="n">
        <v>2039</v>
      </c>
      <c r="B2040" s="6" t="str">
        <f aca="false">HYPERLINK("https://mncourtfraud.com/file/MCRO_27-CR-21-23628_Exhibit List_2022-05-06_20240430084622.pdf","MCRO_27-CR-21-23628_Exhibit List_2022-05-06_20240430084622.pdf")</f>
        <v>MCRO_27-CR-21-23628_Exhibit List_2022-05-06_20240430084622.pdf</v>
      </c>
      <c r="C2040" s="1" t="n">
        <v>4</v>
      </c>
      <c r="D2040" s="1" t="n">
        <v>1</v>
      </c>
      <c r="E2040" s="1" t="n">
        <v>1</v>
      </c>
      <c r="F2040" s="3" t="s">
        <v>20</v>
      </c>
      <c r="G2040" s="3" t="s">
        <v>8315</v>
      </c>
      <c r="H2040" s="1" t="s">
        <v>22</v>
      </c>
      <c r="I2040" s="1" t="n">
        <v>20240430084622</v>
      </c>
      <c r="J2040" s="3" t="s">
        <v>8316</v>
      </c>
      <c r="K2040" s="3" t="s">
        <v>8317</v>
      </c>
      <c r="L2040" s="3" t="s">
        <v>8318</v>
      </c>
      <c r="M2040" s="3" t="n">
        <v>1395472</v>
      </c>
      <c r="N2040" s="3" t="s">
        <v>352</v>
      </c>
      <c r="O2040" s="1" t="n">
        <v>1379086</v>
      </c>
      <c r="P2040" s="1" t="n">
        <v>98.83</v>
      </c>
      <c r="Q2040" s="1" t="s">
        <v>20</v>
      </c>
      <c r="R2040" s="1" t="s">
        <v>27</v>
      </c>
      <c r="S2040" s="1" t="s">
        <v>28</v>
      </c>
      <c r="T2040" s="1" t="s">
        <v>29</v>
      </c>
    </row>
    <row r="2041" customFormat="false" ht="18.7" hidden="false" customHeight="true" outlineLevel="0" collapsed="false">
      <c r="A2041" s="1" t="n">
        <v>2040</v>
      </c>
      <c r="B2041" s="6" t="str">
        <f aca="false">HYPERLINK("https://mncourtfraud.com/file/MCRO_27-CR-21-23628_Finding of Incompetency and Order_2023-02-22_20240430084620.pdf","MCRO_27-CR-21-23628_Finding of Incompetency and Order_2023-02-22_20240430084620.pdf")</f>
        <v>MCRO_27-CR-21-23628_Finding of Incompetency and Order_2023-02-22_20240430084620.pdf</v>
      </c>
      <c r="C2041" s="1" t="n">
        <v>9</v>
      </c>
      <c r="D2041" s="1" t="n">
        <v>3</v>
      </c>
      <c r="E2041" s="1" t="n">
        <v>3</v>
      </c>
      <c r="F2041" s="3" t="s">
        <v>27</v>
      </c>
      <c r="G2041" s="3" t="s">
        <v>8319</v>
      </c>
      <c r="H2041" s="1" t="s">
        <v>22</v>
      </c>
      <c r="I2041" s="1" t="n">
        <v>20240430084620</v>
      </c>
      <c r="J2041" s="3" t="s">
        <v>8320</v>
      </c>
      <c r="K2041" s="3" t="s">
        <v>8321</v>
      </c>
      <c r="L2041" s="3" t="s">
        <v>8322</v>
      </c>
      <c r="M2041" s="3" t="n">
        <v>944795</v>
      </c>
      <c r="N2041" s="3" t="s">
        <v>5613</v>
      </c>
      <c r="O2041" s="1" t="n">
        <v>928409</v>
      </c>
      <c r="P2041" s="1" t="n">
        <v>98.27</v>
      </c>
      <c r="Q2041" s="1" t="s">
        <v>20</v>
      </c>
      <c r="R2041" s="1" t="s">
        <v>27</v>
      </c>
      <c r="S2041" s="1" t="s">
        <v>28</v>
      </c>
      <c r="T2041" s="1" t="s">
        <v>29</v>
      </c>
    </row>
    <row r="2042" customFormat="false" ht="18.7" hidden="false" customHeight="true" outlineLevel="0" collapsed="false">
      <c r="A2042" s="1" t="n">
        <v>2041</v>
      </c>
      <c r="B2042" s="6" t="str">
        <f aca="false">HYPERLINK("https://mncourtfraud.com/file/MCRO_27-CR-21-23628_Finding of Incompetency and Order_2024-03-05_20240430084617.pdf","MCRO_27-CR-21-23628_Finding of Incompetency and Order_2024-03-05_20240430084617.pdf")</f>
        <v>MCRO_27-CR-21-23628_Finding of Incompetency and Order_2024-03-05_20240430084617.pdf</v>
      </c>
      <c r="C2042" s="1" t="n">
        <v>5</v>
      </c>
      <c r="D2042" s="1" t="n">
        <v>1</v>
      </c>
      <c r="E2042" s="1" t="n">
        <v>1</v>
      </c>
      <c r="F2042" s="3" t="s">
        <v>20</v>
      </c>
      <c r="G2042" s="3" t="s">
        <v>8323</v>
      </c>
      <c r="H2042" s="1" t="s">
        <v>22</v>
      </c>
      <c r="I2042" s="1" t="n">
        <v>20240430084617</v>
      </c>
      <c r="J2042" s="3" t="s">
        <v>8324</v>
      </c>
      <c r="K2042" s="3" t="s">
        <v>8325</v>
      </c>
      <c r="L2042" s="3" t="s">
        <v>8326</v>
      </c>
      <c r="M2042" s="3" t="n">
        <v>854804</v>
      </c>
      <c r="N2042" s="3" t="s">
        <v>3673</v>
      </c>
      <c r="O2042" s="1" t="n">
        <v>838418</v>
      </c>
      <c r="P2042" s="1" t="n">
        <v>98.08</v>
      </c>
      <c r="Q2042" s="1" t="s">
        <v>20</v>
      </c>
      <c r="R2042" s="1" t="s">
        <v>27</v>
      </c>
      <c r="S2042" s="1" t="s">
        <v>28</v>
      </c>
      <c r="T2042" s="1" t="s">
        <v>29</v>
      </c>
    </row>
    <row r="2043" customFormat="false" ht="18.7" hidden="false" customHeight="true" outlineLevel="0" collapsed="false">
      <c r="A2043" s="1" t="n">
        <v>2042</v>
      </c>
      <c r="B2043" s="6" t="str">
        <f aca="false">HYPERLINK("https://mncourtfraud.com/file/MCRO_27-CR-21-23628_Findings and Order_2022-03-22_20240430084631.pdf","MCRO_27-CR-21-23628_Findings and Order_2022-03-22_20240430084631.pdf")</f>
        <v>MCRO_27-CR-21-23628_Findings and Order_2022-03-22_20240430084631.pdf</v>
      </c>
      <c r="C2043" s="1" t="n">
        <v>3</v>
      </c>
      <c r="D2043" s="1" t="n">
        <v>1</v>
      </c>
      <c r="E2043" s="1" t="n">
        <v>1</v>
      </c>
      <c r="F2043" s="3" t="s">
        <v>20</v>
      </c>
      <c r="G2043" s="3" t="s">
        <v>8327</v>
      </c>
      <c r="H2043" s="1" t="s">
        <v>22</v>
      </c>
      <c r="I2043" s="1" t="n">
        <v>20240430084631</v>
      </c>
      <c r="J2043" s="3" t="s">
        <v>8328</v>
      </c>
      <c r="K2043" s="3" t="s">
        <v>8329</v>
      </c>
      <c r="L2043" s="3" t="s">
        <v>8330</v>
      </c>
      <c r="M2043" s="3" t="n">
        <v>222687</v>
      </c>
      <c r="N2043" s="3" t="s">
        <v>114</v>
      </c>
      <c r="O2043" s="1" t="n">
        <v>206301</v>
      </c>
      <c r="P2043" s="1" t="n">
        <v>92.64</v>
      </c>
      <c r="Q2043" s="1" t="s">
        <v>20</v>
      </c>
      <c r="R2043" s="1" t="s">
        <v>27</v>
      </c>
      <c r="S2043" s="1" t="s">
        <v>28</v>
      </c>
      <c r="T2043" s="1" t="s">
        <v>29</v>
      </c>
    </row>
    <row r="2044" customFormat="false" ht="18.7" hidden="false" customHeight="true" outlineLevel="0" collapsed="false">
      <c r="A2044" s="1" t="n">
        <v>2043</v>
      </c>
      <c r="B2044" s="6" t="str">
        <f aca="false">HYPERLINK("https://mncourtfraud.com/file/MCRO_27-CR-21-23628_Notice of Motion and Motion_2022-01-31_20240430084636.pdf","MCRO_27-CR-21-23628_Notice of Motion and Motion_2022-01-31_20240430084636.pdf")</f>
        <v>MCRO_27-CR-21-23628_Notice of Motion and Motion_2022-01-31_20240430084636.pdf</v>
      </c>
      <c r="C2044" s="1" t="n">
        <v>3</v>
      </c>
      <c r="D2044" s="1" t="n">
        <v>1</v>
      </c>
      <c r="E2044" s="1" t="n">
        <v>1</v>
      </c>
      <c r="F2044" s="3" t="s">
        <v>20</v>
      </c>
      <c r="G2044" s="3" t="s">
        <v>8331</v>
      </c>
      <c r="H2044" s="1" t="s">
        <v>22</v>
      </c>
      <c r="I2044" s="1" t="n">
        <v>20240430084636</v>
      </c>
      <c r="J2044" s="3" t="s">
        <v>8332</v>
      </c>
      <c r="K2044" s="3" t="s">
        <v>8333</v>
      </c>
      <c r="L2044" s="3" t="s">
        <v>8334</v>
      </c>
      <c r="M2044" s="3" t="n">
        <v>320705</v>
      </c>
      <c r="N2044" s="3" t="s">
        <v>6697</v>
      </c>
      <c r="O2044" s="1" t="n">
        <v>304319</v>
      </c>
      <c r="P2044" s="1" t="n">
        <v>94.89</v>
      </c>
      <c r="Q2044" s="1" t="s">
        <v>20</v>
      </c>
      <c r="R2044" s="1" t="s">
        <v>27</v>
      </c>
      <c r="S2044" s="1" t="s">
        <v>28</v>
      </c>
      <c r="T2044" s="1" t="s">
        <v>29</v>
      </c>
    </row>
    <row r="2045" customFormat="false" ht="18.7" hidden="false" customHeight="true" outlineLevel="0" collapsed="false">
      <c r="A2045" s="1" t="n">
        <v>2044</v>
      </c>
      <c r="B2045" s="6" t="str">
        <f aca="false">HYPERLINK("https://mncourtfraud.com/file/MCRO_27-CR-21-23628_Notice of Remote Hearing with Instructions_2022-04-28_20240430084623.pdf","MCRO_27-CR-21-23628_Notice of Remote Hearing with Instructions_2022-04-28_20240430084623.pdf")</f>
        <v>MCRO_27-CR-21-23628_Notice of Remote Hearing with Instructions_2022-04-28_20240430084623.pdf</v>
      </c>
      <c r="C2045" s="1" t="n">
        <v>5</v>
      </c>
      <c r="D2045" s="1" t="n">
        <v>1</v>
      </c>
      <c r="E2045" s="1" t="n">
        <v>1</v>
      </c>
      <c r="F2045" s="3" t="s">
        <v>20</v>
      </c>
      <c r="G2045" s="3" t="s">
        <v>8335</v>
      </c>
      <c r="H2045" s="1" t="s">
        <v>22</v>
      </c>
      <c r="I2045" s="1" t="n">
        <v>20240430084623</v>
      </c>
      <c r="J2045" s="3" t="s">
        <v>8336</v>
      </c>
      <c r="K2045" s="3" t="s">
        <v>8337</v>
      </c>
      <c r="L2045" s="3" t="s">
        <v>8338</v>
      </c>
      <c r="M2045" s="3" t="n">
        <v>841536</v>
      </c>
      <c r="N2045" s="3" t="s">
        <v>849</v>
      </c>
      <c r="O2045" s="1" t="n">
        <v>825150</v>
      </c>
      <c r="P2045" s="1" t="n">
        <v>98.05</v>
      </c>
      <c r="Q2045" s="1" t="s">
        <v>20</v>
      </c>
      <c r="R2045" s="1" t="s">
        <v>27</v>
      </c>
      <c r="S2045" s="1" t="s">
        <v>28</v>
      </c>
      <c r="T2045" s="1" t="s">
        <v>29</v>
      </c>
    </row>
    <row r="2046" customFormat="false" ht="18.7" hidden="false" customHeight="true" outlineLevel="0" collapsed="false">
      <c r="A2046" s="1" t="n">
        <v>2045</v>
      </c>
      <c r="B2046" s="6" t="str">
        <f aca="false">HYPERLINK("https://mncourtfraud.com/file/MCRO_27-CR-21-23628_Notice of Remote Hearing with Instructions_2024-03-05_20240430084616.pdf","MCRO_27-CR-21-23628_Notice of Remote Hearing with Instructions_2024-03-05_20240430084616.pdf")</f>
        <v>MCRO_27-CR-21-23628_Notice of Remote Hearing with Instructions_2024-03-05_20240430084616.pdf</v>
      </c>
      <c r="C2046" s="1" t="n">
        <v>4</v>
      </c>
      <c r="D2046" s="1" t="n">
        <v>1</v>
      </c>
      <c r="E2046" s="1" t="n">
        <v>1</v>
      </c>
      <c r="F2046" s="3" t="s">
        <v>20</v>
      </c>
      <c r="G2046" s="3" t="s">
        <v>8339</v>
      </c>
      <c r="H2046" s="1" t="s">
        <v>22</v>
      </c>
      <c r="I2046" s="1" t="n">
        <v>20240430084616</v>
      </c>
      <c r="J2046" s="3" t="s">
        <v>8340</v>
      </c>
      <c r="K2046" s="3" t="s">
        <v>8341</v>
      </c>
      <c r="L2046" s="3" t="s">
        <v>8342</v>
      </c>
      <c r="M2046" s="3" t="n">
        <v>256301</v>
      </c>
      <c r="N2046" s="3" t="s">
        <v>74</v>
      </c>
      <c r="O2046" s="1" t="n">
        <v>239915</v>
      </c>
      <c r="P2046" s="1" t="n">
        <v>93.61</v>
      </c>
      <c r="Q2046" s="1" t="s">
        <v>20</v>
      </c>
      <c r="R2046" s="1" t="s">
        <v>27</v>
      </c>
      <c r="S2046" s="1" t="s">
        <v>28</v>
      </c>
      <c r="T2046" s="1" t="s">
        <v>29</v>
      </c>
    </row>
    <row r="2047" customFormat="false" ht="18.7" hidden="false" customHeight="true" outlineLevel="0" collapsed="false">
      <c r="A2047" s="1" t="n">
        <v>2046</v>
      </c>
      <c r="B2047" s="6" t="str">
        <f aca="false">HYPERLINK("https://mncourtfraud.com/file/MCRO_27-CR-21-23628_Order-Evaluation for Competency to Proceed (Rule 20.01)_2023-01-18_20240430084621.pdf","MCRO_27-CR-21-23628_Order-Evaluation for Competency to Proceed (Rule 20.01)_2023-01-18_20240430084621.pdf")</f>
        <v>MCRO_27-CR-21-23628_Order-Evaluation for Competency to Proceed (Rule 20.01)_2023-01-18_20240430084621.pdf</v>
      </c>
      <c r="C2047" s="1" t="n">
        <v>10</v>
      </c>
      <c r="D2047" s="1" t="n">
        <v>4</v>
      </c>
      <c r="E2047" s="1" t="n">
        <v>4</v>
      </c>
      <c r="F2047" s="3" t="s">
        <v>27</v>
      </c>
      <c r="G2047" s="3" t="s">
        <v>8343</v>
      </c>
      <c r="H2047" s="1" t="s">
        <v>22</v>
      </c>
      <c r="I2047" s="1" t="n">
        <v>20240430084621</v>
      </c>
      <c r="J2047" s="3" t="s">
        <v>8344</v>
      </c>
      <c r="K2047" s="3" t="s">
        <v>8345</v>
      </c>
      <c r="L2047" s="3" t="s">
        <v>8346</v>
      </c>
      <c r="M2047" s="3" t="n">
        <v>1176163</v>
      </c>
      <c r="N2047" s="3" t="s">
        <v>8347</v>
      </c>
      <c r="O2047" s="1" t="n">
        <v>1159777</v>
      </c>
      <c r="P2047" s="1" t="n">
        <v>98.61</v>
      </c>
      <c r="Q2047" s="1" t="s">
        <v>20</v>
      </c>
      <c r="R2047" s="1" t="s">
        <v>27</v>
      </c>
      <c r="S2047" s="1" t="s">
        <v>28</v>
      </c>
      <c r="T2047" s="1" t="s">
        <v>29</v>
      </c>
    </row>
    <row r="2048" customFormat="false" ht="18.7" hidden="false" customHeight="true" outlineLevel="0" collapsed="false">
      <c r="A2048" s="1" t="n">
        <v>2047</v>
      </c>
      <c r="B2048" s="6" t="str">
        <f aca="false">HYPERLINK("https://mncourtfraud.com/file/MCRO_27-CR-21-23628_Order-Evaluation for Competency to Proceed (Rule 20.01)_2023-06-12_20240430084619.pdf","MCRO_27-CR-21-23628_Order-Evaluation for Competency to Proceed (Rule 20.01)_2023-06-12_20240430084619.pdf")</f>
        <v>MCRO_27-CR-21-23628_Order-Evaluation for Competency to Proceed (Rule 20.01)_2023-06-12_20240430084619.pdf</v>
      </c>
      <c r="C2048" s="1" t="n">
        <v>6</v>
      </c>
      <c r="D2048" s="1" t="n">
        <v>2</v>
      </c>
      <c r="E2048" s="1" t="n">
        <v>2</v>
      </c>
      <c r="F2048" s="3" t="s">
        <v>27</v>
      </c>
      <c r="G2048" s="3" t="s">
        <v>8348</v>
      </c>
      <c r="H2048" s="1" t="s">
        <v>22</v>
      </c>
      <c r="I2048" s="1" t="n">
        <v>20240430084619</v>
      </c>
      <c r="J2048" s="3" t="s">
        <v>8349</v>
      </c>
      <c r="K2048" s="3" t="s">
        <v>8350</v>
      </c>
      <c r="L2048" s="3" t="s">
        <v>8351</v>
      </c>
      <c r="M2048" s="3" t="n">
        <v>894083</v>
      </c>
      <c r="N2048" s="3" t="s">
        <v>810</v>
      </c>
      <c r="O2048" s="1" t="n">
        <v>877697</v>
      </c>
      <c r="P2048" s="1" t="n">
        <v>98.17</v>
      </c>
      <c r="Q2048" s="1" t="s">
        <v>20</v>
      </c>
      <c r="R2048" s="1" t="s">
        <v>27</v>
      </c>
      <c r="S2048" s="1" t="s">
        <v>28</v>
      </c>
      <c r="T2048" s="1" t="s">
        <v>29</v>
      </c>
    </row>
    <row r="2049" customFormat="false" ht="18.7" hidden="false" customHeight="true" outlineLevel="0" collapsed="false">
      <c r="A2049" s="1" t="n">
        <v>2048</v>
      </c>
      <c r="B2049" s="6" t="str">
        <f aca="false">HYPERLINK("https://mncourtfraud.com/file/MCRO_27-CR-21-23628_Order-Evaluation for Competency to Proceed (Rule 20.01)_2024-02-02_20240430084618.pdf","MCRO_27-CR-21-23628_Order-Evaluation for Competency to Proceed (Rule 20.01)_2024-02-02_20240430084618.pdf")</f>
        <v>MCRO_27-CR-21-23628_Order-Evaluation for Competency to Proceed (Rule 20.01)_2024-02-02_20240430084618.pdf</v>
      </c>
      <c r="C2049" s="1" t="n">
        <v>4</v>
      </c>
      <c r="D2049" s="1" t="n">
        <v>1</v>
      </c>
      <c r="E2049" s="1" t="n">
        <v>1</v>
      </c>
      <c r="F2049" s="3" t="s">
        <v>20</v>
      </c>
      <c r="G2049" s="3" t="s">
        <v>8352</v>
      </c>
      <c r="H2049" s="1" t="s">
        <v>22</v>
      </c>
      <c r="I2049" s="1" t="n">
        <v>20240430084618</v>
      </c>
      <c r="J2049" s="3" t="s">
        <v>8353</v>
      </c>
      <c r="K2049" s="3" t="s">
        <v>8354</v>
      </c>
      <c r="L2049" s="3" t="s">
        <v>8355</v>
      </c>
      <c r="M2049" s="3" t="n">
        <v>146359</v>
      </c>
      <c r="N2049" s="3" t="s">
        <v>1159</v>
      </c>
      <c r="O2049" s="1" t="n">
        <v>129973</v>
      </c>
      <c r="P2049" s="1" t="n">
        <v>88.8</v>
      </c>
      <c r="Q2049" s="1" t="s">
        <v>20</v>
      </c>
      <c r="R2049" s="1" t="s">
        <v>27</v>
      </c>
      <c r="S2049" s="1" t="s">
        <v>28</v>
      </c>
      <c r="T2049" s="1" t="s">
        <v>29</v>
      </c>
    </row>
    <row r="2050" customFormat="false" ht="18.7" hidden="false" customHeight="true" outlineLevel="0" collapsed="false">
      <c r="A2050" s="1" t="n">
        <v>2049</v>
      </c>
      <c r="B2050" s="6" t="str">
        <f aca="false">HYPERLINK("https://mncourtfraud.com/file/MCRO_27-CR-21-23628_Order-Other_2022-04-18_20240430084628.pdf","MCRO_27-CR-21-23628_Order-Other_2022-04-18_20240430084628.pdf")</f>
        <v>MCRO_27-CR-21-23628_Order-Other_2022-04-18_20240430084628.pdf</v>
      </c>
      <c r="C2050" s="1" t="n">
        <v>4</v>
      </c>
      <c r="D2050" s="1" t="n">
        <v>1</v>
      </c>
      <c r="E2050" s="1" t="n">
        <v>1</v>
      </c>
      <c r="F2050" s="3" t="s">
        <v>20</v>
      </c>
      <c r="G2050" s="3" t="s">
        <v>8356</v>
      </c>
      <c r="H2050" s="1" t="s">
        <v>22</v>
      </c>
      <c r="I2050" s="1" t="n">
        <v>20240430084628</v>
      </c>
      <c r="J2050" s="3" t="s">
        <v>8357</v>
      </c>
      <c r="K2050" s="3" t="s">
        <v>8358</v>
      </c>
      <c r="L2050" s="3" t="s">
        <v>8359</v>
      </c>
      <c r="M2050" s="3" t="n">
        <v>266161</v>
      </c>
      <c r="N2050" s="3" t="s">
        <v>588</v>
      </c>
      <c r="O2050" s="1" t="n">
        <v>249775</v>
      </c>
      <c r="P2050" s="1" t="n">
        <v>93.84</v>
      </c>
      <c r="Q2050" s="1" t="s">
        <v>20</v>
      </c>
      <c r="R2050" s="1" t="s">
        <v>27</v>
      </c>
      <c r="S2050" s="1" t="s">
        <v>28</v>
      </c>
      <c r="T2050" s="1" t="s">
        <v>29</v>
      </c>
    </row>
    <row r="2051" customFormat="false" ht="18.7" hidden="false" customHeight="true" outlineLevel="0" collapsed="false">
      <c r="A2051" s="1" t="n">
        <v>2050</v>
      </c>
      <c r="B2051" s="6" t="str">
        <f aca="false">HYPERLINK("https://mncourtfraud.com/file/MCRO_27-CR-21-23628_Order-Other_2022-04-28_20240430084624.pdf","MCRO_27-CR-21-23628_Order-Other_2022-04-28_20240430084624.pdf")</f>
        <v>MCRO_27-CR-21-23628_Order-Other_2022-04-28_20240430084624.pdf</v>
      </c>
      <c r="C2051" s="1" t="n">
        <v>7</v>
      </c>
      <c r="D2051" s="1" t="n">
        <v>2</v>
      </c>
      <c r="E2051" s="1" t="n">
        <v>2</v>
      </c>
      <c r="F2051" s="3" t="s">
        <v>20</v>
      </c>
      <c r="G2051" s="3" t="s">
        <v>8360</v>
      </c>
      <c r="H2051" s="1" t="s">
        <v>22</v>
      </c>
      <c r="I2051" s="1" t="n">
        <v>20240430084624</v>
      </c>
      <c r="J2051" s="3" t="s">
        <v>8361</v>
      </c>
      <c r="K2051" s="3" t="s">
        <v>8362</v>
      </c>
      <c r="L2051" s="3" t="s">
        <v>8363</v>
      </c>
      <c r="M2051" s="3" t="n">
        <v>843805</v>
      </c>
      <c r="N2051" s="3" t="s">
        <v>2239</v>
      </c>
      <c r="O2051" s="1" t="n">
        <v>827419</v>
      </c>
      <c r="P2051" s="1" t="n">
        <v>98.06</v>
      </c>
      <c r="Q2051" s="1" t="s">
        <v>20</v>
      </c>
      <c r="R2051" s="1" t="s">
        <v>27</v>
      </c>
      <c r="S2051" s="1" t="s">
        <v>28</v>
      </c>
      <c r="T2051" s="1" t="s">
        <v>29</v>
      </c>
    </row>
    <row r="2052" customFormat="false" ht="18.7" hidden="false" customHeight="true" outlineLevel="0" collapsed="false">
      <c r="A2052" s="1" t="n">
        <v>2051</v>
      </c>
      <c r="B2052" s="6" t="str">
        <f aca="false">HYPERLINK("https://mncourtfraud.com/file/MCRO_27-CR-21-23628_Other Document_2022-03-11_20240430084635.pdf","MCRO_27-CR-21-23628_Other Document_2022-03-11_20240430084635.pdf")</f>
        <v>MCRO_27-CR-21-23628_Other Document_2022-03-11_20240430084635.pdf</v>
      </c>
      <c r="C2052" s="1" t="n">
        <v>3</v>
      </c>
      <c r="D2052" s="1" t="n">
        <v>1</v>
      </c>
      <c r="E2052" s="1" t="n">
        <v>1</v>
      </c>
      <c r="F2052" s="3" t="s">
        <v>20</v>
      </c>
      <c r="G2052" s="3" t="s">
        <v>8364</v>
      </c>
      <c r="H2052" s="1" t="s">
        <v>22</v>
      </c>
      <c r="I2052" s="1" t="n">
        <v>20240430084635</v>
      </c>
      <c r="J2052" s="3" t="s">
        <v>8365</v>
      </c>
      <c r="K2052" s="3" t="s">
        <v>8366</v>
      </c>
      <c r="L2052" s="3" t="s">
        <v>8367</v>
      </c>
      <c r="M2052" s="3" t="n">
        <v>270052</v>
      </c>
      <c r="N2052" s="3" t="s">
        <v>1645</v>
      </c>
      <c r="O2052" s="1" t="n">
        <v>253666</v>
      </c>
      <c r="P2052" s="1" t="n">
        <v>93.93</v>
      </c>
      <c r="Q2052" s="1" t="s">
        <v>20</v>
      </c>
      <c r="R2052" s="1" t="s">
        <v>27</v>
      </c>
      <c r="S2052" s="1" t="s">
        <v>28</v>
      </c>
      <c r="T2052" s="1" t="s">
        <v>29</v>
      </c>
    </row>
    <row r="2053" customFormat="false" ht="18.7" hidden="false" customHeight="true" outlineLevel="0" collapsed="false">
      <c r="A2053" s="1" t="n">
        <v>2052</v>
      </c>
      <c r="B2053" s="6" t="str">
        <f aca="false">HYPERLINK("https://mncourtfraud.com/file/MCRO_27-CR-21-23628_Probation Referral Notification_2022-03-22_20240430084632.pdf","MCRO_27-CR-21-23628_Probation Referral Notification_2022-03-22_20240430084632.pdf")</f>
        <v>MCRO_27-CR-21-23628_Probation Referral Notification_2022-03-22_20240430084632.pdf</v>
      </c>
      <c r="C2053" s="1" t="n">
        <v>4</v>
      </c>
      <c r="D2053" s="1" t="n">
        <v>1</v>
      </c>
      <c r="E2053" s="1" t="n">
        <v>1</v>
      </c>
      <c r="F2053" s="3" t="s">
        <v>20</v>
      </c>
      <c r="G2053" s="3" t="s">
        <v>8368</v>
      </c>
      <c r="H2053" s="1" t="s">
        <v>22</v>
      </c>
      <c r="I2053" s="1" t="n">
        <v>20240430084632</v>
      </c>
      <c r="J2053" s="3" t="s">
        <v>8369</v>
      </c>
      <c r="K2053" s="3" t="s">
        <v>8370</v>
      </c>
      <c r="L2053" s="3" t="s">
        <v>8371</v>
      </c>
      <c r="M2053" s="3" t="n">
        <v>339570</v>
      </c>
      <c r="N2053" s="3" t="s">
        <v>8372</v>
      </c>
      <c r="O2053" s="1" t="n">
        <v>323184</v>
      </c>
      <c r="P2053" s="1" t="n">
        <v>95.17</v>
      </c>
      <c r="Q2053" s="1" t="s">
        <v>20</v>
      </c>
      <c r="R2053" s="1" t="s">
        <v>27</v>
      </c>
      <c r="S2053" s="1" t="s">
        <v>28</v>
      </c>
      <c r="T2053" s="1" t="s">
        <v>29</v>
      </c>
    </row>
    <row r="2054" customFormat="false" ht="18.7" hidden="false" customHeight="true" outlineLevel="0" collapsed="false">
      <c r="A2054" s="1" t="n">
        <v>2053</v>
      </c>
      <c r="B2054" s="6" t="str">
        <f aca="false">HYPERLINK("https://mncourtfraud.com/file/MCRO_27-CR-21-23628_Probation Violation Order for Detention_2022-04-27_20240430084625.pdf","MCRO_27-CR-21-23628_Probation Violation Order for Detention_2022-04-27_20240430084625.pdf")</f>
        <v>MCRO_27-CR-21-23628_Probation Violation Order for Detention_2022-04-27_20240430084625.pdf</v>
      </c>
      <c r="C2054" s="1" t="n">
        <v>5</v>
      </c>
      <c r="D2054" s="1" t="n">
        <v>4</v>
      </c>
      <c r="E2054" s="1" t="n">
        <v>4</v>
      </c>
      <c r="F2054" s="3" t="s">
        <v>20</v>
      </c>
      <c r="G2054" s="3" t="s">
        <v>8373</v>
      </c>
      <c r="H2054" s="1" t="s">
        <v>22</v>
      </c>
      <c r="I2054" s="1" t="n">
        <v>20240430084625</v>
      </c>
      <c r="J2054" s="3" t="s">
        <v>8374</v>
      </c>
      <c r="K2054" s="3" t="s">
        <v>8375</v>
      </c>
      <c r="L2054" s="3" t="s">
        <v>8376</v>
      </c>
      <c r="M2054" s="3" t="n">
        <v>281402</v>
      </c>
      <c r="N2054" s="3" t="s">
        <v>8377</v>
      </c>
      <c r="O2054" s="1" t="n">
        <v>265016</v>
      </c>
      <c r="P2054" s="1" t="n">
        <v>94.18</v>
      </c>
      <c r="Q2054" s="1" t="s">
        <v>20</v>
      </c>
      <c r="R2054" s="1" t="s">
        <v>27</v>
      </c>
      <c r="S2054" s="1" t="s">
        <v>28</v>
      </c>
      <c r="T2054" s="1" t="s">
        <v>29</v>
      </c>
    </row>
    <row r="2055" customFormat="false" ht="18.7" hidden="false" customHeight="true" outlineLevel="0" collapsed="false">
      <c r="A2055" s="1" t="n">
        <v>2054</v>
      </c>
      <c r="B2055" s="6" t="str">
        <f aca="false">HYPERLINK("https://mncourtfraud.com/file/MCRO_27-CR-21-23628_Proposed Order or Document_2022-03-11_20240430084634.pdf","MCRO_27-CR-21-23628_Proposed Order or Document_2022-03-11_20240430084634.pdf")</f>
        <v>MCRO_27-CR-21-23628_Proposed Order or Document_2022-03-11_20240430084634.pdf</v>
      </c>
      <c r="C2055" s="1" t="n">
        <v>3</v>
      </c>
      <c r="D2055" s="1" t="n">
        <v>1</v>
      </c>
      <c r="E2055" s="1" t="n">
        <v>1</v>
      </c>
      <c r="F2055" s="3" t="s">
        <v>20</v>
      </c>
      <c r="G2055" s="3" t="s">
        <v>8378</v>
      </c>
      <c r="H2055" s="1" t="s">
        <v>22</v>
      </c>
      <c r="I2055" s="1" t="n">
        <v>20240430084634</v>
      </c>
      <c r="J2055" s="3" t="s">
        <v>8379</v>
      </c>
      <c r="K2055" s="3" t="s">
        <v>8380</v>
      </c>
      <c r="L2055" s="3" t="s">
        <v>8381</v>
      </c>
      <c r="M2055" s="3" t="n">
        <v>540649</v>
      </c>
      <c r="N2055" s="3" t="s">
        <v>8382</v>
      </c>
      <c r="O2055" s="1" t="n">
        <v>524263</v>
      </c>
      <c r="P2055" s="1" t="n">
        <v>96.97</v>
      </c>
      <c r="Q2055" s="1" t="s">
        <v>20</v>
      </c>
      <c r="R2055" s="1" t="s">
        <v>27</v>
      </c>
      <c r="S2055" s="1" t="s">
        <v>28</v>
      </c>
      <c r="T2055" s="1" t="s">
        <v>29</v>
      </c>
    </row>
    <row r="2056" customFormat="false" ht="18.7" hidden="false" customHeight="true" outlineLevel="0" collapsed="false">
      <c r="A2056" s="1" t="n">
        <v>2055</v>
      </c>
      <c r="B2056" s="6" t="str">
        <f aca="false">HYPERLINK("https://mncourtfraud.com/file/MCRO_27-CR-21-23628_Proposed Order or Document_2022-04-27_20240430084626.pdf","MCRO_27-CR-21-23628_Proposed Order or Document_2022-04-27_20240430084626.pdf")</f>
        <v>MCRO_27-CR-21-23628_Proposed Order or Document_2022-04-27_20240430084626.pdf</v>
      </c>
      <c r="C2056" s="1" t="n">
        <v>3</v>
      </c>
      <c r="D2056" s="1" t="n">
        <v>1</v>
      </c>
      <c r="E2056" s="1" t="n">
        <v>1</v>
      </c>
      <c r="F2056" s="3" t="s">
        <v>20</v>
      </c>
      <c r="G2056" s="3" t="s">
        <v>8383</v>
      </c>
      <c r="H2056" s="1" t="s">
        <v>22</v>
      </c>
      <c r="I2056" s="1" t="n">
        <v>20240430084626</v>
      </c>
      <c r="J2056" s="3" t="s">
        <v>8384</v>
      </c>
      <c r="K2056" s="3" t="s">
        <v>8385</v>
      </c>
      <c r="L2056" s="3" t="s">
        <v>8386</v>
      </c>
      <c r="M2056" s="3" t="n">
        <v>140238</v>
      </c>
      <c r="N2056" s="3" t="s">
        <v>8387</v>
      </c>
      <c r="O2056" s="1" t="n">
        <v>123852</v>
      </c>
      <c r="P2056" s="1" t="n">
        <v>88.32</v>
      </c>
      <c r="Q2056" s="1" t="s">
        <v>20</v>
      </c>
      <c r="R2056" s="1" t="s">
        <v>27</v>
      </c>
      <c r="S2056" s="1" t="s">
        <v>28</v>
      </c>
      <c r="T2056" s="1" t="s">
        <v>29</v>
      </c>
    </row>
    <row r="2057" customFormat="false" ht="18.7" hidden="false" customHeight="true" outlineLevel="0" collapsed="false">
      <c r="A2057" s="1" t="n">
        <v>2056</v>
      </c>
      <c r="B2057" s="6" t="str">
        <f aca="false">HYPERLINK("https://mncourtfraud.com/file/MCRO_27-CR-21-23628_Returned Mail_2024-03-11_20240430084615.pdf","MCRO_27-CR-21-23628_Returned Mail_2024-03-11_20240430084615.pdf")</f>
        <v>MCRO_27-CR-21-23628_Returned Mail_2024-03-11_20240430084615.pdf</v>
      </c>
      <c r="C2057" s="1" t="n">
        <v>4</v>
      </c>
      <c r="D2057" s="1" t="n">
        <v>1</v>
      </c>
      <c r="E2057" s="1" t="n">
        <v>1</v>
      </c>
      <c r="F2057" s="3" t="s">
        <v>20</v>
      </c>
      <c r="G2057" s="3" t="s">
        <v>8388</v>
      </c>
      <c r="H2057" s="1" t="s">
        <v>22</v>
      </c>
      <c r="I2057" s="1" t="n">
        <v>20240430084615</v>
      </c>
      <c r="J2057" s="3" t="s">
        <v>8389</v>
      </c>
      <c r="K2057" s="3" t="s">
        <v>8390</v>
      </c>
      <c r="L2057" s="3" t="s">
        <v>8391</v>
      </c>
      <c r="M2057" s="3" t="n">
        <v>113066</v>
      </c>
      <c r="N2057" s="3" t="s">
        <v>1159</v>
      </c>
      <c r="O2057" s="1" t="n">
        <v>96680</v>
      </c>
      <c r="P2057" s="1" t="n">
        <v>85.51</v>
      </c>
      <c r="Q2057" s="1" t="s">
        <v>20</v>
      </c>
      <c r="R2057" s="1" t="s">
        <v>27</v>
      </c>
      <c r="S2057" s="1" t="s">
        <v>28</v>
      </c>
      <c r="T2057" s="1" t="s">
        <v>29</v>
      </c>
    </row>
    <row r="2058" customFormat="false" ht="18.7" hidden="false" customHeight="true" outlineLevel="0" collapsed="false">
      <c r="A2058" s="1" t="n">
        <v>2057</v>
      </c>
      <c r="B2058" s="6" t="str">
        <f aca="false">HYPERLINK("https://mncourtfraud.com/file/MCRO_27-CR-21-23628_Sentencing Order_2022-04-18_20240430084628.pdf","MCRO_27-CR-21-23628_Sentencing Order_2022-04-18_20240430084628.pdf")</f>
        <v>MCRO_27-CR-21-23628_Sentencing Order_2022-04-18_20240430084628.pdf</v>
      </c>
      <c r="C2058" s="1" t="n">
        <v>4</v>
      </c>
      <c r="D2058" s="1" t="n">
        <v>1</v>
      </c>
      <c r="E2058" s="1" t="n">
        <v>1</v>
      </c>
      <c r="F2058" s="3" t="s">
        <v>20</v>
      </c>
      <c r="G2058" s="3" t="s">
        <v>8392</v>
      </c>
      <c r="H2058" s="1" t="s">
        <v>22</v>
      </c>
      <c r="I2058" s="1" t="n">
        <v>20240430084628</v>
      </c>
      <c r="J2058" s="3" t="s">
        <v>8393</v>
      </c>
      <c r="K2058" s="3" t="s">
        <v>8394</v>
      </c>
      <c r="L2058" s="3" t="s">
        <v>8395</v>
      </c>
      <c r="M2058" s="3" t="n">
        <v>272615</v>
      </c>
      <c r="N2058" s="3" t="s">
        <v>366</v>
      </c>
      <c r="O2058" s="1" t="n">
        <v>256229</v>
      </c>
      <c r="P2058" s="1" t="n">
        <v>93.99</v>
      </c>
      <c r="Q2058" s="1" t="s">
        <v>20</v>
      </c>
      <c r="R2058" s="1" t="s">
        <v>27</v>
      </c>
      <c r="S2058" s="1" t="s">
        <v>28</v>
      </c>
      <c r="T2058" s="1" t="s">
        <v>29</v>
      </c>
    </row>
    <row r="2059" customFormat="false" ht="18.7" hidden="false" customHeight="true" outlineLevel="0" collapsed="false">
      <c r="A2059" s="1" t="n">
        <v>2058</v>
      </c>
      <c r="B2059" s="6" t="str">
        <f aca="false">HYPERLINK("https://mncourtfraud.com/file/MCRO_27-CR-21-23628_Waiver_2022-03-18_20240430084633.pdf","MCRO_27-CR-21-23628_Waiver_2022-03-18_20240430084633.pdf")</f>
        <v>MCRO_27-CR-21-23628_Waiver_2022-03-18_20240430084633.pdf</v>
      </c>
      <c r="C2059" s="1" t="n">
        <v>4</v>
      </c>
      <c r="D2059" s="1" t="n">
        <v>1</v>
      </c>
      <c r="E2059" s="1" t="n">
        <v>1</v>
      </c>
      <c r="F2059" s="3" t="s">
        <v>20</v>
      </c>
      <c r="G2059" s="3" t="s">
        <v>8396</v>
      </c>
      <c r="H2059" s="1" t="s">
        <v>22</v>
      </c>
      <c r="I2059" s="1" t="n">
        <v>20240430084633</v>
      </c>
      <c r="J2059" s="3" t="s">
        <v>8397</v>
      </c>
      <c r="K2059" s="3" t="s">
        <v>8398</v>
      </c>
      <c r="L2059" s="3" t="s">
        <v>8399</v>
      </c>
      <c r="M2059" s="3" t="n">
        <v>1119203</v>
      </c>
      <c r="N2059" s="3" t="s">
        <v>7301</v>
      </c>
      <c r="O2059" s="1" t="n">
        <v>1102817</v>
      </c>
      <c r="P2059" s="1" t="n">
        <v>98.54</v>
      </c>
      <c r="Q2059" s="1" t="s">
        <v>20</v>
      </c>
      <c r="R2059" s="1" t="s">
        <v>27</v>
      </c>
      <c r="S2059" s="1" t="s">
        <v>28</v>
      </c>
      <c r="T2059" s="1" t="s">
        <v>29</v>
      </c>
    </row>
    <row r="2060" customFormat="false" ht="18.7" hidden="false" customHeight="true" outlineLevel="0" collapsed="false">
      <c r="A2060" s="1" t="n">
        <v>2059</v>
      </c>
      <c r="B2060" s="6" t="str">
        <f aca="false">HYPERLINK("https://mncourtfraud.com/file/MCRO_27-CR-21-3797_Affidavit in Support of Petition_2023-10-13_20240430080106.pdf","MCRO_27-CR-21-3797_Affidavit in Support of Petition_2023-10-13_20240430080106.pdf")</f>
        <v>MCRO_27-CR-21-3797_Affidavit in Support of Petition_2023-10-13_20240430080106.pdf</v>
      </c>
      <c r="C2060" s="1" t="n">
        <v>3</v>
      </c>
      <c r="D2060" s="1" t="n">
        <v>1</v>
      </c>
      <c r="E2060" s="1" t="n">
        <v>1</v>
      </c>
      <c r="F2060" s="3" t="s">
        <v>20</v>
      </c>
      <c r="G2060" s="3" t="s">
        <v>8400</v>
      </c>
      <c r="H2060" s="1" t="s">
        <v>22</v>
      </c>
      <c r="I2060" s="1" t="n">
        <v>20240430080106</v>
      </c>
      <c r="J2060" s="3" t="s">
        <v>8401</v>
      </c>
      <c r="K2060" s="3" t="s">
        <v>8402</v>
      </c>
      <c r="L2060" s="3" t="s">
        <v>8403</v>
      </c>
      <c r="M2060" s="3" t="n">
        <v>216453</v>
      </c>
      <c r="N2060" s="3" t="s">
        <v>8404</v>
      </c>
      <c r="O2060" s="1" t="n">
        <v>200067</v>
      </c>
      <c r="P2060" s="1" t="n">
        <v>92.43</v>
      </c>
      <c r="Q2060" s="1" t="s">
        <v>20</v>
      </c>
      <c r="R2060" s="1" t="s">
        <v>27</v>
      </c>
      <c r="S2060" s="1" t="s">
        <v>28</v>
      </c>
      <c r="T2060" s="1" t="s">
        <v>29</v>
      </c>
    </row>
    <row r="2061" customFormat="false" ht="18.7" hidden="false" customHeight="true" outlineLevel="0" collapsed="false">
      <c r="A2061" s="1" t="n">
        <v>2060</v>
      </c>
      <c r="B2061" s="6" t="str">
        <f aca="false">HYPERLINK("https://mncourtfraud.com/file/MCRO_27-CR-21-3797_Affidavit in Support of Petition_2023-10-13_20240430080112.pdf","MCRO_27-CR-21-3797_Affidavit in Support of Petition_2023-10-13_20240430080112.pdf")</f>
        <v>MCRO_27-CR-21-3797_Affidavit in Support of Petition_2023-10-13_20240430080112.pdf</v>
      </c>
      <c r="C2061" s="1" t="n">
        <v>3</v>
      </c>
      <c r="D2061" s="1" t="n">
        <v>1</v>
      </c>
      <c r="E2061" s="1" t="n">
        <v>1</v>
      </c>
      <c r="F2061" s="3" t="s">
        <v>20</v>
      </c>
      <c r="G2061" s="3" t="s">
        <v>8405</v>
      </c>
      <c r="H2061" s="1" t="s">
        <v>22</v>
      </c>
      <c r="I2061" s="1" t="n">
        <v>20240430080112</v>
      </c>
      <c r="J2061" s="3" t="s">
        <v>8406</v>
      </c>
      <c r="K2061" s="3" t="s">
        <v>8407</v>
      </c>
      <c r="L2061" s="3" t="s">
        <v>8408</v>
      </c>
      <c r="M2061" s="3" t="n">
        <v>66998</v>
      </c>
      <c r="N2061" s="3" t="s">
        <v>481</v>
      </c>
      <c r="O2061" s="1" t="n">
        <v>50612</v>
      </c>
      <c r="P2061" s="1" t="n">
        <v>75.54</v>
      </c>
      <c r="Q2061" s="1" t="s">
        <v>20</v>
      </c>
      <c r="R2061" s="1" t="s">
        <v>27</v>
      </c>
      <c r="S2061" s="1" t="s">
        <v>28</v>
      </c>
      <c r="T2061" s="1" t="s">
        <v>29</v>
      </c>
    </row>
    <row r="2062" customFormat="false" ht="18.7" hidden="false" customHeight="true" outlineLevel="0" collapsed="false">
      <c r="A2062" s="1" t="n">
        <v>2061</v>
      </c>
      <c r="B2062" s="6" t="str">
        <f aca="false">HYPERLINK("https://mncourtfraud.com/file/MCRO_27-CR-21-3797_Affidavit of Mailing_2023-10-13_20240430080108.pdf","MCRO_27-CR-21-3797_Affidavit of Mailing_2023-10-13_20240430080108.pdf")</f>
        <v>MCRO_27-CR-21-3797_Affidavit of Mailing_2023-10-13_20240430080108.pdf</v>
      </c>
      <c r="C2062" s="1" t="n">
        <v>3</v>
      </c>
      <c r="D2062" s="1" t="n">
        <v>1</v>
      </c>
      <c r="E2062" s="1" t="n">
        <v>1</v>
      </c>
      <c r="F2062" s="3" t="s">
        <v>20</v>
      </c>
      <c r="G2062" s="3" t="s">
        <v>8409</v>
      </c>
      <c r="H2062" s="1" t="s">
        <v>22</v>
      </c>
      <c r="I2062" s="1" t="n">
        <v>20240430080108</v>
      </c>
      <c r="J2062" s="3" t="s">
        <v>8410</v>
      </c>
      <c r="K2062" s="3" t="s">
        <v>8411</v>
      </c>
      <c r="L2062" s="3" t="s">
        <v>8412</v>
      </c>
      <c r="M2062" s="3" t="n">
        <v>122990</v>
      </c>
      <c r="N2062" s="3" t="s">
        <v>3169</v>
      </c>
      <c r="O2062" s="1" t="n">
        <v>106604</v>
      </c>
      <c r="P2062" s="1" t="n">
        <v>86.68</v>
      </c>
      <c r="Q2062" s="1" t="s">
        <v>20</v>
      </c>
      <c r="R2062" s="1" t="s">
        <v>27</v>
      </c>
      <c r="S2062" s="1" t="s">
        <v>28</v>
      </c>
      <c r="T2062" s="1" t="s">
        <v>29</v>
      </c>
    </row>
    <row r="2063" customFormat="false" ht="18.7" hidden="false" customHeight="true" outlineLevel="0" collapsed="false">
      <c r="A2063" s="1" t="n">
        <v>2062</v>
      </c>
      <c r="B2063" s="6" t="str">
        <f aca="false">HYPERLINK("https://mncourtfraud.com/file/MCRO_27-CR-21-3797_Affidavit of Service_2023-10-13_20240430080109.pdf","MCRO_27-CR-21-3797_Affidavit of Service_2023-10-13_20240430080109.pdf")</f>
        <v>MCRO_27-CR-21-3797_Affidavit of Service_2023-10-13_20240430080109.pdf</v>
      </c>
      <c r="C2063" s="1" t="n">
        <v>3</v>
      </c>
      <c r="D2063" s="1" t="n">
        <v>1</v>
      </c>
      <c r="E2063" s="1" t="n">
        <v>1</v>
      </c>
      <c r="F2063" s="3" t="s">
        <v>20</v>
      </c>
      <c r="G2063" s="3" t="s">
        <v>8413</v>
      </c>
      <c r="H2063" s="1" t="s">
        <v>22</v>
      </c>
      <c r="I2063" s="1" t="n">
        <v>20240430080109</v>
      </c>
      <c r="J2063" s="3" t="s">
        <v>8414</v>
      </c>
      <c r="K2063" s="3" t="s">
        <v>8415</v>
      </c>
      <c r="L2063" s="3" t="s">
        <v>8416</v>
      </c>
      <c r="M2063" s="3" t="n">
        <v>124725</v>
      </c>
      <c r="N2063" s="3" t="s">
        <v>2342</v>
      </c>
      <c r="O2063" s="1" t="n">
        <v>108339</v>
      </c>
      <c r="P2063" s="1" t="n">
        <v>86.86</v>
      </c>
      <c r="Q2063" s="1" t="s">
        <v>20</v>
      </c>
      <c r="R2063" s="1" t="s">
        <v>27</v>
      </c>
      <c r="S2063" s="1" t="s">
        <v>28</v>
      </c>
      <c r="T2063" s="1" t="s">
        <v>29</v>
      </c>
    </row>
    <row r="2064" customFormat="false" ht="18.7" hidden="false" customHeight="true" outlineLevel="0" collapsed="false">
      <c r="A2064" s="1" t="n">
        <v>2063</v>
      </c>
      <c r="B2064" s="6" t="str">
        <f aca="false">HYPERLINK("https://mncourtfraud.com/file/MCRO_27-CR-21-3797_Certificate of Representation_2023-10-13_20240430080115.pdf","MCRO_27-CR-21-3797_Certificate of Representation_2023-10-13_20240430080115.pdf")</f>
        <v>MCRO_27-CR-21-3797_Certificate of Representation_2023-10-13_20240430080115.pdf</v>
      </c>
      <c r="C2064" s="1" t="n">
        <v>3</v>
      </c>
      <c r="D2064" s="1" t="n">
        <v>1</v>
      </c>
      <c r="E2064" s="1" t="n">
        <v>1</v>
      </c>
      <c r="F2064" s="3" t="s">
        <v>20</v>
      </c>
      <c r="G2064" s="3" t="s">
        <v>8417</v>
      </c>
      <c r="H2064" s="1" t="s">
        <v>22</v>
      </c>
      <c r="I2064" s="1" t="n">
        <v>20240430080115</v>
      </c>
      <c r="J2064" s="3" t="s">
        <v>8418</v>
      </c>
      <c r="K2064" s="3" t="s">
        <v>8419</v>
      </c>
      <c r="L2064" s="3" t="s">
        <v>8420</v>
      </c>
      <c r="M2064" s="3" t="n">
        <v>84826</v>
      </c>
      <c r="N2064" s="3" t="s">
        <v>6055</v>
      </c>
      <c r="O2064" s="1" t="n">
        <v>68440</v>
      </c>
      <c r="P2064" s="1" t="n">
        <v>80.68</v>
      </c>
      <c r="Q2064" s="1" t="s">
        <v>20</v>
      </c>
      <c r="R2064" s="1" t="s">
        <v>27</v>
      </c>
      <c r="S2064" s="1" t="s">
        <v>28</v>
      </c>
      <c r="T2064" s="1" t="s">
        <v>29</v>
      </c>
    </row>
    <row r="2065" customFormat="false" ht="18.7" hidden="false" customHeight="true" outlineLevel="0" collapsed="false">
      <c r="A2065" s="1" t="n">
        <v>2064</v>
      </c>
      <c r="B2065" s="6" t="str">
        <f aca="false">HYPERLINK("https://mncourtfraud.com/file/MCRO_27-CR-21-3797_Correspondence_2023-10-13_20240430080116.pdf","MCRO_27-CR-21-3797_Correspondence_2023-10-13_20240430080116.pdf")</f>
        <v>MCRO_27-CR-21-3797_Correspondence_2023-10-13_20240430080116.pdf</v>
      </c>
      <c r="C2065" s="1" t="n">
        <v>3</v>
      </c>
      <c r="D2065" s="1" t="n">
        <v>1</v>
      </c>
      <c r="E2065" s="1" t="n">
        <v>1</v>
      </c>
      <c r="F2065" s="3" t="s">
        <v>20</v>
      </c>
      <c r="G2065" s="3" t="s">
        <v>8421</v>
      </c>
      <c r="H2065" s="1" t="s">
        <v>22</v>
      </c>
      <c r="I2065" s="1" t="n">
        <v>20240430080116</v>
      </c>
      <c r="J2065" s="3" t="s">
        <v>8422</v>
      </c>
      <c r="K2065" s="3" t="s">
        <v>8423</v>
      </c>
      <c r="L2065" s="3" t="s">
        <v>8424</v>
      </c>
      <c r="M2065" s="3" t="n">
        <v>144219</v>
      </c>
      <c r="N2065" s="3" t="s">
        <v>624</v>
      </c>
      <c r="O2065" s="1" t="n">
        <v>127833</v>
      </c>
      <c r="P2065" s="1" t="n">
        <v>88.64</v>
      </c>
      <c r="Q2065" s="1" t="s">
        <v>20</v>
      </c>
      <c r="R2065" s="1" t="s">
        <v>27</v>
      </c>
      <c r="S2065" s="1" t="s">
        <v>28</v>
      </c>
      <c r="T2065" s="1" t="s">
        <v>29</v>
      </c>
    </row>
    <row r="2066" customFormat="false" ht="18.7" hidden="false" customHeight="true" outlineLevel="0" collapsed="false">
      <c r="A2066" s="1" t="n">
        <v>2065</v>
      </c>
      <c r="B2066" s="6" t="str">
        <f aca="false">HYPERLINK("https://mncourtfraud.com/file/MCRO_27-CR-21-3797_Dismissal by Prosecuting Attorney_2023-12-19_20240430080057.pdf","MCRO_27-CR-21-3797_Dismissal by Prosecuting Attorney_2023-12-19_20240430080057.pdf")</f>
        <v>MCRO_27-CR-21-3797_Dismissal by Prosecuting Attorney_2023-12-19_20240430080057.pdf</v>
      </c>
      <c r="C2066" s="1" t="n">
        <v>3</v>
      </c>
      <c r="D2066" s="1" t="n">
        <v>1</v>
      </c>
      <c r="E2066" s="1" t="n">
        <v>1</v>
      </c>
      <c r="F2066" s="3" t="s">
        <v>20</v>
      </c>
      <c r="G2066" s="3" t="s">
        <v>8425</v>
      </c>
      <c r="H2066" s="1" t="s">
        <v>22</v>
      </c>
      <c r="I2066" s="1" t="n">
        <v>20240430080057</v>
      </c>
      <c r="J2066" s="3" t="s">
        <v>8426</v>
      </c>
      <c r="K2066" s="3" t="s">
        <v>8427</v>
      </c>
      <c r="L2066" s="3" t="s">
        <v>8428</v>
      </c>
      <c r="M2066" s="3" t="n">
        <v>75675</v>
      </c>
      <c r="N2066" s="3" t="s">
        <v>74</v>
      </c>
      <c r="O2066" s="1" t="n">
        <v>59289</v>
      </c>
      <c r="P2066" s="1" t="n">
        <v>78.35</v>
      </c>
      <c r="Q2066" s="1" t="s">
        <v>20</v>
      </c>
      <c r="R2066" s="1" t="s">
        <v>27</v>
      </c>
      <c r="S2066" s="1" t="s">
        <v>28</v>
      </c>
      <c r="T2066" s="1" t="s">
        <v>29</v>
      </c>
    </row>
    <row r="2067" customFormat="false" ht="18.7" hidden="false" customHeight="true" outlineLevel="0" collapsed="false">
      <c r="A2067" s="1" t="n">
        <v>2066</v>
      </c>
      <c r="B2067" s="6" t="str">
        <f aca="false">HYPERLINK("https://mncourtfraud.com/file/MCRO_27-CR-21-3797_Law Enforcement Notice of Release and Appearance_2022-12-23_20240430080136.pdf","MCRO_27-CR-21-3797_Law Enforcement Notice of Release and Appearance_2022-12-23_20240430080136.pdf")</f>
        <v>MCRO_27-CR-21-3797_Law Enforcement Notice of Release and Appearance_2022-12-23_20240430080136.pdf</v>
      </c>
      <c r="C2067" s="1" t="n">
        <v>4</v>
      </c>
      <c r="D2067" s="1" t="n">
        <v>1</v>
      </c>
      <c r="E2067" s="1" t="n">
        <v>1</v>
      </c>
      <c r="F2067" s="3" t="s">
        <v>20</v>
      </c>
      <c r="G2067" s="3" t="s">
        <v>8429</v>
      </c>
      <c r="H2067" s="1" t="s">
        <v>22</v>
      </c>
      <c r="I2067" s="1" t="n">
        <v>20240430080136</v>
      </c>
      <c r="J2067" s="3" t="s">
        <v>8430</v>
      </c>
      <c r="K2067" s="3" t="s">
        <v>8431</v>
      </c>
      <c r="L2067" s="3" t="s">
        <v>8432</v>
      </c>
      <c r="M2067" s="3" t="n">
        <v>153154</v>
      </c>
      <c r="N2067" s="3" t="s">
        <v>435</v>
      </c>
      <c r="O2067" s="1" t="n">
        <v>136768</v>
      </c>
      <c r="P2067" s="1" t="n">
        <v>89.3</v>
      </c>
      <c r="Q2067" s="1" t="s">
        <v>20</v>
      </c>
      <c r="R2067" s="1" t="s">
        <v>27</v>
      </c>
      <c r="S2067" s="1" t="s">
        <v>28</v>
      </c>
      <c r="T2067" s="1" t="s">
        <v>29</v>
      </c>
    </row>
    <row r="2068" customFormat="false" ht="18.7" hidden="false" customHeight="true" outlineLevel="0" collapsed="false">
      <c r="A2068" s="1" t="n">
        <v>2067</v>
      </c>
      <c r="B2068" s="6" t="str">
        <f aca="false">HYPERLINK("https://mncourtfraud.com/file/MCRO_27-CR-21-3797_Non-Cash Bond Posted_2022-12-22_20240430080137.pdf","MCRO_27-CR-21-3797_Non-Cash Bond Posted_2022-12-22_20240430080137.pdf")</f>
        <v>MCRO_27-CR-21-3797_Non-Cash Bond Posted_2022-12-22_20240430080137.pdf</v>
      </c>
      <c r="C2068" s="1" t="n">
        <v>4</v>
      </c>
      <c r="D2068" s="1" t="n">
        <v>1</v>
      </c>
      <c r="E2068" s="1" t="n">
        <v>1</v>
      </c>
      <c r="F2068" s="3" t="s">
        <v>20</v>
      </c>
      <c r="G2068" s="3" t="s">
        <v>8433</v>
      </c>
      <c r="H2068" s="1" t="s">
        <v>22</v>
      </c>
      <c r="I2068" s="1" t="n">
        <v>20240430080137</v>
      </c>
      <c r="J2068" s="3" t="s">
        <v>8434</v>
      </c>
      <c r="K2068" s="3" t="s">
        <v>8435</v>
      </c>
      <c r="L2068" s="3" t="s">
        <v>8436</v>
      </c>
      <c r="M2068" s="3" t="n">
        <v>209702</v>
      </c>
      <c r="N2068" s="3" t="s">
        <v>1159</v>
      </c>
      <c r="O2068" s="1" t="n">
        <v>193316</v>
      </c>
      <c r="P2068" s="1" t="n">
        <v>92.19</v>
      </c>
      <c r="Q2068" s="1" t="s">
        <v>20</v>
      </c>
      <c r="R2068" s="1" t="s">
        <v>27</v>
      </c>
      <c r="S2068" s="1" t="s">
        <v>28</v>
      </c>
      <c r="T2068" s="1" t="s">
        <v>29</v>
      </c>
    </row>
    <row r="2069" customFormat="false" ht="18.7" hidden="false" customHeight="true" outlineLevel="0" collapsed="false">
      <c r="A2069" s="1" t="n">
        <v>2068</v>
      </c>
      <c r="B2069" s="6" t="str">
        <f aca="false">HYPERLINK("https://mncourtfraud.com/file/MCRO_27-CR-21-3797_Notice of Bond Forfeiture_2023-08-03_20240430080123.pdf","MCRO_27-CR-21-3797_Notice of Bond Forfeiture_2023-08-03_20240430080123.pdf")</f>
        <v>MCRO_27-CR-21-3797_Notice of Bond Forfeiture_2023-08-03_20240430080123.pdf</v>
      </c>
      <c r="C2069" s="1" t="n">
        <v>5</v>
      </c>
      <c r="D2069" s="1" t="n">
        <v>1</v>
      </c>
      <c r="E2069" s="1" t="n">
        <v>1</v>
      </c>
      <c r="F2069" s="3" t="s">
        <v>20</v>
      </c>
      <c r="G2069" s="3" t="s">
        <v>8437</v>
      </c>
      <c r="H2069" s="1" t="s">
        <v>22</v>
      </c>
      <c r="I2069" s="1" t="n">
        <v>20240430080123</v>
      </c>
      <c r="J2069" s="3" t="s">
        <v>8438</v>
      </c>
      <c r="K2069" s="3" t="s">
        <v>8439</v>
      </c>
      <c r="L2069" s="3" t="s">
        <v>8440</v>
      </c>
      <c r="M2069" s="3" t="n">
        <v>763984</v>
      </c>
      <c r="N2069" s="3" t="s">
        <v>675</v>
      </c>
      <c r="O2069" s="1" t="n">
        <v>747598</v>
      </c>
      <c r="P2069" s="1" t="n">
        <v>97.86</v>
      </c>
      <c r="Q2069" s="1" t="s">
        <v>20</v>
      </c>
      <c r="R2069" s="1" t="s">
        <v>27</v>
      </c>
      <c r="S2069" s="1" t="s">
        <v>28</v>
      </c>
      <c r="T2069" s="1" t="s">
        <v>29</v>
      </c>
    </row>
    <row r="2070" customFormat="false" ht="18.7" hidden="false" customHeight="true" outlineLevel="0" collapsed="false">
      <c r="A2070" s="1" t="n">
        <v>2069</v>
      </c>
      <c r="B2070" s="6" t="str">
        <f aca="false">HYPERLINK("https://mncourtfraud.com/file/MCRO_27-CR-21-3797_Notice of Defense and Defense Witnesses_2022-12-19_20240430080138.pdf","MCRO_27-CR-21-3797_Notice of Defense and Defense Witnesses_2022-12-19_20240430080138.pdf")</f>
        <v>MCRO_27-CR-21-3797_Notice of Defense and Defense Witnesses_2022-12-19_20240430080138.pdf</v>
      </c>
      <c r="C2070" s="1" t="n">
        <v>3</v>
      </c>
      <c r="D2070" s="1" t="n">
        <v>1</v>
      </c>
      <c r="E2070" s="1" t="n">
        <v>1</v>
      </c>
      <c r="F2070" s="3" t="s">
        <v>20</v>
      </c>
      <c r="G2070" s="3" t="s">
        <v>8441</v>
      </c>
      <c r="H2070" s="1" t="s">
        <v>22</v>
      </c>
      <c r="I2070" s="1" t="n">
        <v>20240430080138</v>
      </c>
      <c r="J2070" s="3" t="s">
        <v>8442</v>
      </c>
      <c r="K2070" s="3" t="s">
        <v>8443</v>
      </c>
      <c r="L2070" s="3" t="s">
        <v>8444</v>
      </c>
      <c r="M2070" s="3" t="n">
        <v>128967</v>
      </c>
      <c r="N2070" s="3" t="s">
        <v>5024</v>
      </c>
      <c r="O2070" s="1" t="n">
        <v>112581</v>
      </c>
      <c r="P2070" s="1" t="n">
        <v>87.29</v>
      </c>
      <c r="Q2070" s="1" t="s">
        <v>20</v>
      </c>
      <c r="R2070" s="1" t="s">
        <v>27</v>
      </c>
      <c r="S2070" s="1" t="s">
        <v>28</v>
      </c>
      <c r="T2070" s="1" t="s">
        <v>29</v>
      </c>
    </row>
    <row r="2071" customFormat="false" ht="18.7" hidden="false" customHeight="true" outlineLevel="0" collapsed="false">
      <c r="A2071" s="1" t="n">
        <v>2070</v>
      </c>
      <c r="B2071" s="6" t="str">
        <f aca="false">HYPERLINK("https://mncourtfraud.com/file/MCRO_27-CR-21-3797_Notice of Filing of Order_2024-01-23_20240430080055.pdf","MCRO_27-CR-21-3797_Notice of Filing of Order_2024-01-23_20240430080055.pdf")</f>
        <v>MCRO_27-CR-21-3797_Notice of Filing of Order_2024-01-23_20240430080055.pdf</v>
      </c>
      <c r="C2071" s="1" t="n">
        <v>4</v>
      </c>
      <c r="D2071" s="1" t="n">
        <v>1</v>
      </c>
      <c r="E2071" s="1" t="n">
        <v>1</v>
      </c>
      <c r="F2071" s="3" t="s">
        <v>20</v>
      </c>
      <c r="G2071" s="3" t="s">
        <v>8445</v>
      </c>
      <c r="H2071" s="1" t="s">
        <v>22</v>
      </c>
      <c r="I2071" s="1" t="n">
        <v>20240430080055</v>
      </c>
      <c r="J2071" s="3" t="s">
        <v>8446</v>
      </c>
      <c r="K2071" s="3" t="s">
        <v>8447</v>
      </c>
      <c r="L2071" s="3" t="s">
        <v>8448</v>
      </c>
      <c r="M2071" s="3" t="n">
        <v>150112</v>
      </c>
      <c r="N2071" s="3" t="s">
        <v>347</v>
      </c>
      <c r="O2071" s="1" t="n">
        <v>133726</v>
      </c>
      <c r="P2071" s="1" t="n">
        <v>89.08</v>
      </c>
      <c r="Q2071" s="1" t="s">
        <v>20</v>
      </c>
      <c r="R2071" s="1" t="s">
        <v>27</v>
      </c>
      <c r="S2071" s="1" t="s">
        <v>28</v>
      </c>
      <c r="T2071" s="1" t="s">
        <v>29</v>
      </c>
    </row>
    <row r="2072" customFormat="false" ht="18.7" hidden="false" customHeight="true" outlineLevel="0" collapsed="false">
      <c r="A2072" s="1" t="n">
        <v>2071</v>
      </c>
      <c r="B2072" s="6" t="str">
        <f aca="false">HYPERLINK("https://mncourtfraud.com/file/MCRO_27-CR-21-3797_Notice of Hearing_2022-05-03_20240430080141.pdf","MCRO_27-CR-21-3797_Notice of Hearing_2022-05-03_20240430080141.pdf")</f>
        <v>MCRO_27-CR-21-3797_Notice of Hearing_2022-05-03_20240430080141.pdf</v>
      </c>
      <c r="C2072" s="1" t="n">
        <v>5</v>
      </c>
      <c r="D2072" s="1" t="n">
        <v>1</v>
      </c>
      <c r="E2072" s="1" t="n">
        <v>1</v>
      </c>
      <c r="F2072" s="3" t="s">
        <v>20</v>
      </c>
      <c r="G2072" s="3" t="s">
        <v>8449</v>
      </c>
      <c r="H2072" s="1" t="s">
        <v>22</v>
      </c>
      <c r="I2072" s="1" t="n">
        <v>20240430080141</v>
      </c>
      <c r="J2072" s="3" t="s">
        <v>8450</v>
      </c>
      <c r="K2072" s="3" t="s">
        <v>8451</v>
      </c>
      <c r="L2072" s="3" t="s">
        <v>8452</v>
      </c>
      <c r="M2072" s="3" t="n">
        <v>693457</v>
      </c>
      <c r="N2072" s="3" t="s">
        <v>2541</v>
      </c>
      <c r="O2072" s="1" t="n">
        <v>677071</v>
      </c>
      <c r="P2072" s="1" t="n">
        <v>97.64</v>
      </c>
      <c r="Q2072" s="1" t="s">
        <v>20</v>
      </c>
      <c r="R2072" s="1" t="s">
        <v>27</v>
      </c>
      <c r="S2072" s="1" t="s">
        <v>28</v>
      </c>
      <c r="T2072" s="1" t="s">
        <v>29</v>
      </c>
    </row>
    <row r="2073" customFormat="false" ht="18.7" hidden="false" customHeight="true" outlineLevel="0" collapsed="false">
      <c r="A2073" s="1" t="n">
        <v>2072</v>
      </c>
      <c r="B2073" s="6" t="str">
        <f aca="false">HYPERLINK("https://mncourtfraud.com/file/MCRO_27-CR-21-3797_Notice of Hearing_2023-01-17_20240430080132.pdf","MCRO_27-CR-21-3797_Notice of Hearing_2023-01-17_20240430080132.pdf")</f>
        <v>MCRO_27-CR-21-3797_Notice of Hearing_2023-01-17_20240430080132.pdf</v>
      </c>
      <c r="C2073" s="1" t="n">
        <v>4</v>
      </c>
      <c r="D2073" s="1" t="n">
        <v>1</v>
      </c>
      <c r="E2073" s="1" t="n">
        <v>1</v>
      </c>
      <c r="F2073" s="3" t="s">
        <v>20</v>
      </c>
      <c r="G2073" s="3" t="s">
        <v>8453</v>
      </c>
      <c r="H2073" s="1" t="s">
        <v>22</v>
      </c>
      <c r="I2073" s="1" t="n">
        <v>20240430080132</v>
      </c>
      <c r="J2073" s="3" t="s">
        <v>8454</v>
      </c>
      <c r="K2073" s="3" t="s">
        <v>8455</v>
      </c>
      <c r="L2073" s="3" t="s">
        <v>8456</v>
      </c>
      <c r="M2073" s="3" t="n">
        <v>109498</v>
      </c>
      <c r="N2073" s="3" t="s">
        <v>435</v>
      </c>
      <c r="O2073" s="1" t="n">
        <v>93112</v>
      </c>
      <c r="P2073" s="1" t="n">
        <v>85.04</v>
      </c>
      <c r="Q2073" s="1" t="s">
        <v>20</v>
      </c>
      <c r="R2073" s="1" t="s">
        <v>27</v>
      </c>
      <c r="S2073" s="1" t="s">
        <v>28</v>
      </c>
      <c r="T2073" s="1" t="s">
        <v>29</v>
      </c>
    </row>
    <row r="2074" customFormat="false" ht="18.7" hidden="false" customHeight="true" outlineLevel="0" collapsed="false">
      <c r="A2074" s="1" t="n">
        <v>2073</v>
      </c>
      <c r="B2074" s="6" t="str">
        <f aca="false">HYPERLINK("https://mncourtfraud.com/file/MCRO_27-CR-21-3797_Notice of Hearing_2023-01-19_20240430080131.pdf","MCRO_27-CR-21-3797_Notice of Hearing_2023-01-19_20240430080131.pdf")</f>
        <v>MCRO_27-CR-21-3797_Notice of Hearing_2023-01-19_20240430080131.pdf</v>
      </c>
      <c r="C2074" s="1" t="n">
        <v>5</v>
      </c>
      <c r="D2074" s="1" t="n">
        <v>1</v>
      </c>
      <c r="E2074" s="1" t="n">
        <v>1</v>
      </c>
      <c r="F2074" s="3" t="s">
        <v>20</v>
      </c>
      <c r="G2074" s="3" t="s">
        <v>8457</v>
      </c>
      <c r="H2074" s="1" t="s">
        <v>22</v>
      </c>
      <c r="I2074" s="1" t="n">
        <v>20240430080131</v>
      </c>
      <c r="J2074" s="3" t="s">
        <v>8458</v>
      </c>
      <c r="K2074" s="3" t="s">
        <v>8459</v>
      </c>
      <c r="L2074" s="3" t="s">
        <v>8460</v>
      </c>
      <c r="M2074" s="3" t="n">
        <v>739685</v>
      </c>
      <c r="N2074" s="3" t="s">
        <v>722</v>
      </c>
      <c r="O2074" s="1" t="n">
        <v>723299</v>
      </c>
      <c r="P2074" s="1" t="n">
        <v>97.78</v>
      </c>
      <c r="Q2074" s="1" t="s">
        <v>20</v>
      </c>
      <c r="R2074" s="1" t="s">
        <v>27</v>
      </c>
      <c r="S2074" s="1" t="s">
        <v>28</v>
      </c>
      <c r="T2074" s="1" t="s">
        <v>29</v>
      </c>
    </row>
    <row r="2075" customFormat="false" ht="18.7" hidden="false" customHeight="true" outlineLevel="0" collapsed="false">
      <c r="A2075" s="1" t="n">
        <v>2074</v>
      </c>
      <c r="B2075" s="6" t="str">
        <f aca="false">HYPERLINK("https://mncourtfraud.com/file/MCRO_27-CR-21-3797_Notice of Hearing_2023-08-21_20240430080121.pdf","MCRO_27-CR-21-3797_Notice of Hearing_2023-08-21_20240430080121.pdf")</f>
        <v>MCRO_27-CR-21-3797_Notice of Hearing_2023-08-21_20240430080121.pdf</v>
      </c>
      <c r="C2075" s="1" t="n">
        <v>4</v>
      </c>
      <c r="D2075" s="1" t="n">
        <v>1</v>
      </c>
      <c r="E2075" s="1" t="n">
        <v>1</v>
      </c>
      <c r="F2075" s="3" t="s">
        <v>20</v>
      </c>
      <c r="G2075" s="3" t="s">
        <v>8461</v>
      </c>
      <c r="H2075" s="1" t="s">
        <v>22</v>
      </c>
      <c r="I2075" s="1" t="n">
        <v>20240430080121</v>
      </c>
      <c r="J2075" s="3" t="s">
        <v>8462</v>
      </c>
      <c r="K2075" s="3" t="s">
        <v>8463</v>
      </c>
      <c r="L2075" s="3" t="s">
        <v>8464</v>
      </c>
      <c r="M2075" s="3" t="n">
        <v>101791</v>
      </c>
      <c r="N2075" s="3" t="s">
        <v>435</v>
      </c>
      <c r="O2075" s="1" t="n">
        <v>85405</v>
      </c>
      <c r="P2075" s="1" t="n">
        <v>83.9</v>
      </c>
      <c r="Q2075" s="1" t="s">
        <v>20</v>
      </c>
      <c r="R2075" s="1" t="s">
        <v>27</v>
      </c>
      <c r="S2075" s="1" t="s">
        <v>28</v>
      </c>
      <c r="T2075" s="1" t="s">
        <v>29</v>
      </c>
    </row>
    <row r="2076" customFormat="false" ht="18.7" hidden="false" customHeight="true" outlineLevel="0" collapsed="false">
      <c r="A2076" s="1" t="n">
        <v>2075</v>
      </c>
      <c r="B2076" s="6" t="str">
        <f aca="false">HYPERLINK("https://mncourtfraud.com/file/MCRO_27-CR-21-3797_Notice of Hearing_2023-08-23_20240430080116.pdf","MCRO_27-CR-21-3797_Notice of Hearing_2023-08-23_20240430080116.pdf")</f>
        <v>MCRO_27-CR-21-3797_Notice of Hearing_2023-08-23_20240430080116.pdf</v>
      </c>
      <c r="C2076" s="1" t="n">
        <v>4</v>
      </c>
      <c r="D2076" s="1" t="n">
        <v>1</v>
      </c>
      <c r="E2076" s="1" t="n">
        <v>1</v>
      </c>
      <c r="F2076" s="3" t="s">
        <v>20</v>
      </c>
      <c r="G2076" s="3" t="s">
        <v>8465</v>
      </c>
      <c r="H2076" s="1" t="s">
        <v>22</v>
      </c>
      <c r="I2076" s="1" t="n">
        <v>20240430080116</v>
      </c>
      <c r="J2076" s="3" t="s">
        <v>8422</v>
      </c>
      <c r="K2076" s="3" t="s">
        <v>8423</v>
      </c>
      <c r="L2076" s="3" t="s">
        <v>8466</v>
      </c>
      <c r="M2076" s="3" t="n">
        <v>100708</v>
      </c>
      <c r="N2076" s="3" t="s">
        <v>435</v>
      </c>
      <c r="O2076" s="1" t="n">
        <v>84322</v>
      </c>
      <c r="P2076" s="1" t="n">
        <v>83.73</v>
      </c>
      <c r="Q2076" s="1" t="s">
        <v>20</v>
      </c>
      <c r="R2076" s="1" t="s">
        <v>27</v>
      </c>
      <c r="S2076" s="1" t="s">
        <v>28</v>
      </c>
      <c r="T2076" s="1" t="s">
        <v>29</v>
      </c>
    </row>
    <row r="2077" customFormat="false" ht="18.7" hidden="false" customHeight="true" outlineLevel="0" collapsed="false">
      <c r="A2077" s="1" t="n">
        <v>2076</v>
      </c>
      <c r="B2077" s="6" t="str">
        <f aca="false">HYPERLINK("https://mncourtfraud.com/file/MCRO_27-CR-21-3797_Notice of Hearing_2023-11-28_20240430080100.pdf","MCRO_27-CR-21-3797_Notice of Hearing_2023-11-28_20240430080100.pdf")</f>
        <v>MCRO_27-CR-21-3797_Notice of Hearing_2023-11-28_20240430080100.pdf</v>
      </c>
      <c r="C2077" s="1" t="n">
        <v>4</v>
      </c>
      <c r="D2077" s="1" t="n">
        <v>1</v>
      </c>
      <c r="E2077" s="1" t="n">
        <v>1</v>
      </c>
      <c r="F2077" s="3" t="s">
        <v>20</v>
      </c>
      <c r="G2077" s="3" t="s">
        <v>8467</v>
      </c>
      <c r="H2077" s="1" t="s">
        <v>22</v>
      </c>
      <c r="I2077" s="1" t="n">
        <v>20240430080100</v>
      </c>
      <c r="J2077" s="3" t="s">
        <v>8468</v>
      </c>
      <c r="K2077" s="3" t="s">
        <v>8469</v>
      </c>
      <c r="L2077" s="3" t="s">
        <v>8470</v>
      </c>
      <c r="M2077" s="3" t="n">
        <v>143589</v>
      </c>
      <c r="N2077" s="3" t="s">
        <v>418</v>
      </c>
      <c r="O2077" s="1" t="n">
        <v>127203</v>
      </c>
      <c r="P2077" s="1" t="n">
        <v>88.59</v>
      </c>
      <c r="Q2077" s="1" t="s">
        <v>20</v>
      </c>
      <c r="R2077" s="1" t="s">
        <v>27</v>
      </c>
      <c r="S2077" s="1" t="s">
        <v>28</v>
      </c>
      <c r="T2077" s="1" t="s">
        <v>29</v>
      </c>
    </row>
    <row r="2078" customFormat="false" ht="18.7" hidden="false" customHeight="true" outlineLevel="0" collapsed="false">
      <c r="A2078" s="1" t="n">
        <v>2077</v>
      </c>
      <c r="B2078" s="6" t="str">
        <f aca="false">HYPERLINK("https://mncourtfraud.com/file/MCRO_27-CR-21-3797_Notice of Remote Hearing with Instructions_2021-02-26_20240430080145.pdf","MCRO_27-CR-21-3797_Notice of Remote Hearing with Instructions_2021-02-26_20240430080145.pdf")</f>
        <v>MCRO_27-CR-21-3797_Notice of Remote Hearing with Instructions_2021-02-26_20240430080145.pdf</v>
      </c>
      <c r="C2078" s="1" t="n">
        <v>5</v>
      </c>
      <c r="D2078" s="1" t="n">
        <v>1</v>
      </c>
      <c r="E2078" s="1" t="n">
        <v>1</v>
      </c>
      <c r="F2078" s="3" t="s">
        <v>20</v>
      </c>
      <c r="G2078" s="3" t="s">
        <v>8471</v>
      </c>
      <c r="H2078" s="1" t="s">
        <v>22</v>
      </c>
      <c r="I2078" s="1" t="n">
        <v>20240430080145</v>
      </c>
      <c r="J2078" s="3" t="s">
        <v>8472</v>
      </c>
      <c r="K2078" s="3" t="s">
        <v>8473</v>
      </c>
      <c r="L2078" s="3" t="s">
        <v>8474</v>
      </c>
      <c r="M2078" s="3" t="n">
        <v>1255567</v>
      </c>
      <c r="N2078" s="3" t="s">
        <v>8475</v>
      </c>
      <c r="O2078" s="1" t="n">
        <v>1239181</v>
      </c>
      <c r="P2078" s="1" t="n">
        <v>98.69</v>
      </c>
      <c r="Q2078" s="1" t="s">
        <v>20</v>
      </c>
      <c r="R2078" s="1" t="s">
        <v>27</v>
      </c>
      <c r="S2078" s="1" t="s">
        <v>28</v>
      </c>
      <c r="T2078" s="1" t="s">
        <v>29</v>
      </c>
    </row>
    <row r="2079" customFormat="false" ht="18.7" hidden="false" customHeight="true" outlineLevel="0" collapsed="false">
      <c r="A2079" s="1" t="n">
        <v>2078</v>
      </c>
      <c r="B2079" s="6" t="str">
        <f aca="false">HYPERLINK("https://mncourtfraud.com/file/MCRO_27-CR-21-3797_Notice of Remote Hearing with Instructions_2021-04-13_20240430080144.pdf","MCRO_27-CR-21-3797_Notice of Remote Hearing with Instructions_2021-04-13_20240430080144.pdf")</f>
        <v>MCRO_27-CR-21-3797_Notice of Remote Hearing with Instructions_2021-04-13_20240430080144.pdf</v>
      </c>
      <c r="C2079" s="1" t="n">
        <v>5</v>
      </c>
      <c r="D2079" s="1" t="n">
        <v>1</v>
      </c>
      <c r="E2079" s="1" t="n">
        <v>1</v>
      </c>
      <c r="F2079" s="3" t="s">
        <v>20</v>
      </c>
      <c r="G2079" s="3" t="s">
        <v>8476</v>
      </c>
      <c r="H2079" s="1" t="s">
        <v>22</v>
      </c>
      <c r="I2079" s="1" t="n">
        <v>20240430080144</v>
      </c>
      <c r="J2079" s="3" t="s">
        <v>8477</v>
      </c>
      <c r="K2079" s="3" t="s">
        <v>8478</v>
      </c>
      <c r="L2079" s="3" t="s">
        <v>8479</v>
      </c>
      <c r="M2079" s="3" t="n">
        <v>841258</v>
      </c>
      <c r="N2079" s="3" t="s">
        <v>849</v>
      </c>
      <c r="O2079" s="1" t="n">
        <v>824872</v>
      </c>
      <c r="P2079" s="1" t="n">
        <v>98.05</v>
      </c>
      <c r="Q2079" s="1" t="s">
        <v>20</v>
      </c>
      <c r="R2079" s="1" t="s">
        <v>27</v>
      </c>
      <c r="S2079" s="1" t="s">
        <v>28</v>
      </c>
      <c r="T2079" s="1" t="s">
        <v>29</v>
      </c>
    </row>
    <row r="2080" customFormat="false" ht="18.7" hidden="false" customHeight="true" outlineLevel="0" collapsed="false">
      <c r="A2080" s="1" t="n">
        <v>2079</v>
      </c>
      <c r="B2080" s="6" t="str">
        <f aca="false">HYPERLINK("https://mncourtfraud.com/file/MCRO_27-CR-21-3797_Notice of Remote Hearing with Instructions_2021-10-01_20240430080143.pdf","MCRO_27-CR-21-3797_Notice of Remote Hearing with Instructions_2021-10-01_20240430080143.pdf")</f>
        <v>MCRO_27-CR-21-3797_Notice of Remote Hearing with Instructions_2021-10-01_20240430080143.pdf</v>
      </c>
      <c r="C2080" s="1" t="n">
        <v>5</v>
      </c>
      <c r="D2080" s="1" t="n">
        <v>1</v>
      </c>
      <c r="E2080" s="1" t="n">
        <v>1</v>
      </c>
      <c r="F2080" s="3" t="s">
        <v>20</v>
      </c>
      <c r="G2080" s="3" t="s">
        <v>8480</v>
      </c>
      <c r="H2080" s="1" t="s">
        <v>22</v>
      </c>
      <c r="I2080" s="1" t="n">
        <v>20240430080143</v>
      </c>
      <c r="J2080" s="3" t="s">
        <v>8481</v>
      </c>
      <c r="K2080" s="3" t="s">
        <v>8482</v>
      </c>
      <c r="L2080" s="3" t="s">
        <v>8483</v>
      </c>
      <c r="M2080" s="3" t="n">
        <v>860868</v>
      </c>
      <c r="N2080" s="3" t="s">
        <v>500</v>
      </c>
      <c r="O2080" s="1" t="n">
        <v>844482</v>
      </c>
      <c r="P2080" s="1" t="n">
        <v>98.1</v>
      </c>
      <c r="Q2080" s="1" t="s">
        <v>20</v>
      </c>
      <c r="R2080" s="1" t="s">
        <v>27</v>
      </c>
      <c r="S2080" s="1" t="s">
        <v>28</v>
      </c>
      <c r="T2080" s="1" t="s">
        <v>29</v>
      </c>
    </row>
    <row r="2081" customFormat="false" ht="18.7" hidden="false" customHeight="true" outlineLevel="0" collapsed="false">
      <c r="A2081" s="1" t="n">
        <v>2080</v>
      </c>
      <c r="B2081" s="6" t="str">
        <f aca="false">HYPERLINK("https://mncourtfraud.com/file/MCRO_27-CR-21-3797_Notice of Remote Hearing with Instructions_2022-09-14_20240430080142.pdf","MCRO_27-CR-21-3797_Notice of Remote Hearing with Instructions_2022-09-14_20240430080142.pdf")</f>
        <v>MCRO_27-CR-21-3797_Notice of Remote Hearing with Instructions_2022-09-14_20240430080142.pdf</v>
      </c>
      <c r="C2081" s="1" t="n">
        <v>4</v>
      </c>
      <c r="D2081" s="1" t="n">
        <v>1</v>
      </c>
      <c r="E2081" s="1" t="n">
        <v>1</v>
      </c>
      <c r="F2081" s="3" t="s">
        <v>20</v>
      </c>
      <c r="G2081" s="3" t="s">
        <v>8484</v>
      </c>
      <c r="H2081" s="1" t="s">
        <v>22</v>
      </c>
      <c r="I2081" s="1" t="n">
        <v>20240430080142</v>
      </c>
      <c r="J2081" s="3" t="s">
        <v>8450</v>
      </c>
      <c r="K2081" s="3" t="s">
        <v>8451</v>
      </c>
      <c r="L2081" s="3" t="s">
        <v>8485</v>
      </c>
      <c r="M2081" s="3" t="n">
        <v>793107</v>
      </c>
      <c r="N2081" s="3" t="s">
        <v>99</v>
      </c>
      <c r="O2081" s="1" t="n">
        <v>776721</v>
      </c>
      <c r="P2081" s="1" t="n">
        <v>97.93</v>
      </c>
      <c r="Q2081" s="1" t="s">
        <v>20</v>
      </c>
      <c r="R2081" s="1" t="s">
        <v>27</v>
      </c>
      <c r="S2081" s="1" t="s">
        <v>28</v>
      </c>
      <c r="T2081" s="1" t="s">
        <v>29</v>
      </c>
    </row>
    <row r="2082" customFormat="false" ht="18.7" hidden="false" customHeight="true" outlineLevel="0" collapsed="false">
      <c r="A2082" s="1" t="n">
        <v>2081</v>
      </c>
      <c r="B2082" s="6" t="str">
        <f aca="false">HYPERLINK("https://mncourtfraud.com/file/MCRO_27-CR-21-3797_Notice of Remote Hearing with Instructions_2022-10-31_20240430080139.pdf","MCRO_27-CR-21-3797_Notice of Remote Hearing with Instructions_2022-10-31_20240430080139.pdf")</f>
        <v>MCRO_27-CR-21-3797_Notice of Remote Hearing with Instructions_2022-10-31_20240430080139.pdf</v>
      </c>
      <c r="C2082" s="1" t="n">
        <v>4</v>
      </c>
      <c r="D2082" s="1" t="n">
        <v>1</v>
      </c>
      <c r="E2082" s="1" t="n">
        <v>1</v>
      </c>
      <c r="F2082" s="3" t="s">
        <v>20</v>
      </c>
      <c r="G2082" s="3" t="s">
        <v>8486</v>
      </c>
      <c r="H2082" s="1" t="s">
        <v>22</v>
      </c>
      <c r="I2082" s="1" t="n">
        <v>20240430080139</v>
      </c>
      <c r="J2082" s="3" t="s">
        <v>8487</v>
      </c>
      <c r="K2082" s="3" t="s">
        <v>8488</v>
      </c>
      <c r="L2082" s="3" t="s">
        <v>8489</v>
      </c>
      <c r="M2082" s="3" t="n">
        <v>132567</v>
      </c>
      <c r="N2082" s="3" t="s">
        <v>158</v>
      </c>
      <c r="O2082" s="1" t="n">
        <v>116181</v>
      </c>
      <c r="P2082" s="1" t="n">
        <v>87.64</v>
      </c>
      <c r="Q2082" s="1" t="s">
        <v>20</v>
      </c>
      <c r="R2082" s="1" t="s">
        <v>27</v>
      </c>
      <c r="S2082" s="1" t="s">
        <v>28</v>
      </c>
      <c r="T2082" s="1" t="s">
        <v>29</v>
      </c>
    </row>
    <row r="2083" customFormat="false" ht="18.7" hidden="false" customHeight="true" outlineLevel="0" collapsed="false">
      <c r="A2083" s="1" t="n">
        <v>2082</v>
      </c>
      <c r="B2083" s="6" t="str">
        <f aca="false">HYPERLINK("https://mncourtfraud.com/file/MCRO_27-CR-21-3797_Notice of Remote Hearing with Instructions_2023-01-17_20240430080133.pdf","MCRO_27-CR-21-3797_Notice of Remote Hearing with Instructions_2023-01-17_20240430080133.pdf")</f>
        <v>MCRO_27-CR-21-3797_Notice of Remote Hearing with Instructions_2023-01-17_20240430080133.pdf</v>
      </c>
      <c r="C2083" s="1" t="n">
        <v>4</v>
      </c>
      <c r="D2083" s="1" t="n">
        <v>1</v>
      </c>
      <c r="E2083" s="1" t="n">
        <v>1</v>
      </c>
      <c r="F2083" s="3" t="s">
        <v>20</v>
      </c>
      <c r="G2083" s="3" t="s">
        <v>8490</v>
      </c>
      <c r="H2083" s="1" t="s">
        <v>22</v>
      </c>
      <c r="I2083" s="1" t="n">
        <v>20240430080133</v>
      </c>
      <c r="J2083" s="3" t="s">
        <v>8491</v>
      </c>
      <c r="K2083" s="3" t="s">
        <v>8492</v>
      </c>
      <c r="L2083" s="3" t="s">
        <v>8493</v>
      </c>
      <c r="M2083" s="3" t="n">
        <v>143016</v>
      </c>
      <c r="N2083" s="3" t="s">
        <v>1159</v>
      </c>
      <c r="O2083" s="1" t="n">
        <v>126630</v>
      </c>
      <c r="P2083" s="1" t="n">
        <v>88.54</v>
      </c>
      <c r="Q2083" s="1" t="s">
        <v>20</v>
      </c>
      <c r="R2083" s="1" t="s">
        <v>27</v>
      </c>
      <c r="S2083" s="1" t="s">
        <v>28</v>
      </c>
      <c r="T2083" s="1" t="s">
        <v>29</v>
      </c>
    </row>
    <row r="2084" customFormat="false" ht="18.7" hidden="false" customHeight="true" outlineLevel="0" collapsed="false">
      <c r="A2084" s="1" t="n">
        <v>2083</v>
      </c>
      <c r="B2084" s="6" t="str">
        <f aca="false">HYPERLINK("https://mncourtfraud.com/file/MCRO_27-CR-21-3797_Notice of Remote Hearing with Instructions_2023-01-19_20240430080130.pdf","MCRO_27-CR-21-3797_Notice of Remote Hearing with Instructions_2023-01-19_20240430080130.pdf")</f>
        <v>MCRO_27-CR-21-3797_Notice of Remote Hearing with Instructions_2023-01-19_20240430080130.pdf</v>
      </c>
      <c r="C2084" s="1" t="n">
        <v>4</v>
      </c>
      <c r="D2084" s="1" t="n">
        <v>1</v>
      </c>
      <c r="E2084" s="1" t="n">
        <v>1</v>
      </c>
      <c r="F2084" s="3" t="s">
        <v>20</v>
      </c>
      <c r="G2084" s="3" t="s">
        <v>8494</v>
      </c>
      <c r="H2084" s="1" t="s">
        <v>22</v>
      </c>
      <c r="I2084" s="1" t="n">
        <v>20240430080130</v>
      </c>
      <c r="J2084" s="3" t="s">
        <v>8495</v>
      </c>
      <c r="K2084" s="3" t="s">
        <v>8496</v>
      </c>
      <c r="L2084" s="3" t="s">
        <v>8497</v>
      </c>
      <c r="M2084" s="3" t="n">
        <v>260537</v>
      </c>
      <c r="N2084" s="3" t="s">
        <v>8498</v>
      </c>
      <c r="O2084" s="1" t="n">
        <v>244151</v>
      </c>
      <c r="P2084" s="1" t="n">
        <v>93.71</v>
      </c>
      <c r="Q2084" s="1" t="s">
        <v>20</v>
      </c>
      <c r="R2084" s="1" t="s">
        <v>27</v>
      </c>
      <c r="S2084" s="1" t="s">
        <v>28</v>
      </c>
      <c r="T2084" s="1" t="s">
        <v>29</v>
      </c>
    </row>
    <row r="2085" customFormat="false" ht="18.7" hidden="false" customHeight="true" outlineLevel="0" collapsed="false">
      <c r="A2085" s="1" t="n">
        <v>2084</v>
      </c>
      <c r="B2085" s="6" t="str">
        <f aca="false">HYPERLINK("https://mncourtfraud.com/file/MCRO_27-CR-21-3797_Notice of Remote Hearing with Instructions_2023-03-24_20240430080129.pdf","MCRO_27-CR-21-3797_Notice of Remote Hearing with Instructions_2023-03-24_20240430080129.pdf")</f>
        <v>MCRO_27-CR-21-3797_Notice of Remote Hearing with Instructions_2023-03-24_20240430080129.pdf</v>
      </c>
      <c r="C2085" s="1" t="n">
        <v>5</v>
      </c>
      <c r="D2085" s="1" t="n">
        <v>1</v>
      </c>
      <c r="E2085" s="1" t="n">
        <v>1</v>
      </c>
      <c r="F2085" s="3" t="s">
        <v>20</v>
      </c>
      <c r="G2085" s="3" t="s">
        <v>8499</v>
      </c>
      <c r="H2085" s="1" t="s">
        <v>22</v>
      </c>
      <c r="I2085" s="1" t="n">
        <v>20240430080129</v>
      </c>
      <c r="J2085" s="3" t="s">
        <v>8500</v>
      </c>
      <c r="K2085" s="3" t="s">
        <v>8501</v>
      </c>
      <c r="L2085" s="3" t="s">
        <v>8502</v>
      </c>
      <c r="M2085" s="3" t="n">
        <v>851105</v>
      </c>
      <c r="N2085" s="3" t="s">
        <v>2852</v>
      </c>
      <c r="O2085" s="1" t="n">
        <v>834719</v>
      </c>
      <c r="P2085" s="1" t="n">
        <v>98.07</v>
      </c>
      <c r="Q2085" s="1" t="s">
        <v>20</v>
      </c>
      <c r="R2085" s="1" t="s">
        <v>27</v>
      </c>
      <c r="S2085" s="1" t="s">
        <v>28</v>
      </c>
      <c r="T2085" s="1" t="s">
        <v>29</v>
      </c>
    </row>
    <row r="2086" customFormat="false" ht="18.7" hidden="false" customHeight="true" outlineLevel="0" collapsed="false">
      <c r="A2086" s="1" t="n">
        <v>2085</v>
      </c>
      <c r="B2086" s="6" t="str">
        <f aca="false">HYPERLINK("https://mncourtfraud.com/file/MCRO_27-CR-21-3797_Notice of Remote Hearing with Instructions_2023-05-10_20240430080129.pdf","MCRO_27-CR-21-3797_Notice of Remote Hearing with Instructions_2023-05-10_20240430080129.pdf")</f>
        <v>MCRO_27-CR-21-3797_Notice of Remote Hearing with Instructions_2023-05-10_20240430080129.pdf</v>
      </c>
      <c r="C2086" s="1" t="n">
        <v>5</v>
      </c>
      <c r="D2086" s="1" t="n">
        <v>1</v>
      </c>
      <c r="E2086" s="1" t="n">
        <v>1</v>
      </c>
      <c r="F2086" s="3" t="s">
        <v>20</v>
      </c>
      <c r="G2086" s="3" t="s">
        <v>8503</v>
      </c>
      <c r="H2086" s="1" t="s">
        <v>22</v>
      </c>
      <c r="I2086" s="1" t="n">
        <v>20240430080129</v>
      </c>
      <c r="J2086" s="3" t="s">
        <v>8500</v>
      </c>
      <c r="K2086" s="3" t="s">
        <v>8501</v>
      </c>
      <c r="L2086" s="3" t="s">
        <v>8504</v>
      </c>
      <c r="M2086" s="3" t="n">
        <v>849536</v>
      </c>
      <c r="N2086" s="3" t="s">
        <v>2852</v>
      </c>
      <c r="O2086" s="1" t="n">
        <v>833150</v>
      </c>
      <c r="P2086" s="1" t="n">
        <v>98.07</v>
      </c>
      <c r="Q2086" s="1" t="s">
        <v>20</v>
      </c>
      <c r="R2086" s="1" t="s">
        <v>27</v>
      </c>
      <c r="S2086" s="1" t="s">
        <v>28</v>
      </c>
      <c r="T2086" s="1" t="s">
        <v>29</v>
      </c>
    </row>
    <row r="2087" customFormat="false" ht="18.7" hidden="false" customHeight="true" outlineLevel="0" collapsed="false">
      <c r="A2087" s="1" t="n">
        <v>2086</v>
      </c>
      <c r="B2087" s="6" t="str">
        <f aca="false">HYPERLINK("https://mncourtfraud.com/file/MCRO_27-CR-21-3797_Notice of Remote Hearing with Instructions_2023-05-12_20240430080126.pdf","MCRO_27-CR-21-3797_Notice of Remote Hearing with Instructions_2023-05-12_20240430080126.pdf")</f>
        <v>MCRO_27-CR-21-3797_Notice of Remote Hearing with Instructions_2023-05-12_20240430080126.pdf</v>
      </c>
      <c r="C2087" s="1" t="n">
        <v>4</v>
      </c>
      <c r="D2087" s="1" t="n">
        <v>1</v>
      </c>
      <c r="E2087" s="1" t="n">
        <v>1</v>
      </c>
      <c r="F2087" s="3" t="s">
        <v>20</v>
      </c>
      <c r="G2087" s="3" t="s">
        <v>8505</v>
      </c>
      <c r="H2087" s="1" t="s">
        <v>22</v>
      </c>
      <c r="I2087" s="1" t="n">
        <v>20240430080126</v>
      </c>
      <c r="J2087" s="3" t="s">
        <v>8506</v>
      </c>
      <c r="K2087" s="3" t="s">
        <v>8507</v>
      </c>
      <c r="L2087" s="3" t="s">
        <v>8508</v>
      </c>
      <c r="M2087" s="3" t="n">
        <v>140427</v>
      </c>
      <c r="N2087" s="3" t="s">
        <v>1159</v>
      </c>
      <c r="O2087" s="1" t="n">
        <v>124041</v>
      </c>
      <c r="P2087" s="1" t="n">
        <v>88.33</v>
      </c>
      <c r="Q2087" s="1" t="s">
        <v>20</v>
      </c>
      <c r="R2087" s="1" t="s">
        <v>27</v>
      </c>
      <c r="S2087" s="1" t="s">
        <v>28</v>
      </c>
      <c r="T2087" s="1" t="s">
        <v>29</v>
      </c>
    </row>
    <row r="2088" customFormat="false" ht="18.7" hidden="false" customHeight="true" outlineLevel="0" collapsed="false">
      <c r="A2088" s="1" t="n">
        <v>2087</v>
      </c>
      <c r="B2088" s="6" t="str">
        <f aca="false">HYPERLINK("https://mncourtfraud.com/file/MCRO_27-CR-21-3797_Notice of Remote Hearing with Instructions_2023-08-21_20240430080122.pdf","MCRO_27-CR-21-3797_Notice of Remote Hearing with Instructions_2023-08-21_20240430080122.pdf")</f>
        <v>MCRO_27-CR-21-3797_Notice of Remote Hearing with Instructions_2023-08-21_20240430080122.pdf</v>
      </c>
      <c r="C2088" s="1" t="n">
        <v>4</v>
      </c>
      <c r="D2088" s="1" t="n">
        <v>1</v>
      </c>
      <c r="E2088" s="1" t="n">
        <v>1</v>
      </c>
      <c r="F2088" s="3" t="s">
        <v>20</v>
      </c>
      <c r="G2088" s="3" t="s">
        <v>8509</v>
      </c>
      <c r="H2088" s="1" t="s">
        <v>22</v>
      </c>
      <c r="I2088" s="1" t="n">
        <v>20240430080122</v>
      </c>
      <c r="J2088" s="3" t="s">
        <v>8510</v>
      </c>
      <c r="K2088" s="3" t="s">
        <v>8511</v>
      </c>
      <c r="L2088" s="3" t="s">
        <v>8512</v>
      </c>
      <c r="M2088" s="3" t="n">
        <v>137951</v>
      </c>
      <c r="N2088" s="3" t="s">
        <v>1159</v>
      </c>
      <c r="O2088" s="1" t="n">
        <v>121565</v>
      </c>
      <c r="P2088" s="1" t="n">
        <v>88.12</v>
      </c>
      <c r="Q2088" s="1" t="s">
        <v>20</v>
      </c>
      <c r="R2088" s="1" t="s">
        <v>27</v>
      </c>
      <c r="S2088" s="1" t="s">
        <v>28</v>
      </c>
      <c r="T2088" s="1" t="s">
        <v>29</v>
      </c>
    </row>
    <row r="2089" customFormat="false" ht="18.7" hidden="false" customHeight="true" outlineLevel="0" collapsed="false">
      <c r="A2089" s="1" t="n">
        <v>2088</v>
      </c>
      <c r="B2089" s="6" t="str">
        <f aca="false">HYPERLINK("https://mncourtfraud.com/file/MCRO_27-CR-21-3797_Notice of Remote Hearing with Instructions_2023-08-23_20240430080118.pdf","MCRO_27-CR-21-3797_Notice of Remote Hearing with Instructions_2023-08-23_20240430080118.pdf")</f>
        <v>MCRO_27-CR-21-3797_Notice of Remote Hearing with Instructions_2023-08-23_20240430080118.pdf</v>
      </c>
      <c r="C2089" s="1" t="n">
        <v>4</v>
      </c>
      <c r="D2089" s="1" t="n">
        <v>1</v>
      </c>
      <c r="E2089" s="1" t="n">
        <v>1</v>
      </c>
      <c r="F2089" s="3" t="s">
        <v>20</v>
      </c>
      <c r="G2089" s="3" t="s">
        <v>8513</v>
      </c>
      <c r="H2089" s="1" t="s">
        <v>22</v>
      </c>
      <c r="I2089" s="1" t="n">
        <v>20240430080118</v>
      </c>
      <c r="J2089" s="3" t="s">
        <v>8514</v>
      </c>
      <c r="K2089" s="3" t="s">
        <v>8515</v>
      </c>
      <c r="L2089" s="3" t="s">
        <v>8516</v>
      </c>
      <c r="M2089" s="3" t="n">
        <v>136042</v>
      </c>
      <c r="N2089" s="3" t="s">
        <v>1159</v>
      </c>
      <c r="O2089" s="1" t="n">
        <v>119656</v>
      </c>
      <c r="P2089" s="1" t="n">
        <v>87.96</v>
      </c>
      <c r="Q2089" s="1" t="s">
        <v>20</v>
      </c>
      <c r="R2089" s="1" t="s">
        <v>27</v>
      </c>
      <c r="S2089" s="1" t="s">
        <v>28</v>
      </c>
      <c r="T2089" s="1" t="s">
        <v>29</v>
      </c>
    </row>
    <row r="2090" customFormat="false" ht="18.7" hidden="false" customHeight="true" outlineLevel="0" collapsed="false">
      <c r="A2090" s="1" t="n">
        <v>2089</v>
      </c>
      <c r="B2090" s="6" t="str">
        <f aca="false">HYPERLINK("https://mncourtfraud.com/file/MCRO_27-CR-21-3797_Notice of Remote Hearing with Instructions_2023-10-24_20240430080105.pdf","MCRO_27-CR-21-3797_Notice of Remote Hearing with Instructions_2023-10-24_20240430080105.pdf")</f>
        <v>MCRO_27-CR-21-3797_Notice of Remote Hearing with Instructions_2023-10-24_20240430080105.pdf</v>
      </c>
      <c r="C2090" s="1" t="n">
        <v>6</v>
      </c>
      <c r="D2090" s="1" t="n">
        <v>1</v>
      </c>
      <c r="E2090" s="1" t="n">
        <v>1</v>
      </c>
      <c r="F2090" s="3" t="s">
        <v>20</v>
      </c>
      <c r="G2090" s="3" t="s">
        <v>8517</v>
      </c>
      <c r="H2090" s="1" t="s">
        <v>22</v>
      </c>
      <c r="I2090" s="1" t="n">
        <v>20240430080105</v>
      </c>
      <c r="J2090" s="3" t="s">
        <v>8518</v>
      </c>
      <c r="K2090" s="3" t="s">
        <v>8519</v>
      </c>
      <c r="L2090" s="3" t="s">
        <v>8520</v>
      </c>
      <c r="M2090" s="3" t="n">
        <v>909895</v>
      </c>
      <c r="N2090" s="3" t="s">
        <v>109</v>
      </c>
      <c r="O2090" s="1" t="n">
        <v>893509</v>
      </c>
      <c r="P2090" s="1" t="n">
        <v>98.2</v>
      </c>
      <c r="Q2090" s="1" t="s">
        <v>20</v>
      </c>
      <c r="R2090" s="1" t="s">
        <v>27</v>
      </c>
      <c r="S2090" s="1" t="s">
        <v>28</v>
      </c>
      <c r="T2090" s="1" t="s">
        <v>29</v>
      </c>
    </row>
    <row r="2091" customFormat="false" ht="18.7" hidden="false" customHeight="true" outlineLevel="0" collapsed="false">
      <c r="A2091" s="1" t="n">
        <v>2090</v>
      </c>
      <c r="B2091" s="6" t="str">
        <f aca="false">HYPERLINK("https://mncourtfraud.com/file/MCRO_27-CR-21-3797_Notice of Remote Hearing with Instructions_2023-11-28_20240430080101.pdf","MCRO_27-CR-21-3797_Notice of Remote Hearing with Instructions_2023-11-28_20240430080101.pdf")</f>
        <v>MCRO_27-CR-21-3797_Notice of Remote Hearing with Instructions_2023-11-28_20240430080101.pdf</v>
      </c>
      <c r="C2091" s="1" t="n">
        <v>4</v>
      </c>
      <c r="D2091" s="1" t="n">
        <v>1</v>
      </c>
      <c r="E2091" s="1" t="n">
        <v>1</v>
      </c>
      <c r="F2091" s="3" t="s">
        <v>20</v>
      </c>
      <c r="G2091" s="3" t="s">
        <v>8521</v>
      </c>
      <c r="H2091" s="1" t="s">
        <v>22</v>
      </c>
      <c r="I2091" s="1" t="n">
        <v>20240430080101</v>
      </c>
      <c r="J2091" s="3" t="s">
        <v>8522</v>
      </c>
      <c r="K2091" s="3" t="s">
        <v>8523</v>
      </c>
      <c r="L2091" s="3" t="s">
        <v>8524</v>
      </c>
      <c r="M2091" s="3" t="n">
        <v>269837</v>
      </c>
      <c r="N2091" s="3" t="s">
        <v>74</v>
      </c>
      <c r="O2091" s="1" t="n">
        <v>253451</v>
      </c>
      <c r="P2091" s="1" t="n">
        <v>93.93</v>
      </c>
      <c r="Q2091" s="1" t="s">
        <v>20</v>
      </c>
      <c r="R2091" s="1" t="s">
        <v>27</v>
      </c>
      <c r="S2091" s="1" t="s">
        <v>28</v>
      </c>
      <c r="T2091" s="1" t="s">
        <v>29</v>
      </c>
    </row>
    <row r="2092" customFormat="false" ht="18.7" hidden="false" customHeight="true" outlineLevel="0" collapsed="false">
      <c r="A2092" s="1" t="n">
        <v>2091</v>
      </c>
      <c r="B2092" s="6" t="str">
        <f aca="false">HYPERLINK("https://mncourtfraud.com/file/MCRO_27-CR-21-3797_Notice-Other_2023-10-13_20240430080107.pdf","MCRO_27-CR-21-3797_Notice-Other_2023-10-13_20240430080107.pdf")</f>
        <v>MCRO_27-CR-21-3797_Notice-Other_2023-10-13_20240430080107.pdf</v>
      </c>
      <c r="C2092" s="1" t="n">
        <v>3</v>
      </c>
      <c r="D2092" s="1" t="n">
        <v>1</v>
      </c>
      <c r="E2092" s="1" t="n">
        <v>1</v>
      </c>
      <c r="F2092" s="3" t="s">
        <v>20</v>
      </c>
      <c r="G2092" s="3" t="s">
        <v>8525</v>
      </c>
      <c r="H2092" s="1" t="s">
        <v>22</v>
      </c>
      <c r="I2092" s="1" t="n">
        <v>20240430080107</v>
      </c>
      <c r="J2092" s="3" t="s">
        <v>8526</v>
      </c>
      <c r="K2092" s="3" t="s">
        <v>8527</v>
      </c>
      <c r="L2092" s="3" t="s">
        <v>8528</v>
      </c>
      <c r="M2092" s="3" t="n">
        <v>701885</v>
      </c>
      <c r="N2092" s="3" t="s">
        <v>3431</v>
      </c>
      <c r="O2092" s="1" t="n">
        <v>685499</v>
      </c>
      <c r="P2092" s="1" t="n">
        <v>97.67</v>
      </c>
      <c r="Q2092" s="1" t="s">
        <v>20</v>
      </c>
      <c r="R2092" s="1" t="s">
        <v>27</v>
      </c>
      <c r="S2092" s="1" t="s">
        <v>28</v>
      </c>
      <c r="T2092" s="1" t="s">
        <v>29</v>
      </c>
    </row>
    <row r="2093" customFormat="false" ht="18.7" hidden="false" customHeight="true" outlineLevel="0" collapsed="false">
      <c r="A2093" s="1" t="n">
        <v>2092</v>
      </c>
      <c r="B2093" s="6" t="str">
        <f aca="false">HYPERLINK("https://mncourtfraud.com/file/MCRO_27-CR-21-3797_Order-Evaluation for Competency to Proceed (Rule 20.01)_2023-01-17_20240430080135.pdf","MCRO_27-CR-21-3797_Order-Evaluation for Competency to Proceed (Rule 20.01)_2023-01-17_20240430080135.pdf")</f>
        <v>MCRO_27-CR-21-3797_Order-Evaluation for Competency to Proceed (Rule 20.01)_2023-01-17_20240430080135.pdf</v>
      </c>
      <c r="C2093" s="1" t="n">
        <v>4</v>
      </c>
      <c r="D2093" s="1" t="n">
        <v>1</v>
      </c>
      <c r="E2093" s="1" t="n">
        <v>1</v>
      </c>
      <c r="F2093" s="3" t="s">
        <v>20</v>
      </c>
      <c r="G2093" s="3" t="s">
        <v>8529</v>
      </c>
      <c r="H2093" s="1" t="s">
        <v>22</v>
      </c>
      <c r="I2093" s="1" t="n">
        <v>20240430080135</v>
      </c>
      <c r="J2093" s="3" t="s">
        <v>8530</v>
      </c>
      <c r="K2093" s="3" t="s">
        <v>8531</v>
      </c>
      <c r="L2093" s="3" t="s">
        <v>8532</v>
      </c>
      <c r="M2093" s="3" t="n">
        <v>209584</v>
      </c>
      <c r="N2093" s="3" t="s">
        <v>347</v>
      </c>
      <c r="O2093" s="1" t="n">
        <v>193198</v>
      </c>
      <c r="P2093" s="1" t="n">
        <v>92.18</v>
      </c>
      <c r="Q2093" s="1" t="s">
        <v>20</v>
      </c>
      <c r="R2093" s="1" t="s">
        <v>27</v>
      </c>
      <c r="S2093" s="1" t="s">
        <v>28</v>
      </c>
      <c r="T2093" s="1" t="s">
        <v>29</v>
      </c>
    </row>
    <row r="2094" customFormat="false" ht="18.7" hidden="false" customHeight="true" outlineLevel="0" collapsed="false">
      <c r="A2094" s="1" t="n">
        <v>2093</v>
      </c>
      <c r="B2094" s="6" t="str">
        <f aca="false">HYPERLINK("https://mncourtfraud.com/file/MCRO_27-CR-21-3797_Order-Evaluation for Competency to Proceed (Rule 20.01)_2023-05-12_20240430080127.pdf","MCRO_27-CR-21-3797_Order-Evaluation for Competency to Proceed (Rule 20.01)_2023-05-12_20240430080127.pdf")</f>
        <v>MCRO_27-CR-21-3797_Order-Evaluation for Competency to Proceed (Rule 20.01)_2023-05-12_20240430080127.pdf</v>
      </c>
      <c r="C2094" s="1" t="n">
        <v>4</v>
      </c>
      <c r="D2094" s="1" t="n">
        <v>1</v>
      </c>
      <c r="E2094" s="1" t="n">
        <v>1</v>
      </c>
      <c r="F2094" s="3" t="s">
        <v>20</v>
      </c>
      <c r="G2094" s="3" t="s">
        <v>8533</v>
      </c>
      <c r="H2094" s="1" t="s">
        <v>22</v>
      </c>
      <c r="I2094" s="1" t="n">
        <v>20240430080127</v>
      </c>
      <c r="J2094" s="3" t="s">
        <v>8534</v>
      </c>
      <c r="K2094" s="3" t="s">
        <v>8535</v>
      </c>
      <c r="L2094" s="3" t="s">
        <v>8536</v>
      </c>
      <c r="M2094" s="3" t="n">
        <v>170755</v>
      </c>
      <c r="N2094" s="3" t="s">
        <v>347</v>
      </c>
      <c r="O2094" s="1" t="n">
        <v>154369</v>
      </c>
      <c r="P2094" s="1" t="n">
        <v>90.4</v>
      </c>
      <c r="Q2094" s="1" t="s">
        <v>20</v>
      </c>
      <c r="R2094" s="1" t="s">
        <v>27</v>
      </c>
      <c r="S2094" s="1" t="s">
        <v>28</v>
      </c>
      <c r="T2094" s="1" t="s">
        <v>29</v>
      </c>
    </row>
    <row r="2095" customFormat="false" ht="18.7" hidden="false" customHeight="true" outlineLevel="0" collapsed="false">
      <c r="A2095" s="1" t="n">
        <v>2094</v>
      </c>
      <c r="B2095" s="6" t="str">
        <f aca="false">HYPERLINK("https://mncourtfraud.com/file/MCRO_27-CR-21-3797_Order-Evaluation for Competency to Proceed (Rule 20.01)_2023-08-21_20240430080120.pdf","MCRO_27-CR-21-3797_Order-Evaluation for Competency to Proceed (Rule 20.01)_2023-08-21_20240430080120.pdf")</f>
        <v>MCRO_27-CR-21-3797_Order-Evaluation for Competency to Proceed (Rule 20.01)_2023-08-21_20240430080120.pdf</v>
      </c>
      <c r="C2095" s="1" t="n">
        <v>4</v>
      </c>
      <c r="D2095" s="1" t="n">
        <v>1</v>
      </c>
      <c r="E2095" s="1" t="n">
        <v>1</v>
      </c>
      <c r="F2095" s="3" t="s">
        <v>20</v>
      </c>
      <c r="G2095" s="3" t="s">
        <v>8537</v>
      </c>
      <c r="H2095" s="1" t="s">
        <v>22</v>
      </c>
      <c r="I2095" s="1" t="n">
        <v>20240430080120</v>
      </c>
      <c r="J2095" s="3" t="s">
        <v>8538</v>
      </c>
      <c r="K2095" s="3" t="s">
        <v>8539</v>
      </c>
      <c r="L2095" s="3" t="s">
        <v>8540</v>
      </c>
      <c r="M2095" s="3" t="n">
        <v>142261</v>
      </c>
      <c r="N2095" s="3" t="s">
        <v>1159</v>
      </c>
      <c r="O2095" s="1" t="n">
        <v>125875</v>
      </c>
      <c r="P2095" s="1" t="n">
        <v>88.48</v>
      </c>
      <c r="Q2095" s="1" t="s">
        <v>20</v>
      </c>
      <c r="R2095" s="1" t="s">
        <v>27</v>
      </c>
      <c r="S2095" s="1" t="s">
        <v>28</v>
      </c>
      <c r="T2095" s="1" t="s">
        <v>29</v>
      </c>
    </row>
    <row r="2096" customFormat="false" ht="18.7" hidden="false" customHeight="true" outlineLevel="0" collapsed="false">
      <c r="A2096" s="1" t="n">
        <v>2095</v>
      </c>
      <c r="B2096" s="6" t="str">
        <f aca="false">HYPERLINK("https://mncourtfraud.com/file/MCRO_27-CR-21-3797_Order-Evaluation for Competency to Proceed (Rule 20.01)_2023-08-23_20240430080119.pdf","MCRO_27-CR-21-3797_Order-Evaluation for Competency to Proceed (Rule 20.01)_2023-08-23_20240430080119.pdf")</f>
        <v>MCRO_27-CR-21-3797_Order-Evaluation for Competency to Proceed (Rule 20.01)_2023-08-23_20240430080119.pdf</v>
      </c>
      <c r="C2096" s="1" t="n">
        <v>4</v>
      </c>
      <c r="D2096" s="1" t="n">
        <v>1</v>
      </c>
      <c r="E2096" s="1" t="n">
        <v>1</v>
      </c>
      <c r="F2096" s="3" t="s">
        <v>20</v>
      </c>
      <c r="G2096" s="3" t="s">
        <v>8541</v>
      </c>
      <c r="H2096" s="1" t="s">
        <v>22</v>
      </c>
      <c r="I2096" s="1" t="n">
        <v>20240430080119</v>
      </c>
      <c r="J2096" s="3" t="s">
        <v>8542</v>
      </c>
      <c r="K2096" s="3" t="s">
        <v>8543</v>
      </c>
      <c r="L2096" s="3" t="s">
        <v>8544</v>
      </c>
      <c r="M2096" s="3" t="n">
        <v>139924</v>
      </c>
      <c r="N2096" s="3" t="s">
        <v>1159</v>
      </c>
      <c r="O2096" s="1" t="n">
        <v>123538</v>
      </c>
      <c r="P2096" s="1" t="n">
        <v>88.29</v>
      </c>
      <c r="Q2096" s="1" t="s">
        <v>20</v>
      </c>
      <c r="R2096" s="1" t="s">
        <v>27</v>
      </c>
      <c r="S2096" s="1" t="s">
        <v>28</v>
      </c>
      <c r="T2096" s="1" t="s">
        <v>29</v>
      </c>
    </row>
    <row r="2097" customFormat="false" ht="18.7" hidden="false" customHeight="true" outlineLevel="0" collapsed="false">
      <c r="A2097" s="1" t="n">
        <v>2096</v>
      </c>
      <c r="B2097" s="6" t="str">
        <f aca="false">HYPERLINK("https://mncourtfraud.com/file/MCRO_27-CR-21-3797_Order-Evaluation for Competency to Proceed (Rule 20.01)_2023-11-28_20240430080102.pdf","MCRO_27-CR-21-3797_Order-Evaluation for Competency to Proceed (Rule 20.01)_2023-11-28_20240430080102.pdf")</f>
        <v>MCRO_27-CR-21-3797_Order-Evaluation for Competency to Proceed (Rule 20.01)_2023-11-28_20240430080102.pdf</v>
      </c>
      <c r="C2097" s="1" t="n">
        <v>5</v>
      </c>
      <c r="D2097" s="1" t="n">
        <v>1</v>
      </c>
      <c r="E2097" s="1" t="n">
        <v>1</v>
      </c>
      <c r="F2097" s="3" t="s">
        <v>20</v>
      </c>
      <c r="G2097" s="3" t="s">
        <v>8545</v>
      </c>
      <c r="H2097" s="1" t="s">
        <v>22</v>
      </c>
      <c r="I2097" s="1" t="n">
        <v>20240430080102</v>
      </c>
      <c r="J2097" s="3" t="s">
        <v>8546</v>
      </c>
      <c r="K2097" s="3" t="s">
        <v>8547</v>
      </c>
      <c r="L2097" s="3" t="s">
        <v>8548</v>
      </c>
      <c r="M2097" s="3" t="n">
        <v>763672</v>
      </c>
      <c r="N2097" s="3" t="s">
        <v>1257</v>
      </c>
      <c r="O2097" s="1" t="n">
        <v>747286</v>
      </c>
      <c r="P2097" s="1" t="n">
        <v>97.85</v>
      </c>
      <c r="Q2097" s="1" t="s">
        <v>20</v>
      </c>
      <c r="R2097" s="1" t="s">
        <v>27</v>
      </c>
      <c r="S2097" s="1" t="s">
        <v>28</v>
      </c>
      <c r="T2097" s="1" t="s">
        <v>29</v>
      </c>
    </row>
    <row r="2098" customFormat="false" ht="18.7" hidden="false" customHeight="true" outlineLevel="0" collapsed="false">
      <c r="A2098" s="1" t="n">
        <v>2097</v>
      </c>
      <c r="B2098" s="6" t="str">
        <f aca="false">HYPERLINK("https://mncourtfraud.com/file/MCRO_27-CR-21-3797_Order Forfeiting Cash Bond or Surety Bond_2023-08-03_20240430080125.pdf","MCRO_27-CR-21-3797_Order Forfeiting Cash Bond or Surety Bond_2023-08-03_20240430080125.pdf")</f>
        <v>MCRO_27-CR-21-3797_Order Forfeiting Cash Bond or Surety Bond_2023-08-03_20240430080125.pdf</v>
      </c>
      <c r="C2098" s="1" t="n">
        <v>5</v>
      </c>
      <c r="D2098" s="1" t="n">
        <v>1</v>
      </c>
      <c r="E2098" s="1" t="n">
        <v>1</v>
      </c>
      <c r="F2098" s="3" t="s">
        <v>20</v>
      </c>
      <c r="G2098" s="3" t="s">
        <v>8549</v>
      </c>
      <c r="H2098" s="1" t="s">
        <v>22</v>
      </c>
      <c r="I2098" s="1" t="n">
        <v>20240430080125</v>
      </c>
      <c r="J2098" s="3" t="s">
        <v>8550</v>
      </c>
      <c r="K2098" s="3" t="s">
        <v>8551</v>
      </c>
      <c r="L2098" s="3" t="s">
        <v>8552</v>
      </c>
      <c r="M2098" s="3" t="n">
        <v>741515</v>
      </c>
      <c r="N2098" s="3" t="s">
        <v>4424</v>
      </c>
      <c r="O2098" s="1" t="n">
        <v>725129</v>
      </c>
      <c r="P2098" s="1" t="n">
        <v>97.79</v>
      </c>
      <c r="Q2098" s="1" t="s">
        <v>20</v>
      </c>
      <c r="R2098" s="1" t="s">
        <v>27</v>
      </c>
      <c r="S2098" s="1" t="s">
        <v>28</v>
      </c>
      <c r="T2098" s="1" t="s">
        <v>29</v>
      </c>
    </row>
    <row r="2099" customFormat="false" ht="18.7" hidden="false" customHeight="true" outlineLevel="0" collapsed="false">
      <c r="A2099" s="1" t="n">
        <v>2098</v>
      </c>
      <c r="B2099" s="6" t="str">
        <f aca="false">HYPERLINK("https://mncourtfraud.com/file/MCRO_27-CR-21-3797_Order Reinstating Forfeited Cash or Surety Bond_2024-01-22_20240430080056.pdf","MCRO_27-CR-21-3797_Order Reinstating Forfeited Cash or Surety Bond_2024-01-22_20240430080056.pdf")</f>
        <v>MCRO_27-CR-21-3797_Order Reinstating Forfeited Cash or Surety Bond_2024-01-22_20240430080056.pdf</v>
      </c>
      <c r="C2099" s="1" t="n">
        <v>5</v>
      </c>
      <c r="D2099" s="1" t="n">
        <v>3</v>
      </c>
      <c r="E2099" s="1" t="n">
        <v>3</v>
      </c>
      <c r="F2099" s="3" t="s">
        <v>20</v>
      </c>
      <c r="G2099" s="3" t="s">
        <v>8553</v>
      </c>
      <c r="H2099" s="1" t="s">
        <v>22</v>
      </c>
      <c r="I2099" s="1" t="n">
        <v>20240430080056</v>
      </c>
      <c r="J2099" s="3" t="s">
        <v>8554</v>
      </c>
      <c r="K2099" s="3" t="s">
        <v>8555</v>
      </c>
      <c r="L2099" s="3" t="s">
        <v>8556</v>
      </c>
      <c r="M2099" s="3" t="n">
        <v>324727</v>
      </c>
      <c r="N2099" s="3" t="s">
        <v>5570</v>
      </c>
      <c r="O2099" s="1" t="n">
        <v>308341</v>
      </c>
      <c r="P2099" s="1" t="n">
        <v>94.95</v>
      </c>
      <c r="Q2099" s="1" t="s">
        <v>20</v>
      </c>
      <c r="R2099" s="1" t="s">
        <v>27</v>
      </c>
      <c r="S2099" s="1" t="s">
        <v>28</v>
      </c>
      <c r="T2099" s="1" t="s">
        <v>29</v>
      </c>
    </row>
    <row r="2100" customFormat="false" ht="18.7" hidden="false" customHeight="true" outlineLevel="0" collapsed="false">
      <c r="A2100" s="1" t="n">
        <v>2099</v>
      </c>
      <c r="B2100" s="6" t="str">
        <f aca="false">HYPERLINK("https://mncourtfraud.com/file/MCRO_27-CR-21-3797_Other Document_2023-10-13_20240430080112.pdf","MCRO_27-CR-21-3797_Other Document_2023-10-13_20240430080112.pdf")</f>
        <v>MCRO_27-CR-21-3797_Other Document_2023-10-13_20240430080112.pdf</v>
      </c>
      <c r="C2100" s="1" t="n">
        <v>3</v>
      </c>
      <c r="D2100" s="1" t="n">
        <v>1</v>
      </c>
      <c r="E2100" s="1" t="n">
        <v>1</v>
      </c>
      <c r="F2100" s="3" t="s">
        <v>20</v>
      </c>
      <c r="G2100" s="3" t="s">
        <v>8557</v>
      </c>
      <c r="H2100" s="1" t="s">
        <v>22</v>
      </c>
      <c r="I2100" s="1" t="n">
        <v>20240430080112</v>
      </c>
      <c r="J2100" s="3" t="s">
        <v>8406</v>
      </c>
      <c r="K2100" s="3" t="s">
        <v>8407</v>
      </c>
      <c r="L2100" s="3" t="s">
        <v>8558</v>
      </c>
      <c r="M2100" s="3" t="n">
        <v>145223</v>
      </c>
      <c r="N2100" s="3" t="s">
        <v>2342</v>
      </c>
      <c r="O2100" s="1" t="n">
        <v>128837</v>
      </c>
      <c r="P2100" s="1" t="n">
        <v>88.72</v>
      </c>
      <c r="Q2100" s="1" t="s">
        <v>20</v>
      </c>
      <c r="R2100" s="1" t="s">
        <v>27</v>
      </c>
      <c r="S2100" s="1" t="s">
        <v>28</v>
      </c>
      <c r="T2100" s="1" t="s">
        <v>29</v>
      </c>
    </row>
    <row r="2101" customFormat="false" ht="18.7" hidden="false" customHeight="true" outlineLevel="0" collapsed="false">
      <c r="A2101" s="1" t="n">
        <v>2100</v>
      </c>
      <c r="B2101" s="6" t="str">
        <f aca="false">HYPERLINK("https://mncourtfraud.com/file/MCRO_27-CR-21-3797_Petition to Reinstate and Discharge Bond_2023-10-13_20240430080114.pdf","MCRO_27-CR-21-3797_Petition to Reinstate and Discharge Bond_2023-10-13_20240430080114.pdf")</f>
        <v>MCRO_27-CR-21-3797_Petition to Reinstate and Discharge Bond_2023-10-13_20240430080114.pdf</v>
      </c>
      <c r="C2101" s="1" t="n">
        <v>3</v>
      </c>
      <c r="D2101" s="1" t="n">
        <v>1</v>
      </c>
      <c r="E2101" s="1" t="n">
        <v>1</v>
      </c>
      <c r="F2101" s="3" t="s">
        <v>20</v>
      </c>
      <c r="G2101" s="3" t="s">
        <v>8559</v>
      </c>
      <c r="H2101" s="1" t="s">
        <v>22</v>
      </c>
      <c r="I2101" s="1" t="n">
        <v>20240430080114</v>
      </c>
      <c r="J2101" s="3" t="s">
        <v>8560</v>
      </c>
      <c r="K2101" s="3" t="s">
        <v>8561</v>
      </c>
      <c r="L2101" s="3" t="s">
        <v>8562</v>
      </c>
      <c r="M2101" s="3" t="n">
        <v>66999</v>
      </c>
      <c r="N2101" s="3" t="s">
        <v>481</v>
      </c>
      <c r="O2101" s="1" t="n">
        <v>50613</v>
      </c>
      <c r="P2101" s="1" t="n">
        <v>75.54</v>
      </c>
      <c r="Q2101" s="1" t="s">
        <v>20</v>
      </c>
      <c r="R2101" s="1" t="s">
        <v>27</v>
      </c>
      <c r="S2101" s="1" t="s">
        <v>28</v>
      </c>
      <c r="T2101" s="1" t="s">
        <v>29</v>
      </c>
    </row>
    <row r="2102" customFormat="false" ht="18.7" hidden="false" customHeight="true" outlineLevel="0" collapsed="false">
      <c r="A2102" s="1" t="n">
        <v>2101</v>
      </c>
      <c r="B2102" s="6" t="str">
        <f aca="false">HYPERLINK("https://mncourtfraud.com/file/MCRO_27-CR-21-3797_Proposed Order or Document_2023-10-13_20240430080111.pdf","MCRO_27-CR-21-3797_Proposed Order or Document_2023-10-13_20240430080111.pdf")</f>
        <v>MCRO_27-CR-21-3797_Proposed Order or Document_2023-10-13_20240430080111.pdf</v>
      </c>
      <c r="C2102" s="1" t="n">
        <v>3</v>
      </c>
      <c r="D2102" s="1" t="n">
        <v>1</v>
      </c>
      <c r="E2102" s="1" t="n">
        <v>1</v>
      </c>
      <c r="F2102" s="3" t="s">
        <v>20</v>
      </c>
      <c r="G2102" s="3" t="s">
        <v>8563</v>
      </c>
      <c r="H2102" s="1" t="s">
        <v>22</v>
      </c>
      <c r="I2102" s="1" t="n">
        <v>20240430080111</v>
      </c>
      <c r="J2102" s="3" t="s">
        <v>8564</v>
      </c>
      <c r="K2102" s="3" t="s">
        <v>8565</v>
      </c>
      <c r="L2102" s="3" t="s">
        <v>8566</v>
      </c>
      <c r="M2102" s="3" t="n">
        <v>137537</v>
      </c>
      <c r="N2102" s="3" t="s">
        <v>1222</v>
      </c>
      <c r="O2102" s="1" t="n">
        <v>121151</v>
      </c>
      <c r="P2102" s="1" t="n">
        <v>88.09</v>
      </c>
      <c r="Q2102" s="1" t="s">
        <v>20</v>
      </c>
      <c r="R2102" s="1" t="s">
        <v>27</v>
      </c>
      <c r="S2102" s="1" t="s">
        <v>28</v>
      </c>
      <c r="T2102" s="1" t="s">
        <v>29</v>
      </c>
    </row>
    <row r="2103" customFormat="false" ht="18.7" hidden="false" customHeight="true" outlineLevel="0" collapsed="false">
      <c r="A2103" s="1" t="n">
        <v>2102</v>
      </c>
      <c r="B2103" s="6" t="str">
        <f aca="false">HYPERLINK("https://mncourtfraud.com/file/MCRO_27-CR-21-3797_Remote Hearing Instructions Provided_2022-01-11_20240430080142.pdf","MCRO_27-CR-21-3797_Remote Hearing Instructions Provided_2022-01-11_20240430080142.pdf")</f>
        <v>MCRO_27-CR-21-3797_Remote Hearing Instructions Provided_2022-01-11_20240430080142.pdf</v>
      </c>
      <c r="C2103" s="1" t="n">
        <v>5</v>
      </c>
      <c r="D2103" s="1" t="n">
        <v>1</v>
      </c>
      <c r="E2103" s="1" t="n">
        <v>1</v>
      </c>
      <c r="F2103" s="3" t="s">
        <v>20</v>
      </c>
      <c r="G2103" s="3" t="s">
        <v>8567</v>
      </c>
      <c r="H2103" s="1" t="s">
        <v>22</v>
      </c>
      <c r="I2103" s="1" t="n">
        <v>20240430080142</v>
      </c>
      <c r="J2103" s="3" t="s">
        <v>8568</v>
      </c>
      <c r="K2103" s="3" t="s">
        <v>8569</v>
      </c>
      <c r="L2103" s="3" t="s">
        <v>8570</v>
      </c>
      <c r="M2103" s="3" t="n">
        <v>859953</v>
      </c>
      <c r="N2103" s="3" t="s">
        <v>2852</v>
      </c>
      <c r="O2103" s="1" t="n">
        <v>843567</v>
      </c>
      <c r="P2103" s="1" t="n">
        <v>98.09</v>
      </c>
      <c r="Q2103" s="1" t="s">
        <v>20</v>
      </c>
      <c r="R2103" s="1" t="s">
        <v>27</v>
      </c>
      <c r="S2103" s="1" t="s">
        <v>28</v>
      </c>
      <c r="T2103" s="1" t="s">
        <v>29</v>
      </c>
    </row>
    <row r="2104" customFormat="false" ht="18.7" hidden="false" customHeight="true" outlineLevel="0" collapsed="false">
      <c r="A2104" s="1" t="n">
        <v>2103</v>
      </c>
      <c r="B2104" s="6" t="str">
        <f aca="false">HYPERLINK("https://mncourtfraud.com/file/MCRO_27-CR-21-3797_Returned Mail_2023-07-28_20240430080125.pdf","MCRO_27-CR-21-3797_Returned Mail_2023-07-28_20240430080125.pdf")</f>
        <v>MCRO_27-CR-21-3797_Returned Mail_2023-07-28_20240430080125.pdf</v>
      </c>
      <c r="C2104" s="1" t="n">
        <v>4</v>
      </c>
      <c r="D2104" s="1" t="n">
        <v>1</v>
      </c>
      <c r="E2104" s="1" t="n">
        <v>1</v>
      </c>
      <c r="F2104" s="3" t="s">
        <v>20</v>
      </c>
      <c r="G2104" s="3" t="s">
        <v>8571</v>
      </c>
      <c r="H2104" s="1" t="s">
        <v>22</v>
      </c>
      <c r="I2104" s="1" t="n">
        <v>20240430080125</v>
      </c>
      <c r="J2104" s="3" t="s">
        <v>8550</v>
      </c>
      <c r="K2104" s="3" t="s">
        <v>8551</v>
      </c>
      <c r="L2104" s="3" t="s">
        <v>8572</v>
      </c>
      <c r="M2104" s="3" t="n">
        <v>93909</v>
      </c>
      <c r="N2104" s="3" t="s">
        <v>435</v>
      </c>
      <c r="O2104" s="1" t="n">
        <v>77523</v>
      </c>
      <c r="P2104" s="1" t="n">
        <v>82.55</v>
      </c>
      <c r="Q2104" s="1" t="s">
        <v>20</v>
      </c>
      <c r="R2104" s="1" t="s">
        <v>27</v>
      </c>
      <c r="S2104" s="1" t="s">
        <v>28</v>
      </c>
      <c r="T2104" s="1" t="s">
        <v>29</v>
      </c>
    </row>
    <row r="2105" customFormat="false" ht="18.7" hidden="false" customHeight="true" outlineLevel="0" collapsed="false">
      <c r="A2105" s="1" t="n">
        <v>2104</v>
      </c>
      <c r="B2105" s="6" t="str">
        <f aca="false">HYPERLINK("https://mncourtfraud.com/file/MCRO_27-CR-21-3797_Returned Mail_2023-11-02_20240430080104.pdf","MCRO_27-CR-21-3797_Returned Mail_2023-11-02_20240430080104.pdf")</f>
        <v>MCRO_27-CR-21-3797_Returned Mail_2023-11-02_20240430080104.pdf</v>
      </c>
      <c r="C2105" s="1" t="n">
        <v>4</v>
      </c>
      <c r="D2105" s="1" t="n">
        <v>1</v>
      </c>
      <c r="E2105" s="1" t="n">
        <v>1</v>
      </c>
      <c r="F2105" s="3" t="s">
        <v>20</v>
      </c>
      <c r="G2105" s="3" t="s">
        <v>8573</v>
      </c>
      <c r="H2105" s="1" t="s">
        <v>22</v>
      </c>
      <c r="I2105" s="1" t="n">
        <v>20240430080104</v>
      </c>
      <c r="J2105" s="3" t="s">
        <v>8574</v>
      </c>
      <c r="K2105" s="3" t="s">
        <v>8575</v>
      </c>
      <c r="L2105" s="3" t="s">
        <v>8576</v>
      </c>
      <c r="M2105" s="3" t="n">
        <v>104304</v>
      </c>
      <c r="N2105" s="3" t="s">
        <v>435</v>
      </c>
      <c r="O2105" s="1" t="n">
        <v>87918</v>
      </c>
      <c r="P2105" s="1" t="n">
        <v>84.29</v>
      </c>
      <c r="Q2105" s="1" t="s">
        <v>20</v>
      </c>
      <c r="R2105" s="1" t="s">
        <v>27</v>
      </c>
      <c r="S2105" s="1" t="s">
        <v>28</v>
      </c>
      <c r="T2105" s="1" t="s">
        <v>29</v>
      </c>
    </row>
    <row r="2106" customFormat="false" ht="18.7" hidden="false" customHeight="true" outlineLevel="0" collapsed="false">
      <c r="A2106" s="1" t="n">
        <v>2105</v>
      </c>
      <c r="B2106" s="6" t="str">
        <f aca="false">HYPERLINK("https://mncourtfraud.com/file/MCRO_27-CR-21-3797_Returned Mail_2023-12-08_20240430080059.pdf","MCRO_27-CR-21-3797_Returned Mail_2023-12-08_20240430080059.pdf")</f>
        <v>MCRO_27-CR-21-3797_Returned Mail_2023-12-08_20240430080059.pdf</v>
      </c>
      <c r="C2106" s="1" t="n">
        <v>4</v>
      </c>
      <c r="D2106" s="1" t="n">
        <v>1</v>
      </c>
      <c r="E2106" s="1" t="n">
        <v>1</v>
      </c>
      <c r="F2106" s="3" t="s">
        <v>20</v>
      </c>
      <c r="G2106" s="3" t="s">
        <v>8577</v>
      </c>
      <c r="H2106" s="1" t="s">
        <v>22</v>
      </c>
      <c r="I2106" s="1" t="n">
        <v>20240430080059</v>
      </c>
      <c r="J2106" s="3" t="s">
        <v>8578</v>
      </c>
      <c r="K2106" s="3" t="s">
        <v>8579</v>
      </c>
      <c r="L2106" s="3" t="s">
        <v>8580</v>
      </c>
      <c r="M2106" s="3" t="n">
        <v>336000</v>
      </c>
      <c r="N2106" s="3" t="s">
        <v>158</v>
      </c>
      <c r="O2106" s="1" t="n">
        <v>319614</v>
      </c>
      <c r="P2106" s="1" t="n">
        <v>95.12</v>
      </c>
      <c r="Q2106" s="1" t="s">
        <v>20</v>
      </c>
      <c r="R2106" s="1" t="s">
        <v>27</v>
      </c>
      <c r="S2106" s="1" t="s">
        <v>28</v>
      </c>
      <c r="T2106" s="1" t="s">
        <v>29</v>
      </c>
    </row>
    <row r="2107" customFormat="false" ht="18.7" hidden="false" customHeight="true" outlineLevel="0" collapsed="false">
      <c r="A2107" s="1" t="n">
        <v>2106</v>
      </c>
      <c r="B2107" s="6" t="str">
        <f aca="false">HYPERLINK("https://mncourtfraud.com/file/MCRO_27-CR-21-6229_Correspondence for Judicial Approval_2021-08-30_20240430080232.pdf","MCRO_27-CR-21-6229_Correspondence for Judicial Approval_2021-08-30_20240430080232.pdf")</f>
        <v>MCRO_27-CR-21-6229_Correspondence for Judicial Approval_2021-08-30_20240430080232.pdf</v>
      </c>
      <c r="C2107" s="1" t="n">
        <v>4</v>
      </c>
      <c r="D2107" s="1" t="n">
        <v>1</v>
      </c>
      <c r="E2107" s="1" t="n">
        <v>1</v>
      </c>
      <c r="F2107" s="3" t="s">
        <v>20</v>
      </c>
      <c r="G2107" s="3" t="s">
        <v>8581</v>
      </c>
      <c r="H2107" s="1" t="s">
        <v>22</v>
      </c>
      <c r="I2107" s="1" t="n">
        <v>20240430080232</v>
      </c>
      <c r="J2107" s="3" t="s">
        <v>8582</v>
      </c>
      <c r="K2107" s="3" t="s">
        <v>8583</v>
      </c>
      <c r="L2107" s="3" t="s">
        <v>8584</v>
      </c>
      <c r="M2107" s="3" t="n">
        <v>204924</v>
      </c>
      <c r="N2107" s="3" t="s">
        <v>660</v>
      </c>
      <c r="O2107" s="1" t="n">
        <v>188538</v>
      </c>
      <c r="P2107" s="1" t="n">
        <v>92</v>
      </c>
      <c r="Q2107" s="1" t="s">
        <v>20</v>
      </c>
      <c r="R2107" s="1" t="s">
        <v>27</v>
      </c>
      <c r="S2107" s="1" t="s">
        <v>28</v>
      </c>
      <c r="T2107" s="1" t="s">
        <v>29</v>
      </c>
    </row>
    <row r="2108" customFormat="false" ht="18.7" hidden="false" customHeight="true" outlineLevel="0" collapsed="false">
      <c r="A2108" s="1" t="n">
        <v>2107</v>
      </c>
      <c r="B2108" s="6" t="str">
        <f aca="false">HYPERLINK("https://mncourtfraud.com/file/MCRO_27-CR-21-6229_Correspondence for Judicial Approval_2022-10-27_20240430080223.pdf","MCRO_27-CR-21-6229_Correspondence for Judicial Approval_2022-10-27_20240430080223.pdf")</f>
        <v>MCRO_27-CR-21-6229_Correspondence for Judicial Approval_2022-10-27_20240430080223.pdf</v>
      </c>
      <c r="C2108" s="1" t="n">
        <v>3</v>
      </c>
      <c r="D2108" s="1" t="n">
        <v>1</v>
      </c>
      <c r="E2108" s="1" t="n">
        <v>1</v>
      </c>
      <c r="F2108" s="3" t="s">
        <v>20</v>
      </c>
      <c r="G2108" s="3" t="s">
        <v>8585</v>
      </c>
      <c r="H2108" s="1" t="s">
        <v>22</v>
      </c>
      <c r="I2108" s="1" t="n">
        <v>20240430080223</v>
      </c>
      <c r="J2108" s="3" t="s">
        <v>8586</v>
      </c>
      <c r="K2108" s="3" t="s">
        <v>8587</v>
      </c>
      <c r="L2108" s="3" t="s">
        <v>8588</v>
      </c>
      <c r="M2108" s="3" t="n">
        <v>211267</v>
      </c>
      <c r="N2108" s="3" t="s">
        <v>2416</v>
      </c>
      <c r="O2108" s="1" t="n">
        <v>194881</v>
      </c>
      <c r="P2108" s="1" t="n">
        <v>92.24</v>
      </c>
      <c r="Q2108" s="1" t="s">
        <v>20</v>
      </c>
      <c r="R2108" s="1" t="s">
        <v>27</v>
      </c>
      <c r="S2108" s="1" t="s">
        <v>28</v>
      </c>
      <c r="T2108" s="1" t="s">
        <v>29</v>
      </c>
    </row>
    <row r="2109" customFormat="false" ht="18.7" hidden="false" customHeight="true" outlineLevel="0" collapsed="false">
      <c r="A2109" s="1" t="n">
        <v>2108</v>
      </c>
      <c r="B2109" s="6" t="str">
        <f aca="false">HYPERLINK("https://mncourtfraud.com/file/MCRO_27-CR-21-6229_Demand or Request for Discovery_2022-04-11_20240430080227.pdf","MCRO_27-CR-21-6229_Demand or Request for Discovery_2022-04-11_20240430080227.pdf")</f>
        <v>MCRO_27-CR-21-6229_Demand or Request for Discovery_2022-04-11_20240430080227.pdf</v>
      </c>
      <c r="C2109" s="1" t="n">
        <v>3</v>
      </c>
      <c r="D2109" s="1" t="n">
        <v>1</v>
      </c>
      <c r="E2109" s="1" t="n">
        <v>1</v>
      </c>
      <c r="F2109" s="3" t="s">
        <v>20</v>
      </c>
      <c r="G2109" s="3" t="s">
        <v>8589</v>
      </c>
      <c r="H2109" s="1" t="s">
        <v>22</v>
      </c>
      <c r="I2109" s="1" t="n">
        <v>20240430080227</v>
      </c>
      <c r="J2109" s="3" t="s">
        <v>8590</v>
      </c>
      <c r="K2109" s="3" t="s">
        <v>8591</v>
      </c>
      <c r="L2109" s="3" t="s">
        <v>8592</v>
      </c>
      <c r="M2109" s="3" t="n">
        <v>585799</v>
      </c>
      <c r="N2109" s="3" t="s">
        <v>8593</v>
      </c>
      <c r="O2109" s="1" t="n">
        <v>569413</v>
      </c>
      <c r="P2109" s="1" t="n">
        <v>97.2</v>
      </c>
      <c r="Q2109" s="1" t="s">
        <v>20</v>
      </c>
      <c r="R2109" s="1" t="s">
        <v>27</v>
      </c>
      <c r="S2109" s="1" t="s">
        <v>28</v>
      </c>
      <c r="T2109" s="1" t="s">
        <v>29</v>
      </c>
    </row>
    <row r="2110" customFormat="false" ht="18.7" hidden="false" customHeight="true" outlineLevel="0" collapsed="false">
      <c r="A2110" s="1" t="n">
        <v>2109</v>
      </c>
      <c r="B2110" s="6" t="str">
        <f aca="false">HYPERLINK("https://mncourtfraud.com/file/MCRO_27-CR-21-6229_Dismissal by Prosecuting Attorney_2023-09-28_20240430080219.pdf","MCRO_27-CR-21-6229_Dismissal by Prosecuting Attorney_2023-09-28_20240430080219.pdf")</f>
        <v>MCRO_27-CR-21-6229_Dismissal by Prosecuting Attorney_2023-09-28_20240430080219.pdf</v>
      </c>
      <c r="C2110" s="1" t="n">
        <v>3</v>
      </c>
      <c r="D2110" s="1" t="n">
        <v>1</v>
      </c>
      <c r="E2110" s="1" t="n">
        <v>1</v>
      </c>
      <c r="F2110" s="3" t="s">
        <v>20</v>
      </c>
      <c r="G2110" s="3" t="s">
        <v>8594</v>
      </c>
      <c r="H2110" s="1" t="s">
        <v>22</v>
      </c>
      <c r="I2110" s="1" t="n">
        <v>20240430080219</v>
      </c>
      <c r="J2110" s="3" t="s">
        <v>8595</v>
      </c>
      <c r="K2110" s="3" t="s">
        <v>8596</v>
      </c>
      <c r="L2110" s="3" t="s">
        <v>8597</v>
      </c>
      <c r="M2110" s="3" t="n">
        <v>118327</v>
      </c>
      <c r="N2110" s="3" t="s">
        <v>736</v>
      </c>
      <c r="O2110" s="1" t="n">
        <v>101941</v>
      </c>
      <c r="P2110" s="1" t="n">
        <v>86.15</v>
      </c>
      <c r="Q2110" s="1" t="s">
        <v>20</v>
      </c>
      <c r="R2110" s="1" t="s">
        <v>27</v>
      </c>
      <c r="S2110" s="1" t="s">
        <v>28</v>
      </c>
      <c r="T2110" s="1" t="s">
        <v>29</v>
      </c>
    </row>
    <row r="2111" customFormat="false" ht="18.7" hidden="false" customHeight="true" outlineLevel="0" collapsed="false">
      <c r="A2111" s="1" t="n">
        <v>2110</v>
      </c>
      <c r="B2111" s="6" t="str">
        <f aca="false">HYPERLINK("https://mncourtfraud.com/file/MCRO_27-CR-21-6229_E-filed Comp-Warrant_2021-03-29_20240430080239.pdf","MCRO_27-CR-21-6229_E-filed Comp-Warrant_2021-03-29_20240430080239.pdf")</f>
        <v>MCRO_27-CR-21-6229_E-filed Comp-Warrant_2021-03-29_20240430080239.pdf</v>
      </c>
      <c r="C2111" s="1" t="n">
        <v>4</v>
      </c>
      <c r="D2111" s="1" t="n">
        <v>2</v>
      </c>
      <c r="E2111" s="1" t="n">
        <v>2</v>
      </c>
      <c r="F2111" s="3" t="s">
        <v>20</v>
      </c>
      <c r="G2111" s="3" t="s">
        <v>8598</v>
      </c>
      <c r="H2111" s="1" t="s">
        <v>22</v>
      </c>
      <c r="I2111" s="1" t="n">
        <v>20240430080239</v>
      </c>
      <c r="J2111" s="3" t="s">
        <v>8599</v>
      </c>
      <c r="K2111" s="3" t="s">
        <v>8600</v>
      </c>
      <c r="L2111" s="3" t="s">
        <v>8601</v>
      </c>
      <c r="M2111" s="3" t="n">
        <v>507506</v>
      </c>
      <c r="N2111" s="3" t="s">
        <v>3704</v>
      </c>
      <c r="O2111" s="1" t="n">
        <v>491120</v>
      </c>
      <c r="P2111" s="1" t="n">
        <v>96.77</v>
      </c>
      <c r="Q2111" s="1" t="s">
        <v>20</v>
      </c>
      <c r="R2111" s="1" t="s">
        <v>27</v>
      </c>
      <c r="S2111" s="1" t="s">
        <v>28</v>
      </c>
      <c r="T2111" s="1" t="s">
        <v>29</v>
      </c>
    </row>
    <row r="2112" customFormat="false" ht="18.7" hidden="false" customHeight="true" outlineLevel="0" collapsed="false">
      <c r="A2112" s="1" t="n">
        <v>2111</v>
      </c>
      <c r="B2112" s="6" t="str">
        <f aca="false">HYPERLINK("https://mncourtfraud.com/file/MCRO_27-CR-21-6229_Finding of Incompetency and Order_2023-10-03_20240430080218.pdf","MCRO_27-CR-21-6229_Finding of Incompetency and Order_2023-10-03_20240430080218.pdf")</f>
        <v>MCRO_27-CR-21-6229_Finding of Incompetency and Order_2023-10-03_20240430080218.pdf</v>
      </c>
      <c r="C2112" s="1" t="n">
        <v>5</v>
      </c>
      <c r="D2112" s="1" t="n">
        <v>1</v>
      </c>
      <c r="E2112" s="1" t="n">
        <v>1</v>
      </c>
      <c r="F2112" s="3" t="s">
        <v>20</v>
      </c>
      <c r="G2112" s="3" t="s">
        <v>8602</v>
      </c>
      <c r="H2112" s="1" t="s">
        <v>22</v>
      </c>
      <c r="I2112" s="1" t="n">
        <v>20240430080218</v>
      </c>
      <c r="J2112" s="3" t="s">
        <v>8603</v>
      </c>
      <c r="K2112" s="3" t="s">
        <v>8604</v>
      </c>
      <c r="L2112" s="3" t="s">
        <v>8605</v>
      </c>
      <c r="M2112" s="3" t="n">
        <v>802416</v>
      </c>
      <c r="N2112" s="3" t="s">
        <v>922</v>
      </c>
      <c r="O2112" s="1" t="n">
        <v>786030</v>
      </c>
      <c r="P2112" s="1" t="n">
        <v>97.96</v>
      </c>
      <c r="Q2112" s="1" t="s">
        <v>20</v>
      </c>
      <c r="R2112" s="1" t="s">
        <v>27</v>
      </c>
      <c r="S2112" s="1" t="s">
        <v>28</v>
      </c>
      <c r="T2112" s="1" t="s">
        <v>29</v>
      </c>
    </row>
    <row r="2113" customFormat="false" ht="18.7" hidden="false" customHeight="true" outlineLevel="0" collapsed="false">
      <c r="A2113" s="1" t="n">
        <v>2112</v>
      </c>
      <c r="B2113" s="6" t="str">
        <f aca="false">HYPERLINK("https://mncourtfraud.com/file/MCRO_27-CR-21-6229_Findings and Order_2021-04-13_20240430080234.pdf","MCRO_27-CR-21-6229_Findings and Order_2021-04-13_20240430080234.pdf")</f>
        <v>MCRO_27-CR-21-6229_Findings and Order_2021-04-13_20240430080234.pdf</v>
      </c>
      <c r="C2113" s="1" t="n">
        <v>5</v>
      </c>
      <c r="D2113" s="1" t="n">
        <v>2</v>
      </c>
      <c r="E2113" s="1" t="n">
        <v>2</v>
      </c>
      <c r="F2113" s="3" t="s">
        <v>27</v>
      </c>
      <c r="G2113" s="3" t="s">
        <v>8606</v>
      </c>
      <c r="H2113" s="1" t="s">
        <v>22</v>
      </c>
      <c r="I2113" s="1" t="n">
        <v>20240430080234</v>
      </c>
      <c r="J2113" s="3" t="s">
        <v>8607</v>
      </c>
      <c r="K2113" s="3" t="s">
        <v>8608</v>
      </c>
      <c r="L2113" s="3" t="s">
        <v>8609</v>
      </c>
      <c r="M2113" s="3" t="n">
        <v>324663</v>
      </c>
      <c r="N2113" s="3" t="s">
        <v>4099</v>
      </c>
      <c r="O2113" s="1" t="n">
        <v>308277</v>
      </c>
      <c r="P2113" s="1" t="n">
        <v>94.95</v>
      </c>
      <c r="Q2113" s="1" t="s">
        <v>20</v>
      </c>
      <c r="R2113" s="1" t="s">
        <v>27</v>
      </c>
      <c r="S2113" s="1" t="s">
        <v>28</v>
      </c>
      <c r="T2113" s="1" t="s">
        <v>29</v>
      </c>
    </row>
    <row r="2114" customFormat="false" ht="18.7" hidden="false" customHeight="true" outlineLevel="0" collapsed="false">
      <c r="A2114" s="1" t="n">
        <v>2113</v>
      </c>
      <c r="B2114" s="6" t="str">
        <f aca="false">HYPERLINK("https://mncourtfraud.com/file/MCRO_27-CR-21-6229_Findings and Order_2021-10-12_20240430080228.pdf","MCRO_27-CR-21-6229_Findings and Order_2021-10-12_20240430080228.pdf")</f>
        <v>MCRO_27-CR-21-6229_Findings and Order_2021-10-12_20240430080228.pdf</v>
      </c>
      <c r="C2114" s="1" t="n">
        <v>6</v>
      </c>
      <c r="D2114" s="1" t="n">
        <v>1</v>
      </c>
      <c r="E2114" s="1" t="n">
        <v>1</v>
      </c>
      <c r="F2114" s="3" t="s">
        <v>20</v>
      </c>
      <c r="G2114" s="3" t="s">
        <v>8610</v>
      </c>
      <c r="H2114" s="1" t="s">
        <v>22</v>
      </c>
      <c r="I2114" s="1" t="n">
        <v>20240430080228</v>
      </c>
      <c r="J2114" s="3" t="s">
        <v>8611</v>
      </c>
      <c r="K2114" s="3" t="s">
        <v>8612</v>
      </c>
      <c r="L2114" s="3" t="s">
        <v>8613</v>
      </c>
      <c r="M2114" s="3" t="n">
        <v>265109</v>
      </c>
      <c r="N2114" s="3" t="s">
        <v>3602</v>
      </c>
      <c r="O2114" s="1" t="n">
        <v>248723</v>
      </c>
      <c r="P2114" s="1" t="n">
        <v>93.82</v>
      </c>
      <c r="Q2114" s="1" t="s">
        <v>20</v>
      </c>
      <c r="R2114" s="1" t="s">
        <v>27</v>
      </c>
      <c r="S2114" s="1" t="s">
        <v>28</v>
      </c>
      <c r="T2114" s="1" t="s">
        <v>29</v>
      </c>
    </row>
    <row r="2115" customFormat="false" ht="18.7" hidden="false" customHeight="true" outlineLevel="0" collapsed="false">
      <c r="A2115" s="1" t="n">
        <v>2114</v>
      </c>
      <c r="B2115" s="6" t="str">
        <f aca="false">HYPERLINK("https://mncourtfraud.com/file/MCRO_27-CR-21-6229_Findings and Order_2022-04-12_20240430080226.pdf","MCRO_27-CR-21-6229_Findings and Order_2022-04-12_20240430080226.pdf")</f>
        <v>MCRO_27-CR-21-6229_Findings and Order_2022-04-12_20240430080226.pdf</v>
      </c>
      <c r="C2115" s="1" t="n">
        <v>5</v>
      </c>
      <c r="D2115" s="1" t="n">
        <v>1</v>
      </c>
      <c r="E2115" s="1" t="n">
        <v>1</v>
      </c>
      <c r="F2115" s="3" t="s">
        <v>20</v>
      </c>
      <c r="G2115" s="3" t="s">
        <v>8614</v>
      </c>
      <c r="H2115" s="1" t="s">
        <v>22</v>
      </c>
      <c r="I2115" s="1" t="n">
        <v>20240430080226</v>
      </c>
      <c r="J2115" s="3" t="s">
        <v>8615</v>
      </c>
      <c r="K2115" s="3" t="s">
        <v>8616</v>
      </c>
      <c r="L2115" s="3" t="s">
        <v>8617</v>
      </c>
      <c r="M2115" s="3" t="n">
        <v>263987</v>
      </c>
      <c r="N2115" s="3" t="s">
        <v>69</v>
      </c>
      <c r="O2115" s="1" t="n">
        <v>247601</v>
      </c>
      <c r="P2115" s="1" t="n">
        <v>93.79</v>
      </c>
      <c r="Q2115" s="1" t="s">
        <v>20</v>
      </c>
      <c r="R2115" s="1" t="s">
        <v>27</v>
      </c>
      <c r="S2115" s="1" t="s">
        <v>28</v>
      </c>
      <c r="T2115" s="1" t="s">
        <v>29</v>
      </c>
    </row>
    <row r="2116" customFormat="false" ht="18.7" hidden="false" customHeight="true" outlineLevel="0" collapsed="false">
      <c r="A2116" s="1" t="n">
        <v>2115</v>
      </c>
      <c r="B2116" s="6" t="str">
        <f aca="false">HYPERLINK("https://mncourtfraud.com/file/MCRO_27-CR-21-6229_Notice of Case Reassignment_2022-05-13_20240430080224.pdf","MCRO_27-CR-21-6229_Notice of Case Reassignment_2022-05-13_20240430080224.pdf")</f>
        <v>MCRO_27-CR-21-6229_Notice of Case Reassignment_2022-05-13_20240430080224.pdf</v>
      </c>
      <c r="C2116" s="1" t="n">
        <v>4</v>
      </c>
      <c r="D2116" s="1" t="n">
        <v>1</v>
      </c>
      <c r="E2116" s="1" t="n">
        <v>1</v>
      </c>
      <c r="F2116" s="3" t="s">
        <v>20</v>
      </c>
      <c r="G2116" s="3" t="s">
        <v>8618</v>
      </c>
      <c r="H2116" s="1" t="s">
        <v>22</v>
      </c>
      <c r="I2116" s="1" t="n">
        <v>20240430080224</v>
      </c>
      <c r="J2116" s="3" t="s">
        <v>8619</v>
      </c>
      <c r="K2116" s="3" t="s">
        <v>8620</v>
      </c>
      <c r="L2116" s="3" t="s">
        <v>8621</v>
      </c>
      <c r="M2116" s="3" t="n">
        <v>92574</v>
      </c>
      <c r="N2116" s="3" t="s">
        <v>456</v>
      </c>
      <c r="O2116" s="1" t="n">
        <v>76188</v>
      </c>
      <c r="P2116" s="1" t="n">
        <v>82.3</v>
      </c>
      <c r="Q2116" s="1" t="s">
        <v>20</v>
      </c>
      <c r="R2116" s="1" t="s">
        <v>27</v>
      </c>
      <c r="S2116" s="1" t="s">
        <v>28</v>
      </c>
      <c r="T2116" s="1" t="s">
        <v>29</v>
      </c>
    </row>
    <row r="2117" customFormat="false" ht="18.7" hidden="false" customHeight="true" outlineLevel="0" collapsed="false">
      <c r="A2117" s="1" t="n">
        <v>2116</v>
      </c>
      <c r="B2117" s="6" t="str">
        <f aca="false">HYPERLINK("https://mncourtfraud.com/file/MCRO_27-CR-21-6229_Notice of Intent to Prosecute_2021-04-13_20240430080235.pdf","MCRO_27-CR-21-6229_Notice of Intent to Prosecute_2021-04-13_20240430080235.pdf")</f>
        <v>MCRO_27-CR-21-6229_Notice of Intent to Prosecute_2021-04-13_20240430080235.pdf</v>
      </c>
      <c r="C2117" s="1" t="n">
        <v>3</v>
      </c>
      <c r="D2117" s="1" t="n">
        <v>1</v>
      </c>
      <c r="E2117" s="1" t="n">
        <v>1</v>
      </c>
      <c r="F2117" s="3" t="s">
        <v>20</v>
      </c>
      <c r="G2117" s="3" t="s">
        <v>8622</v>
      </c>
      <c r="H2117" s="1" t="s">
        <v>22</v>
      </c>
      <c r="I2117" s="1" t="n">
        <v>20240430080235</v>
      </c>
      <c r="J2117" s="3" t="s">
        <v>8623</v>
      </c>
      <c r="K2117" s="3" t="s">
        <v>8624</v>
      </c>
      <c r="L2117" s="3" t="s">
        <v>8625</v>
      </c>
      <c r="M2117" s="3" t="n">
        <v>117914</v>
      </c>
      <c r="N2117" s="3" t="s">
        <v>736</v>
      </c>
      <c r="O2117" s="1" t="n">
        <v>101528</v>
      </c>
      <c r="P2117" s="1" t="n">
        <v>86.1</v>
      </c>
      <c r="Q2117" s="1" t="s">
        <v>20</v>
      </c>
      <c r="R2117" s="1" t="s">
        <v>27</v>
      </c>
      <c r="S2117" s="1" t="s">
        <v>28</v>
      </c>
      <c r="T2117" s="1" t="s">
        <v>29</v>
      </c>
    </row>
    <row r="2118" customFormat="false" ht="18.7" hidden="false" customHeight="true" outlineLevel="0" collapsed="false">
      <c r="A2118" s="1" t="n">
        <v>2117</v>
      </c>
      <c r="B2118" s="6" t="str">
        <f aca="false">HYPERLINK("https://mncourtfraud.com/file/MCRO_27-CR-21-6229_Notice of Remote Hearing with Instructions_2023-10-03_20240430080216.pdf","MCRO_27-CR-21-6229_Notice of Remote Hearing with Instructions_2023-10-03_20240430080216.pdf")</f>
        <v>MCRO_27-CR-21-6229_Notice of Remote Hearing with Instructions_2023-10-03_20240430080216.pdf</v>
      </c>
      <c r="C2118" s="1" t="n">
        <v>6</v>
      </c>
      <c r="D2118" s="1" t="n">
        <v>1</v>
      </c>
      <c r="E2118" s="1" t="n">
        <v>1</v>
      </c>
      <c r="F2118" s="3" t="s">
        <v>20</v>
      </c>
      <c r="G2118" s="3" t="s">
        <v>8626</v>
      </c>
      <c r="H2118" s="1" t="s">
        <v>22</v>
      </c>
      <c r="I2118" s="1" t="n">
        <v>20240430080216</v>
      </c>
      <c r="J2118" s="3" t="s">
        <v>8627</v>
      </c>
      <c r="K2118" s="3" t="s">
        <v>8628</v>
      </c>
      <c r="L2118" s="3" t="s">
        <v>8629</v>
      </c>
      <c r="M2118" s="3" t="n">
        <v>917129</v>
      </c>
      <c r="N2118" s="3" t="s">
        <v>660</v>
      </c>
      <c r="O2118" s="1" t="n">
        <v>900743</v>
      </c>
      <c r="P2118" s="1" t="n">
        <v>98.21</v>
      </c>
      <c r="Q2118" s="1" t="s">
        <v>20</v>
      </c>
      <c r="R2118" s="1" t="s">
        <v>27</v>
      </c>
      <c r="S2118" s="1" t="s">
        <v>28</v>
      </c>
      <c r="T2118" s="1" t="s">
        <v>29</v>
      </c>
    </row>
    <row r="2119" customFormat="false" ht="18.7" hidden="false" customHeight="true" outlineLevel="0" collapsed="false">
      <c r="A2119" s="1" t="n">
        <v>2118</v>
      </c>
      <c r="B2119" s="6" t="str">
        <f aca="false">HYPERLINK("https://mncourtfraud.com/file/MCRO_27-CR-21-6229_Notice of Remote Hearing with Instructions_2023-10-03_20240430080217.pdf","MCRO_27-CR-21-6229_Notice of Remote Hearing with Instructions_2023-10-03_20240430080217.pdf")</f>
        <v>MCRO_27-CR-21-6229_Notice of Remote Hearing with Instructions_2023-10-03_20240430080217.pdf</v>
      </c>
      <c r="C2119" s="1" t="n">
        <v>4</v>
      </c>
      <c r="D2119" s="1" t="n">
        <v>1</v>
      </c>
      <c r="E2119" s="1" t="n">
        <v>1</v>
      </c>
      <c r="F2119" s="3" t="s">
        <v>20</v>
      </c>
      <c r="G2119" s="3" t="s">
        <v>8630</v>
      </c>
      <c r="H2119" s="1" t="s">
        <v>22</v>
      </c>
      <c r="I2119" s="1" t="n">
        <v>20240430080217</v>
      </c>
      <c r="J2119" s="3" t="s">
        <v>8631</v>
      </c>
      <c r="K2119" s="3" t="s">
        <v>8632</v>
      </c>
      <c r="L2119" s="3" t="s">
        <v>8633</v>
      </c>
      <c r="M2119" s="3" t="n">
        <v>268851</v>
      </c>
      <c r="N2119" s="3" t="s">
        <v>74</v>
      </c>
      <c r="O2119" s="1" t="n">
        <v>252465</v>
      </c>
      <c r="P2119" s="1" t="n">
        <v>93.91</v>
      </c>
      <c r="Q2119" s="1" t="s">
        <v>20</v>
      </c>
      <c r="R2119" s="1" t="s">
        <v>27</v>
      </c>
      <c r="S2119" s="1" t="s">
        <v>28</v>
      </c>
      <c r="T2119" s="1" t="s">
        <v>29</v>
      </c>
    </row>
    <row r="2120" customFormat="false" ht="18.7" hidden="false" customHeight="true" outlineLevel="0" collapsed="false">
      <c r="A2120" s="1" t="n">
        <v>2119</v>
      </c>
      <c r="B2120" s="6" t="str">
        <f aca="false">HYPERLINK("https://mncourtfraud.com/file/MCRO_27-CR-21-6229_Order-Evaluation for Competency to Proceed (Rule 20.01)_2021-03-30_20240430080237.pdf","MCRO_27-CR-21-6229_Order-Evaluation for Competency to Proceed (Rule 20.01)_2021-03-30_20240430080237.pdf")</f>
        <v>MCRO_27-CR-21-6229_Order-Evaluation for Competency to Proceed (Rule 20.01)_2021-03-30_20240430080237.pdf</v>
      </c>
      <c r="C2120" s="1" t="n">
        <v>5</v>
      </c>
      <c r="D2120" s="1" t="n">
        <v>16</v>
      </c>
      <c r="E2120" s="1" t="n">
        <v>2</v>
      </c>
      <c r="F2120" s="3" t="s">
        <v>20</v>
      </c>
      <c r="G2120" s="3" t="s">
        <v>8634</v>
      </c>
      <c r="H2120" s="1" t="s">
        <v>22</v>
      </c>
      <c r="I2120" s="1" t="n">
        <v>20240430080237</v>
      </c>
      <c r="J2120" s="3" t="s">
        <v>8635</v>
      </c>
      <c r="K2120" s="3" t="s">
        <v>8636</v>
      </c>
      <c r="L2120" s="3" t="s">
        <v>8637</v>
      </c>
      <c r="M2120" s="3" t="n">
        <v>1401264</v>
      </c>
      <c r="N2120" s="3" t="s">
        <v>8638</v>
      </c>
      <c r="O2120" s="1" t="n">
        <v>1384878</v>
      </c>
      <c r="P2120" s="1" t="n">
        <v>98.83</v>
      </c>
      <c r="Q2120" s="1" t="s">
        <v>20</v>
      </c>
      <c r="R2120" s="1" t="s">
        <v>27</v>
      </c>
      <c r="S2120" s="1" t="s">
        <v>28</v>
      </c>
      <c r="T2120" s="1" t="s">
        <v>29</v>
      </c>
    </row>
    <row r="2121" customFormat="false" ht="18.7" hidden="false" customHeight="true" outlineLevel="0" collapsed="false">
      <c r="A2121" s="1" t="n">
        <v>2120</v>
      </c>
      <c r="B2121" s="6" t="str">
        <f aca="false">HYPERLINK("https://mncourtfraud.com/file/MCRO_27-CR-21-6229_Order-Evaluation for Competency to Proceed (Rule 20.01)_2023-01-27_20240430080222.pdf","MCRO_27-CR-21-6229_Order-Evaluation for Competency to Proceed (Rule 20.01)_2023-01-27_20240430080222.pdf")</f>
        <v>MCRO_27-CR-21-6229_Order-Evaluation for Competency to Proceed (Rule 20.01)_2023-01-27_20240430080222.pdf</v>
      </c>
      <c r="C2121" s="1" t="n">
        <v>6</v>
      </c>
      <c r="D2121" s="1" t="n">
        <v>2</v>
      </c>
      <c r="E2121" s="1" t="n">
        <v>2</v>
      </c>
      <c r="F2121" s="3" t="s">
        <v>27</v>
      </c>
      <c r="G2121" s="3" t="s">
        <v>8639</v>
      </c>
      <c r="H2121" s="1" t="s">
        <v>22</v>
      </c>
      <c r="I2121" s="1" t="n">
        <v>20240430080222</v>
      </c>
      <c r="J2121" s="3" t="s">
        <v>8640</v>
      </c>
      <c r="K2121" s="3" t="s">
        <v>8641</v>
      </c>
      <c r="L2121" s="3" t="s">
        <v>8642</v>
      </c>
      <c r="M2121" s="3" t="n">
        <v>889998</v>
      </c>
      <c r="N2121" s="3" t="s">
        <v>810</v>
      </c>
      <c r="O2121" s="1" t="n">
        <v>873612</v>
      </c>
      <c r="P2121" s="1" t="n">
        <v>98.16</v>
      </c>
      <c r="Q2121" s="1" t="s">
        <v>20</v>
      </c>
      <c r="R2121" s="1" t="s">
        <v>27</v>
      </c>
      <c r="S2121" s="1" t="s">
        <v>28</v>
      </c>
      <c r="T2121" s="1" t="s">
        <v>29</v>
      </c>
    </row>
    <row r="2122" customFormat="false" ht="18.7" hidden="false" customHeight="true" outlineLevel="0" collapsed="false">
      <c r="A2122" s="1" t="n">
        <v>2121</v>
      </c>
      <c r="B2122" s="6" t="str">
        <f aca="false">HYPERLINK("https://mncourtfraud.com/file/MCRO_27-CR-21-6229_Order-Evaluation for Competency to Proceed (Rule 20.01)_2023-07-21_20240430080220.pdf","MCRO_27-CR-21-6229_Order-Evaluation for Competency to Proceed (Rule 20.01)_2023-07-21_20240430080220.pdf")</f>
        <v>MCRO_27-CR-21-6229_Order-Evaluation for Competency to Proceed (Rule 20.01)_2023-07-21_20240430080220.pdf</v>
      </c>
      <c r="C2122" s="1" t="n">
        <v>4</v>
      </c>
      <c r="D2122" s="1" t="n">
        <v>1</v>
      </c>
      <c r="E2122" s="1" t="n">
        <v>1</v>
      </c>
      <c r="F2122" s="3" t="s">
        <v>20</v>
      </c>
      <c r="G2122" s="3" t="s">
        <v>8643</v>
      </c>
      <c r="H2122" s="1" t="s">
        <v>22</v>
      </c>
      <c r="I2122" s="1" t="n">
        <v>20240430080220</v>
      </c>
      <c r="J2122" s="3" t="s">
        <v>8644</v>
      </c>
      <c r="K2122" s="3" t="s">
        <v>8645</v>
      </c>
      <c r="L2122" s="3" t="s">
        <v>8646</v>
      </c>
      <c r="M2122" s="3" t="n">
        <v>373649</v>
      </c>
      <c r="N2122" s="3" t="s">
        <v>764</v>
      </c>
      <c r="O2122" s="1" t="n">
        <v>357263</v>
      </c>
      <c r="P2122" s="1" t="n">
        <v>95.61</v>
      </c>
      <c r="Q2122" s="1" t="s">
        <v>20</v>
      </c>
      <c r="R2122" s="1" t="s">
        <v>27</v>
      </c>
      <c r="S2122" s="1" t="s">
        <v>28</v>
      </c>
      <c r="T2122" s="1" t="s">
        <v>29</v>
      </c>
    </row>
    <row r="2123" customFormat="false" ht="18.7" hidden="false" customHeight="true" outlineLevel="0" collapsed="false">
      <c r="A2123" s="1" t="n">
        <v>2122</v>
      </c>
      <c r="B2123" s="6" t="str">
        <f aca="false">HYPERLINK("https://mncourtfraud.com/file/MCRO_27-CR-21-6229_Order for Conditional Release_2021-03-30_20240430080238.pdf","MCRO_27-CR-21-6229_Order for Conditional Release_2021-03-30_20240430080238.pdf")</f>
        <v>MCRO_27-CR-21-6229_Order for Conditional Release_2021-03-30_20240430080238.pdf</v>
      </c>
      <c r="C2123" s="1" t="n">
        <v>5</v>
      </c>
      <c r="D2123" s="1" t="n">
        <v>53</v>
      </c>
      <c r="E2123" s="1" t="n">
        <v>2</v>
      </c>
      <c r="F2123" s="3" t="s">
        <v>20</v>
      </c>
      <c r="G2123" s="3" t="s">
        <v>8647</v>
      </c>
      <c r="H2123" s="1" t="s">
        <v>22</v>
      </c>
      <c r="I2123" s="1" t="n">
        <v>20240430080238</v>
      </c>
      <c r="J2123" s="3" t="s">
        <v>8648</v>
      </c>
      <c r="K2123" s="3" t="s">
        <v>8649</v>
      </c>
      <c r="L2123" s="3" t="s">
        <v>8650</v>
      </c>
      <c r="M2123" s="3" t="n">
        <v>1076867</v>
      </c>
      <c r="N2123" s="3" t="s">
        <v>8651</v>
      </c>
      <c r="O2123" s="1" t="n">
        <v>1060481</v>
      </c>
      <c r="P2123" s="1" t="n">
        <v>98.48</v>
      </c>
      <c r="Q2123" s="1" t="s">
        <v>20</v>
      </c>
      <c r="R2123" s="1" t="s">
        <v>27</v>
      </c>
      <c r="S2123" s="1" t="s">
        <v>28</v>
      </c>
      <c r="T2123" s="1" t="s">
        <v>29</v>
      </c>
    </row>
    <row r="2124" customFormat="false" ht="18.7" hidden="false" customHeight="true" outlineLevel="0" collapsed="false">
      <c r="A2124" s="1" t="n">
        <v>2123</v>
      </c>
      <c r="B2124" s="6" t="str">
        <f aca="false">HYPERLINK("https://mncourtfraud.com/file/MCRO_27-CR-21-6229_Order for Conditional Release_2021-08-26_20240430080233.pdf","MCRO_27-CR-21-6229_Order for Conditional Release_2021-08-26_20240430080233.pdf")</f>
        <v>MCRO_27-CR-21-6229_Order for Conditional Release_2021-08-26_20240430080233.pdf</v>
      </c>
      <c r="C2124" s="1" t="n">
        <v>6</v>
      </c>
      <c r="D2124" s="1" t="n">
        <v>3</v>
      </c>
      <c r="E2124" s="1" t="n">
        <v>3</v>
      </c>
      <c r="F2124" s="3" t="s">
        <v>27</v>
      </c>
      <c r="G2124" s="3" t="s">
        <v>8652</v>
      </c>
      <c r="H2124" s="1" t="s">
        <v>22</v>
      </c>
      <c r="I2124" s="1" t="n">
        <v>20240430080233</v>
      </c>
      <c r="J2124" s="3" t="s">
        <v>8653</v>
      </c>
      <c r="K2124" s="3" t="s">
        <v>8654</v>
      </c>
      <c r="L2124" s="3" t="s">
        <v>8655</v>
      </c>
      <c r="M2124" s="3" t="n">
        <v>398094</v>
      </c>
      <c r="N2124" s="3" t="s">
        <v>8138</v>
      </c>
      <c r="O2124" s="1" t="n">
        <v>381708</v>
      </c>
      <c r="P2124" s="1" t="n">
        <v>95.88</v>
      </c>
      <c r="Q2124" s="1" t="s">
        <v>20</v>
      </c>
      <c r="R2124" s="1" t="s">
        <v>27</v>
      </c>
      <c r="S2124" s="1" t="s">
        <v>28</v>
      </c>
      <c r="T2124" s="1" t="s">
        <v>29</v>
      </c>
    </row>
    <row r="2125" customFormat="false" ht="18.7" hidden="false" customHeight="true" outlineLevel="0" collapsed="false">
      <c r="A2125" s="1" t="n">
        <v>2124</v>
      </c>
      <c r="B2125" s="6" t="str">
        <f aca="false">HYPERLINK("https://mncourtfraud.com/file/MCRO_27-CR-21-6229_Order for Production of Medical Records_2021-08-30_20240430080230.pdf","MCRO_27-CR-21-6229_Order for Production of Medical Records_2021-08-30_20240430080230.pdf")</f>
        <v>MCRO_27-CR-21-6229_Order for Production of Medical Records_2021-08-30_20240430080230.pdf</v>
      </c>
      <c r="C2125" s="1" t="n">
        <v>3</v>
      </c>
      <c r="D2125" s="1" t="n">
        <v>1</v>
      </c>
      <c r="E2125" s="1" t="n">
        <v>1</v>
      </c>
      <c r="F2125" s="3" t="s">
        <v>20</v>
      </c>
      <c r="G2125" s="3" t="s">
        <v>8656</v>
      </c>
      <c r="H2125" s="1" t="s">
        <v>22</v>
      </c>
      <c r="I2125" s="1" t="n">
        <v>20240430080230</v>
      </c>
      <c r="J2125" s="3" t="s">
        <v>8657</v>
      </c>
      <c r="K2125" s="3" t="s">
        <v>8658</v>
      </c>
      <c r="L2125" s="3" t="s">
        <v>8659</v>
      </c>
      <c r="M2125" s="3" t="n">
        <v>157937</v>
      </c>
      <c r="N2125" s="3" t="s">
        <v>3364</v>
      </c>
      <c r="O2125" s="1" t="n">
        <v>141551</v>
      </c>
      <c r="P2125" s="1" t="n">
        <v>89.62</v>
      </c>
      <c r="Q2125" s="1" t="s">
        <v>20</v>
      </c>
      <c r="R2125" s="1" t="s">
        <v>27</v>
      </c>
      <c r="S2125" s="1" t="s">
        <v>28</v>
      </c>
      <c r="T2125" s="1" t="s">
        <v>29</v>
      </c>
    </row>
    <row r="2126" customFormat="false" ht="18.7" hidden="false" customHeight="true" outlineLevel="0" collapsed="false">
      <c r="A2126" s="1" t="n">
        <v>2125</v>
      </c>
      <c r="B2126" s="6" t="str">
        <f aca="false">HYPERLINK("https://mncourtfraud.com/file/MCRO_27-CR-21-6229_Order-Other_2021-08-30_20240430080229.pdf","MCRO_27-CR-21-6229_Order-Other_2021-08-30_20240430080229.pdf")</f>
        <v>MCRO_27-CR-21-6229_Order-Other_2021-08-30_20240430080229.pdf</v>
      </c>
      <c r="C2126" s="1" t="n">
        <v>3</v>
      </c>
      <c r="D2126" s="1" t="n">
        <v>1</v>
      </c>
      <c r="E2126" s="1" t="n">
        <v>1</v>
      </c>
      <c r="F2126" s="3" t="s">
        <v>20</v>
      </c>
      <c r="G2126" s="3" t="s">
        <v>8660</v>
      </c>
      <c r="H2126" s="1" t="s">
        <v>22</v>
      </c>
      <c r="I2126" s="1" t="n">
        <v>20240430080229</v>
      </c>
      <c r="J2126" s="3" t="s">
        <v>8661</v>
      </c>
      <c r="K2126" s="3" t="s">
        <v>8662</v>
      </c>
      <c r="L2126" s="3" t="s">
        <v>8663</v>
      </c>
      <c r="M2126" s="3" t="n">
        <v>249737</v>
      </c>
      <c r="N2126" s="3" t="s">
        <v>1654</v>
      </c>
      <c r="O2126" s="1" t="n">
        <v>233351</v>
      </c>
      <c r="P2126" s="1" t="n">
        <v>93.44</v>
      </c>
      <c r="Q2126" s="1" t="s">
        <v>20</v>
      </c>
      <c r="R2126" s="1" t="s">
        <v>27</v>
      </c>
      <c r="S2126" s="1" t="s">
        <v>28</v>
      </c>
      <c r="T2126" s="1" t="s">
        <v>29</v>
      </c>
    </row>
    <row r="2127" customFormat="false" ht="18.7" hidden="false" customHeight="true" outlineLevel="0" collapsed="false">
      <c r="A2127" s="1" t="n">
        <v>2126</v>
      </c>
      <c r="B2127" s="6" t="str">
        <f aca="false">HYPERLINK("https://mncourtfraud.com/file/MCRO_27-CR-21-6229_Proposed Order or Document_2021-08-30_20240430080231.pdf","MCRO_27-CR-21-6229_Proposed Order or Document_2021-08-30_20240430080231.pdf")</f>
        <v>MCRO_27-CR-21-6229_Proposed Order or Document_2021-08-30_20240430080231.pdf</v>
      </c>
      <c r="C2127" s="1" t="n">
        <v>3</v>
      </c>
      <c r="D2127" s="1" t="n">
        <v>1</v>
      </c>
      <c r="E2127" s="1" t="n">
        <v>1</v>
      </c>
      <c r="F2127" s="3" t="s">
        <v>20</v>
      </c>
      <c r="G2127" s="3" t="s">
        <v>8664</v>
      </c>
      <c r="H2127" s="1" t="s">
        <v>22</v>
      </c>
      <c r="I2127" s="1" t="n">
        <v>20240430080231</v>
      </c>
      <c r="J2127" s="3" t="s">
        <v>8665</v>
      </c>
      <c r="K2127" s="3" t="s">
        <v>8666</v>
      </c>
      <c r="L2127" s="3" t="s">
        <v>8667</v>
      </c>
      <c r="M2127" s="3" t="n">
        <v>144798</v>
      </c>
      <c r="N2127" s="3" t="s">
        <v>64</v>
      </c>
      <c r="O2127" s="1" t="n">
        <v>128412</v>
      </c>
      <c r="P2127" s="1" t="n">
        <v>88.68</v>
      </c>
      <c r="Q2127" s="1" t="s">
        <v>20</v>
      </c>
      <c r="R2127" s="1" t="s">
        <v>27</v>
      </c>
      <c r="S2127" s="1" t="s">
        <v>28</v>
      </c>
      <c r="T2127" s="1" t="s">
        <v>29</v>
      </c>
    </row>
    <row r="2128" customFormat="false" ht="18.7" hidden="false" customHeight="true" outlineLevel="0" collapsed="false">
      <c r="A2128" s="1" t="n">
        <v>2127</v>
      </c>
      <c r="B2128" s="6" t="str">
        <f aca="false">HYPERLINK("https://mncourtfraud.com/file/MCRO_27-CR-21-6229_Proposed Order or Document_2022-10-27_20240430080222.pdf","MCRO_27-CR-21-6229_Proposed Order or Document_2022-10-27_20240430080222.pdf")</f>
        <v>MCRO_27-CR-21-6229_Proposed Order or Document_2022-10-27_20240430080222.pdf</v>
      </c>
      <c r="C2128" s="1" t="n">
        <v>3</v>
      </c>
      <c r="D2128" s="1" t="n">
        <v>1</v>
      </c>
      <c r="E2128" s="1" t="n">
        <v>1</v>
      </c>
      <c r="F2128" s="3" t="s">
        <v>20</v>
      </c>
      <c r="G2128" s="3" t="s">
        <v>8668</v>
      </c>
      <c r="H2128" s="1" t="s">
        <v>22</v>
      </c>
      <c r="I2128" s="1" t="n">
        <v>20240430080222</v>
      </c>
      <c r="J2128" s="3" t="s">
        <v>8640</v>
      </c>
      <c r="K2128" s="3" t="s">
        <v>8641</v>
      </c>
      <c r="L2128" s="3" t="s">
        <v>8669</v>
      </c>
      <c r="M2128" s="3" t="n">
        <v>178331</v>
      </c>
      <c r="N2128" s="3" t="s">
        <v>1115</v>
      </c>
      <c r="O2128" s="1" t="n">
        <v>161945</v>
      </c>
      <c r="P2128" s="1" t="n">
        <v>90.81</v>
      </c>
      <c r="Q2128" s="1" t="s">
        <v>20</v>
      </c>
      <c r="R2128" s="1" t="s">
        <v>27</v>
      </c>
      <c r="S2128" s="1" t="s">
        <v>28</v>
      </c>
      <c r="T2128" s="1" t="s">
        <v>29</v>
      </c>
    </row>
    <row r="2129" customFormat="false" ht="18.7" hidden="false" customHeight="true" outlineLevel="0" collapsed="false">
      <c r="A2129" s="1" t="n">
        <v>2128</v>
      </c>
      <c r="B2129" s="6" t="str">
        <f aca="false">HYPERLINK("https://mncourtfraud.com/file/MCRO_27-CR-21-6382_Demand or Request for Discovery_2022-03-08_20240430080315.pdf","MCRO_27-CR-21-6382_Demand or Request for Discovery_2022-03-08_20240430080315.pdf")</f>
        <v>MCRO_27-CR-21-6382_Demand or Request for Discovery_2022-03-08_20240430080315.pdf</v>
      </c>
      <c r="C2129" s="1" t="n">
        <v>3</v>
      </c>
      <c r="D2129" s="1" t="n">
        <v>1</v>
      </c>
      <c r="E2129" s="1" t="n">
        <v>1</v>
      </c>
      <c r="F2129" s="3" t="s">
        <v>20</v>
      </c>
      <c r="G2129" s="3" t="s">
        <v>8670</v>
      </c>
      <c r="H2129" s="1" t="s">
        <v>22</v>
      </c>
      <c r="I2129" s="1" t="n">
        <v>20240430080315</v>
      </c>
      <c r="J2129" s="3" t="s">
        <v>8671</v>
      </c>
      <c r="K2129" s="3" t="s">
        <v>8672</v>
      </c>
      <c r="L2129" s="3" t="s">
        <v>8673</v>
      </c>
      <c r="M2129" s="3" t="n">
        <v>369516</v>
      </c>
      <c r="N2129" s="3" t="s">
        <v>3822</v>
      </c>
      <c r="O2129" s="1" t="n">
        <v>353130</v>
      </c>
      <c r="P2129" s="1" t="n">
        <v>95.57</v>
      </c>
      <c r="Q2129" s="1" t="s">
        <v>20</v>
      </c>
      <c r="R2129" s="1" t="s">
        <v>27</v>
      </c>
      <c r="S2129" s="1" t="s">
        <v>28</v>
      </c>
      <c r="T2129" s="1" t="s">
        <v>29</v>
      </c>
    </row>
    <row r="2130" customFormat="false" ht="18.7" hidden="false" customHeight="true" outlineLevel="0" collapsed="false">
      <c r="A2130" s="1" t="n">
        <v>2129</v>
      </c>
      <c r="B2130" s="6" t="str">
        <f aca="false">HYPERLINK("https://mncourtfraud.com/file/MCRO_27-CR-21-6382_E-filed Comp-Summons_2021-03-31_20240430080318.pdf","MCRO_27-CR-21-6382_E-filed Comp-Summons_2021-03-31_20240430080318.pdf")</f>
        <v>MCRO_27-CR-21-6382_E-filed Comp-Summons_2021-03-31_20240430080318.pdf</v>
      </c>
      <c r="C2130" s="1" t="n">
        <v>4</v>
      </c>
      <c r="D2130" s="1" t="n">
        <v>2</v>
      </c>
      <c r="E2130" s="1" t="n">
        <v>2</v>
      </c>
      <c r="F2130" s="3" t="s">
        <v>20</v>
      </c>
      <c r="G2130" s="3" t="s">
        <v>8674</v>
      </c>
      <c r="H2130" s="1" t="s">
        <v>22</v>
      </c>
      <c r="I2130" s="1" t="n">
        <v>20240430080318</v>
      </c>
      <c r="J2130" s="3" t="s">
        <v>8675</v>
      </c>
      <c r="K2130" s="3" t="s">
        <v>8676</v>
      </c>
      <c r="L2130" s="3" t="s">
        <v>8677</v>
      </c>
      <c r="M2130" s="3" t="n">
        <v>496364</v>
      </c>
      <c r="N2130" s="3" t="s">
        <v>3480</v>
      </c>
      <c r="O2130" s="1" t="n">
        <v>479978</v>
      </c>
      <c r="P2130" s="1" t="n">
        <v>96.7</v>
      </c>
      <c r="Q2130" s="1" t="s">
        <v>20</v>
      </c>
      <c r="R2130" s="1" t="s">
        <v>27</v>
      </c>
      <c r="S2130" s="1" t="s">
        <v>28</v>
      </c>
      <c r="T2130" s="1" t="s">
        <v>29</v>
      </c>
    </row>
    <row r="2131" customFormat="false" ht="18.7" hidden="false" customHeight="true" outlineLevel="0" collapsed="false">
      <c r="A2131" s="1" t="n">
        <v>2130</v>
      </c>
      <c r="B2131" s="6" t="str">
        <f aca="false">HYPERLINK("https://mncourtfraud.com/file/MCRO_27-CR-21-6382_Notice of Hearing_2023-06-05_20240430080312.pdf","MCRO_27-CR-21-6382_Notice of Hearing_2023-06-05_20240430080312.pdf")</f>
        <v>MCRO_27-CR-21-6382_Notice of Hearing_2023-06-05_20240430080312.pdf</v>
      </c>
      <c r="C2131" s="1" t="n">
        <v>4</v>
      </c>
      <c r="D2131" s="1" t="n">
        <v>1</v>
      </c>
      <c r="E2131" s="1" t="n">
        <v>1</v>
      </c>
      <c r="F2131" s="3" t="s">
        <v>20</v>
      </c>
      <c r="G2131" s="3" t="s">
        <v>8678</v>
      </c>
      <c r="H2131" s="1" t="s">
        <v>22</v>
      </c>
      <c r="I2131" s="1" t="n">
        <v>20240430080312</v>
      </c>
      <c r="J2131" s="3" t="s">
        <v>8679</v>
      </c>
      <c r="K2131" s="3" t="s">
        <v>8680</v>
      </c>
      <c r="L2131" s="3" t="s">
        <v>4928</v>
      </c>
      <c r="M2131" s="3" t="n">
        <v>865684</v>
      </c>
      <c r="N2131" s="3" t="s">
        <v>4929</v>
      </c>
      <c r="O2131" s="1" t="n">
        <v>849298</v>
      </c>
      <c r="P2131" s="1" t="n">
        <v>98.11</v>
      </c>
      <c r="Q2131" s="1" t="s">
        <v>20</v>
      </c>
      <c r="R2131" s="1" t="s">
        <v>27</v>
      </c>
      <c r="S2131" s="1" t="s">
        <v>28</v>
      </c>
      <c r="T2131" s="1" t="s">
        <v>29</v>
      </c>
    </row>
    <row r="2132" customFormat="false" ht="18.7" hidden="false" customHeight="true" outlineLevel="0" collapsed="false">
      <c r="A2132" s="1" t="n">
        <v>2131</v>
      </c>
      <c r="B2132" s="6" t="str">
        <f aca="false">HYPERLINK("https://mncourtfraud.com/file/MCRO_27-CR-21-6382_Notice of Remote Hearing with Instructions_2021-03-31_20240430080317.pdf","MCRO_27-CR-21-6382_Notice of Remote Hearing with Instructions_2021-03-31_20240430080317.pdf")</f>
        <v>MCRO_27-CR-21-6382_Notice of Remote Hearing with Instructions_2021-03-31_20240430080317.pdf</v>
      </c>
      <c r="C2132" s="1" t="n">
        <v>5</v>
      </c>
      <c r="D2132" s="1" t="n">
        <v>1</v>
      </c>
      <c r="E2132" s="1" t="n">
        <v>1</v>
      </c>
      <c r="F2132" s="3" t="s">
        <v>20</v>
      </c>
      <c r="G2132" s="3" t="s">
        <v>8681</v>
      </c>
      <c r="H2132" s="1" t="s">
        <v>22</v>
      </c>
      <c r="I2132" s="1" t="n">
        <v>20240430080317</v>
      </c>
      <c r="J2132" s="3" t="s">
        <v>8682</v>
      </c>
      <c r="K2132" s="3" t="s">
        <v>8683</v>
      </c>
      <c r="L2132" s="3" t="s">
        <v>8684</v>
      </c>
      <c r="M2132" s="3" t="n">
        <v>1274043</v>
      </c>
      <c r="N2132" s="3" t="s">
        <v>1579</v>
      </c>
      <c r="O2132" s="1" t="n">
        <v>1257657</v>
      </c>
      <c r="P2132" s="1" t="n">
        <v>98.71</v>
      </c>
      <c r="Q2132" s="1" t="s">
        <v>20</v>
      </c>
      <c r="R2132" s="1" t="s">
        <v>27</v>
      </c>
      <c r="S2132" s="1" t="s">
        <v>28</v>
      </c>
      <c r="T2132" s="1" t="s">
        <v>29</v>
      </c>
    </row>
    <row r="2133" customFormat="false" ht="18.7" hidden="false" customHeight="true" outlineLevel="0" collapsed="false">
      <c r="A2133" s="1" t="n">
        <v>2132</v>
      </c>
      <c r="B2133" s="6" t="str">
        <f aca="false">HYPERLINK("https://mncourtfraud.com/file/MCRO_27-CR-21-6382_Notice of Remote Hearing with Instructions_2021-04-20_20240430080316.pdf","MCRO_27-CR-21-6382_Notice of Remote Hearing with Instructions_2021-04-20_20240430080316.pdf")</f>
        <v>MCRO_27-CR-21-6382_Notice of Remote Hearing with Instructions_2021-04-20_20240430080316.pdf</v>
      </c>
      <c r="C2133" s="1" t="n">
        <v>5</v>
      </c>
      <c r="D2133" s="1" t="n">
        <v>1</v>
      </c>
      <c r="E2133" s="1" t="n">
        <v>1</v>
      </c>
      <c r="F2133" s="3" t="s">
        <v>20</v>
      </c>
      <c r="G2133" s="3" t="s">
        <v>8685</v>
      </c>
      <c r="H2133" s="1" t="s">
        <v>22</v>
      </c>
      <c r="I2133" s="1" t="n">
        <v>20240430080316</v>
      </c>
      <c r="J2133" s="3" t="s">
        <v>8686</v>
      </c>
      <c r="K2133" s="3" t="s">
        <v>8687</v>
      </c>
      <c r="L2133" s="3" t="s">
        <v>8688</v>
      </c>
      <c r="M2133" s="3" t="n">
        <v>776327</v>
      </c>
      <c r="N2133" s="3" t="s">
        <v>1205</v>
      </c>
      <c r="O2133" s="1" t="n">
        <v>759941</v>
      </c>
      <c r="P2133" s="1" t="n">
        <v>97.89</v>
      </c>
      <c r="Q2133" s="1" t="s">
        <v>20</v>
      </c>
      <c r="R2133" s="1" t="s">
        <v>27</v>
      </c>
      <c r="S2133" s="1" t="s">
        <v>28</v>
      </c>
      <c r="T2133" s="1" t="s">
        <v>29</v>
      </c>
    </row>
    <row r="2134" customFormat="false" ht="18.7" hidden="false" customHeight="true" outlineLevel="0" collapsed="false">
      <c r="A2134" s="1" t="n">
        <v>2133</v>
      </c>
      <c r="B2134" s="6" t="str">
        <f aca="false">HYPERLINK("https://mncourtfraud.com/file/MCRO_27-CR-21-6382_Order-Evaluation for Competency to Proceed (Rule 20.01)_2023-06-05_20240430080313.pdf","MCRO_27-CR-21-6382_Order-Evaluation for Competency to Proceed (Rule 20.01)_2023-06-05_20240430080313.pdf")</f>
        <v>MCRO_27-CR-21-6382_Order-Evaluation for Competency to Proceed (Rule 20.01)_2023-06-05_20240430080313.pdf</v>
      </c>
      <c r="C2134" s="1" t="n">
        <v>5</v>
      </c>
      <c r="D2134" s="1" t="n">
        <v>2</v>
      </c>
      <c r="E2134" s="1" t="n">
        <v>2</v>
      </c>
      <c r="F2134" s="3" t="s">
        <v>20</v>
      </c>
      <c r="G2134" s="3" t="s">
        <v>8689</v>
      </c>
      <c r="H2134" s="1" t="s">
        <v>22</v>
      </c>
      <c r="I2134" s="1" t="n">
        <v>20240430080313</v>
      </c>
      <c r="J2134" s="3" t="s">
        <v>8690</v>
      </c>
      <c r="K2134" s="3" t="s">
        <v>8691</v>
      </c>
      <c r="L2134" s="3" t="s">
        <v>8692</v>
      </c>
      <c r="M2134" s="3" t="n">
        <v>1035721</v>
      </c>
      <c r="N2134" s="3" t="s">
        <v>4934</v>
      </c>
      <c r="O2134" s="1" t="n">
        <v>1019335</v>
      </c>
      <c r="P2134" s="1" t="n">
        <v>98.42</v>
      </c>
      <c r="Q2134" s="1" t="s">
        <v>20</v>
      </c>
      <c r="R2134" s="1" t="s">
        <v>27</v>
      </c>
      <c r="S2134" s="1" t="s">
        <v>28</v>
      </c>
      <c r="T2134" s="1" t="s">
        <v>29</v>
      </c>
    </row>
    <row r="2135" customFormat="false" ht="18.7" hidden="false" customHeight="true" outlineLevel="0" collapsed="false">
      <c r="A2135" s="1" t="n">
        <v>2134</v>
      </c>
      <c r="B2135" s="6" t="str">
        <f aca="false">HYPERLINK("https://mncourtfraud.com/file/MCRO_27-CR-21-6382_Scheduling Order_2022-05-31_20240430080314.pdf","MCRO_27-CR-21-6382_Scheduling Order_2022-05-31_20240430080314.pdf")</f>
        <v>MCRO_27-CR-21-6382_Scheduling Order_2022-05-31_20240430080314.pdf</v>
      </c>
      <c r="C2135" s="1" t="n">
        <v>5</v>
      </c>
      <c r="D2135" s="1" t="n">
        <v>2</v>
      </c>
      <c r="E2135" s="1" t="n">
        <v>2</v>
      </c>
      <c r="F2135" s="3" t="s">
        <v>20</v>
      </c>
      <c r="G2135" s="3" t="s">
        <v>8693</v>
      </c>
      <c r="H2135" s="1" t="s">
        <v>22</v>
      </c>
      <c r="I2135" s="1" t="n">
        <v>20240430080314</v>
      </c>
      <c r="J2135" s="3" t="s">
        <v>8694</v>
      </c>
      <c r="K2135" s="3" t="s">
        <v>8695</v>
      </c>
      <c r="L2135" s="3" t="s">
        <v>8696</v>
      </c>
      <c r="M2135" s="3" t="n">
        <v>880865</v>
      </c>
      <c r="N2135" s="3" t="s">
        <v>1645</v>
      </c>
      <c r="O2135" s="1" t="n">
        <v>864479</v>
      </c>
      <c r="P2135" s="1" t="n">
        <v>98.14</v>
      </c>
      <c r="Q2135" s="1" t="s">
        <v>20</v>
      </c>
      <c r="R2135" s="1" t="s">
        <v>27</v>
      </c>
      <c r="S2135" s="1" t="s">
        <v>28</v>
      </c>
      <c r="T2135" s="1" t="s">
        <v>29</v>
      </c>
    </row>
    <row r="2136" customFormat="false" ht="18.7" hidden="false" customHeight="true" outlineLevel="0" collapsed="false">
      <c r="A2136" s="1" t="n">
        <v>2135</v>
      </c>
      <c r="B2136" s="6" t="str">
        <f aca="false">HYPERLINK("https://mncourtfraud.com/file/MCRO_27-CR-21-6710_E-filed Comp-Order for Detention_2021-04-05_20240430080427.pdf","MCRO_27-CR-21-6710_E-filed Comp-Order for Detention_2021-04-05_20240430080427.pdf")</f>
        <v>MCRO_27-CR-21-6710_E-filed Comp-Order for Detention_2021-04-05_20240430080427.pdf</v>
      </c>
      <c r="C2136" s="1" t="n">
        <v>4</v>
      </c>
      <c r="D2136" s="1" t="n">
        <v>2</v>
      </c>
      <c r="E2136" s="1" t="n">
        <v>2</v>
      </c>
      <c r="F2136" s="3" t="s">
        <v>20</v>
      </c>
      <c r="G2136" s="3" t="s">
        <v>8697</v>
      </c>
      <c r="H2136" s="1" t="s">
        <v>22</v>
      </c>
      <c r="I2136" s="1" t="n">
        <v>20240430080427</v>
      </c>
      <c r="J2136" s="3" t="s">
        <v>8698</v>
      </c>
      <c r="K2136" s="3" t="s">
        <v>8699</v>
      </c>
      <c r="L2136" s="3" t="s">
        <v>8700</v>
      </c>
      <c r="M2136" s="3" t="n">
        <v>544662</v>
      </c>
      <c r="N2136" s="3" t="s">
        <v>4934</v>
      </c>
      <c r="O2136" s="1" t="n">
        <v>528276</v>
      </c>
      <c r="P2136" s="1" t="n">
        <v>96.99</v>
      </c>
      <c r="Q2136" s="1" t="s">
        <v>20</v>
      </c>
      <c r="R2136" s="1" t="s">
        <v>27</v>
      </c>
      <c r="S2136" s="1" t="s">
        <v>28</v>
      </c>
      <c r="T2136" s="1" t="s">
        <v>29</v>
      </c>
    </row>
    <row r="2137" customFormat="false" ht="18.7" hidden="false" customHeight="true" outlineLevel="0" collapsed="false">
      <c r="A2137" s="1" t="n">
        <v>2136</v>
      </c>
      <c r="B2137" s="6" t="str">
        <f aca="false">HYPERLINK("https://mncourtfraud.com/file/MCRO_27-CR-21-6710_Finding of Incompetency and Order_2023-04-26_20240430080352.pdf","MCRO_27-CR-21-6710_Finding of Incompetency and Order_2023-04-26_20240430080352.pdf")</f>
        <v>MCRO_27-CR-21-6710_Finding of Incompetency and Order_2023-04-26_20240430080352.pdf</v>
      </c>
      <c r="C2137" s="1" t="n">
        <v>9</v>
      </c>
      <c r="D2137" s="1" t="n">
        <v>3</v>
      </c>
      <c r="E2137" s="1" t="n">
        <v>3</v>
      </c>
      <c r="F2137" s="3" t="s">
        <v>27</v>
      </c>
      <c r="G2137" s="3" t="s">
        <v>8701</v>
      </c>
      <c r="H2137" s="1" t="s">
        <v>22</v>
      </c>
      <c r="I2137" s="1" t="n">
        <v>20240430080352</v>
      </c>
      <c r="J2137" s="3" t="s">
        <v>8702</v>
      </c>
      <c r="K2137" s="3" t="s">
        <v>8703</v>
      </c>
      <c r="L2137" s="3" t="s">
        <v>8704</v>
      </c>
      <c r="M2137" s="3" t="n">
        <v>945696</v>
      </c>
      <c r="N2137" s="3" t="s">
        <v>3264</v>
      </c>
      <c r="O2137" s="1" t="n">
        <v>929310</v>
      </c>
      <c r="P2137" s="1" t="n">
        <v>98.27</v>
      </c>
      <c r="Q2137" s="1" t="s">
        <v>20</v>
      </c>
      <c r="R2137" s="1" t="s">
        <v>27</v>
      </c>
      <c r="S2137" s="1" t="s">
        <v>28</v>
      </c>
      <c r="T2137" s="1" t="s">
        <v>29</v>
      </c>
    </row>
    <row r="2138" customFormat="false" ht="18.7" hidden="false" customHeight="true" outlineLevel="0" collapsed="false">
      <c r="A2138" s="1" t="n">
        <v>2137</v>
      </c>
      <c r="B2138" s="6" t="str">
        <f aca="false">HYPERLINK("https://mncourtfraud.com/file/MCRO_27-CR-21-6710_Finding of Incompetency and Order_2024-03-12_20240430080346.pdf","MCRO_27-CR-21-6710_Finding of Incompetency and Order_2024-03-12_20240430080346.pdf")</f>
        <v>MCRO_27-CR-21-6710_Finding of Incompetency and Order_2024-03-12_20240430080346.pdf</v>
      </c>
      <c r="C2138" s="1" t="n">
        <v>5</v>
      </c>
      <c r="D2138" s="1" t="n">
        <v>1</v>
      </c>
      <c r="E2138" s="1" t="n">
        <v>1</v>
      </c>
      <c r="F2138" s="3" t="s">
        <v>20</v>
      </c>
      <c r="G2138" s="3" t="s">
        <v>8705</v>
      </c>
      <c r="H2138" s="1" t="s">
        <v>22</v>
      </c>
      <c r="I2138" s="1" t="n">
        <v>20240430080346</v>
      </c>
      <c r="J2138" s="3" t="s">
        <v>8706</v>
      </c>
      <c r="K2138" s="3" t="s">
        <v>8707</v>
      </c>
      <c r="L2138" s="3" t="s">
        <v>8708</v>
      </c>
      <c r="M2138" s="3" t="n">
        <v>831696</v>
      </c>
      <c r="N2138" s="3" t="s">
        <v>6055</v>
      </c>
      <c r="O2138" s="1" t="n">
        <v>815310</v>
      </c>
      <c r="P2138" s="1" t="n">
        <v>98.03</v>
      </c>
      <c r="Q2138" s="1" t="s">
        <v>20</v>
      </c>
      <c r="R2138" s="1" t="s">
        <v>27</v>
      </c>
      <c r="S2138" s="1" t="s">
        <v>28</v>
      </c>
      <c r="T2138" s="1" t="s">
        <v>29</v>
      </c>
    </row>
    <row r="2139" customFormat="false" ht="18.7" hidden="false" customHeight="true" outlineLevel="0" collapsed="false">
      <c r="A2139" s="1" t="n">
        <v>2138</v>
      </c>
      <c r="B2139" s="6" t="str">
        <f aca="false">HYPERLINK("https://mncourtfraud.com/file/MCRO_27-CR-21-6710_Findings and Order_2022-08-01_20240430080357.pdf","MCRO_27-CR-21-6710_Findings and Order_2022-08-01_20240430080357.pdf")</f>
        <v>MCRO_27-CR-21-6710_Findings and Order_2022-08-01_20240430080357.pdf</v>
      </c>
      <c r="C2139" s="1" t="n">
        <v>5</v>
      </c>
      <c r="D2139" s="1" t="n">
        <v>1</v>
      </c>
      <c r="E2139" s="1" t="n">
        <v>1</v>
      </c>
      <c r="F2139" s="3" t="s">
        <v>20</v>
      </c>
      <c r="G2139" s="3" t="s">
        <v>8709</v>
      </c>
      <c r="H2139" s="1" t="s">
        <v>22</v>
      </c>
      <c r="I2139" s="1" t="n">
        <v>20240430080357</v>
      </c>
      <c r="J2139" s="3" t="s">
        <v>8710</v>
      </c>
      <c r="K2139" s="3" t="s">
        <v>8711</v>
      </c>
      <c r="L2139" s="3" t="s">
        <v>8712</v>
      </c>
      <c r="M2139" s="3" t="n">
        <v>239206</v>
      </c>
      <c r="N2139" s="3" t="s">
        <v>3404</v>
      </c>
      <c r="O2139" s="1" t="n">
        <v>222820</v>
      </c>
      <c r="P2139" s="1" t="n">
        <v>93.15</v>
      </c>
      <c r="Q2139" s="1" t="s">
        <v>20</v>
      </c>
      <c r="R2139" s="1" t="s">
        <v>27</v>
      </c>
      <c r="S2139" s="1" t="s">
        <v>28</v>
      </c>
      <c r="T2139" s="1" t="s">
        <v>29</v>
      </c>
    </row>
    <row r="2140" customFormat="false" ht="18.7" hidden="false" customHeight="true" outlineLevel="0" collapsed="false">
      <c r="A2140" s="1" t="n">
        <v>2139</v>
      </c>
      <c r="B2140" s="6" t="str">
        <f aca="false">HYPERLINK("https://mncourtfraud.com/file/MCRO_27-CR-21-6710_Law Enforcement Notice of Release and Appearance_2021-04-06_20240430080425.pdf","MCRO_27-CR-21-6710_Law Enforcement Notice of Release and Appearance_2021-04-06_20240430080425.pdf")</f>
        <v>MCRO_27-CR-21-6710_Law Enforcement Notice of Release and Appearance_2021-04-06_20240430080425.pdf</v>
      </c>
      <c r="C2140" s="1" t="n">
        <v>4</v>
      </c>
      <c r="D2140" s="1" t="n">
        <v>1</v>
      </c>
      <c r="E2140" s="1" t="n">
        <v>1</v>
      </c>
      <c r="F2140" s="3" t="s">
        <v>20</v>
      </c>
      <c r="G2140" s="3" t="s">
        <v>8713</v>
      </c>
      <c r="H2140" s="1" t="s">
        <v>22</v>
      </c>
      <c r="I2140" s="1" t="n">
        <v>20240430080425</v>
      </c>
      <c r="J2140" s="3" t="s">
        <v>8714</v>
      </c>
      <c r="K2140" s="3" t="s">
        <v>8715</v>
      </c>
      <c r="L2140" s="3" t="s">
        <v>8716</v>
      </c>
      <c r="M2140" s="3" t="n">
        <v>108814</v>
      </c>
      <c r="N2140" s="3" t="s">
        <v>614</v>
      </c>
      <c r="O2140" s="1" t="n">
        <v>92428</v>
      </c>
      <c r="P2140" s="1" t="n">
        <v>84.94</v>
      </c>
      <c r="Q2140" s="1" t="s">
        <v>20</v>
      </c>
      <c r="R2140" s="1" t="s">
        <v>27</v>
      </c>
      <c r="S2140" s="1" t="s">
        <v>28</v>
      </c>
      <c r="T2140" s="1" t="s">
        <v>29</v>
      </c>
    </row>
    <row r="2141" customFormat="false" ht="18.7" hidden="false" customHeight="true" outlineLevel="0" collapsed="false">
      <c r="A2141" s="1" t="n">
        <v>2140</v>
      </c>
      <c r="B2141" s="6" t="str">
        <f aca="false">HYPERLINK("https://mncourtfraud.com/file/MCRO_27-CR-21-6710_Law Enforcement Notice of Release and Appearance_2022-05-19_20240430080403.pdf","MCRO_27-CR-21-6710_Law Enforcement Notice of Release and Appearance_2022-05-19_20240430080403.pdf")</f>
        <v>MCRO_27-CR-21-6710_Law Enforcement Notice of Release and Appearance_2022-05-19_20240430080403.pdf</v>
      </c>
      <c r="C2141" s="1" t="n">
        <v>4</v>
      </c>
      <c r="D2141" s="1" t="n">
        <v>1</v>
      </c>
      <c r="E2141" s="1" t="n">
        <v>1</v>
      </c>
      <c r="F2141" s="3" t="s">
        <v>20</v>
      </c>
      <c r="G2141" s="3" t="s">
        <v>8717</v>
      </c>
      <c r="H2141" s="1" t="s">
        <v>22</v>
      </c>
      <c r="I2141" s="1" t="n">
        <v>20240430080403</v>
      </c>
      <c r="J2141" s="3" t="s">
        <v>8718</v>
      </c>
      <c r="K2141" s="3" t="s">
        <v>8719</v>
      </c>
      <c r="L2141" s="3" t="s">
        <v>8720</v>
      </c>
      <c r="M2141" s="3" t="n">
        <v>112796</v>
      </c>
      <c r="N2141" s="3" t="s">
        <v>456</v>
      </c>
      <c r="O2141" s="1" t="n">
        <v>96410</v>
      </c>
      <c r="P2141" s="1" t="n">
        <v>85.47</v>
      </c>
      <c r="Q2141" s="1" t="s">
        <v>20</v>
      </c>
      <c r="R2141" s="1" t="s">
        <v>27</v>
      </c>
      <c r="S2141" s="1" t="s">
        <v>28</v>
      </c>
      <c r="T2141" s="1" t="s">
        <v>29</v>
      </c>
    </row>
    <row r="2142" customFormat="false" ht="18.7" hidden="false" customHeight="true" outlineLevel="0" collapsed="false">
      <c r="A2142" s="1" t="n">
        <v>2141</v>
      </c>
      <c r="B2142" s="6" t="str">
        <f aca="false">HYPERLINK("https://mncourtfraud.com/file/MCRO_27-CR-21-6710_Law Enforcement Notice of Release and Appearance_2022-08-08_20240430080355.pdf","MCRO_27-CR-21-6710_Law Enforcement Notice of Release and Appearance_2022-08-08_20240430080355.pdf")</f>
        <v>MCRO_27-CR-21-6710_Law Enforcement Notice of Release and Appearance_2022-08-08_20240430080355.pdf</v>
      </c>
      <c r="C2142" s="1" t="n">
        <v>4</v>
      </c>
      <c r="D2142" s="1" t="n">
        <v>1</v>
      </c>
      <c r="E2142" s="1" t="n">
        <v>1</v>
      </c>
      <c r="F2142" s="3" t="s">
        <v>20</v>
      </c>
      <c r="G2142" s="3" t="s">
        <v>8721</v>
      </c>
      <c r="H2142" s="1" t="s">
        <v>22</v>
      </c>
      <c r="I2142" s="1" t="n">
        <v>20240430080355</v>
      </c>
      <c r="J2142" s="3" t="s">
        <v>8722</v>
      </c>
      <c r="K2142" s="3" t="s">
        <v>8723</v>
      </c>
      <c r="L2142" s="3" t="s">
        <v>8724</v>
      </c>
      <c r="M2142" s="3" t="n">
        <v>111700</v>
      </c>
      <c r="N2142" s="3" t="s">
        <v>456</v>
      </c>
      <c r="O2142" s="1" t="n">
        <v>95314</v>
      </c>
      <c r="P2142" s="1" t="n">
        <v>85.33</v>
      </c>
      <c r="Q2142" s="1" t="s">
        <v>20</v>
      </c>
      <c r="R2142" s="1" t="s">
        <v>27</v>
      </c>
      <c r="S2142" s="1" t="s">
        <v>28</v>
      </c>
      <c r="T2142" s="1" t="s">
        <v>29</v>
      </c>
    </row>
    <row r="2143" customFormat="false" ht="18.7" hidden="false" customHeight="true" outlineLevel="0" collapsed="false">
      <c r="A2143" s="1" t="n">
        <v>2142</v>
      </c>
      <c r="B2143" s="6" t="str">
        <f aca="false">HYPERLINK("https://mncourtfraud.com/file/MCRO_27-CR-21-6710_Notice of Evidence and Identification Procedures_2022-05-10_20240430080405.pdf","MCRO_27-CR-21-6710_Notice of Evidence and Identification Procedures_2022-05-10_20240430080405.pdf")</f>
        <v>MCRO_27-CR-21-6710_Notice of Evidence and Identification Procedures_2022-05-10_20240430080405.pdf</v>
      </c>
      <c r="C2143" s="1" t="n">
        <v>3</v>
      </c>
      <c r="D2143" s="1" t="n">
        <v>1</v>
      </c>
      <c r="E2143" s="1" t="n">
        <v>1</v>
      </c>
      <c r="F2143" s="3" t="s">
        <v>20</v>
      </c>
      <c r="G2143" s="3" t="s">
        <v>8725</v>
      </c>
      <c r="H2143" s="1" t="s">
        <v>22</v>
      </c>
      <c r="I2143" s="1" t="n">
        <v>20240430080405</v>
      </c>
      <c r="J2143" s="3" t="s">
        <v>8726</v>
      </c>
      <c r="K2143" s="3" t="s">
        <v>8727</v>
      </c>
      <c r="L2143" s="3" t="s">
        <v>8728</v>
      </c>
      <c r="M2143" s="3" t="n">
        <v>168963</v>
      </c>
      <c r="N2143" s="3" t="s">
        <v>3264</v>
      </c>
      <c r="O2143" s="1" t="n">
        <v>152577</v>
      </c>
      <c r="P2143" s="1" t="n">
        <v>90.3</v>
      </c>
      <c r="Q2143" s="1" t="s">
        <v>20</v>
      </c>
      <c r="R2143" s="1" t="s">
        <v>27</v>
      </c>
      <c r="S2143" s="1" t="s">
        <v>28</v>
      </c>
      <c r="T2143" s="1" t="s">
        <v>29</v>
      </c>
    </row>
    <row r="2144" customFormat="false" ht="18.7" hidden="false" customHeight="true" outlineLevel="0" collapsed="false">
      <c r="A2144" s="1" t="n">
        <v>2143</v>
      </c>
      <c r="B2144" s="6" t="str">
        <f aca="false">HYPERLINK("https://mncourtfraud.com/file/MCRO_27-CR-21-6710_Notice of Intent to Prosecute_2022-05-23_20240430080402.pdf","MCRO_27-CR-21-6710_Notice of Intent to Prosecute_2022-05-23_20240430080402.pdf")</f>
        <v>MCRO_27-CR-21-6710_Notice of Intent to Prosecute_2022-05-23_20240430080402.pdf</v>
      </c>
      <c r="C2144" s="1" t="n">
        <v>3</v>
      </c>
      <c r="D2144" s="1" t="n">
        <v>1</v>
      </c>
      <c r="E2144" s="1" t="n">
        <v>1</v>
      </c>
      <c r="F2144" s="3" t="s">
        <v>20</v>
      </c>
      <c r="G2144" s="3" t="s">
        <v>8729</v>
      </c>
      <c r="H2144" s="1" t="s">
        <v>22</v>
      </c>
      <c r="I2144" s="1" t="n">
        <v>20240430080402</v>
      </c>
      <c r="J2144" s="3" t="s">
        <v>8730</v>
      </c>
      <c r="K2144" s="3" t="s">
        <v>8731</v>
      </c>
      <c r="L2144" s="3" t="s">
        <v>8732</v>
      </c>
      <c r="M2144" s="3" t="n">
        <v>136217</v>
      </c>
      <c r="N2144" s="3" t="s">
        <v>2777</v>
      </c>
      <c r="O2144" s="1" t="n">
        <v>119831</v>
      </c>
      <c r="P2144" s="1" t="n">
        <v>87.97</v>
      </c>
      <c r="Q2144" s="1" t="s">
        <v>20</v>
      </c>
      <c r="R2144" s="1" t="s">
        <v>27</v>
      </c>
      <c r="S2144" s="1" t="s">
        <v>28</v>
      </c>
      <c r="T2144" s="1" t="s">
        <v>29</v>
      </c>
    </row>
    <row r="2145" customFormat="false" ht="18.7" hidden="false" customHeight="true" outlineLevel="0" collapsed="false">
      <c r="A2145" s="1" t="n">
        <v>2144</v>
      </c>
      <c r="B2145" s="6" t="str">
        <f aca="false">HYPERLINK("https://mncourtfraud.com/file/MCRO_27-CR-21-6710_Notice of Remote Hearing with Instructions_2021-04-06_20240430080424.pdf","MCRO_27-CR-21-6710_Notice of Remote Hearing with Instructions_2021-04-06_20240430080424.pdf")</f>
        <v>MCRO_27-CR-21-6710_Notice of Remote Hearing with Instructions_2021-04-06_20240430080424.pdf</v>
      </c>
      <c r="C2145" s="1" t="n">
        <v>5</v>
      </c>
      <c r="D2145" s="1" t="n">
        <v>1</v>
      </c>
      <c r="E2145" s="1" t="n">
        <v>1</v>
      </c>
      <c r="F2145" s="3" t="s">
        <v>20</v>
      </c>
      <c r="G2145" s="3" t="s">
        <v>8733</v>
      </c>
      <c r="H2145" s="1" t="s">
        <v>22</v>
      </c>
      <c r="I2145" s="1" t="n">
        <v>20240430080424</v>
      </c>
      <c r="J2145" s="3" t="s">
        <v>8734</v>
      </c>
      <c r="K2145" s="3" t="s">
        <v>8735</v>
      </c>
      <c r="L2145" s="3" t="s">
        <v>8736</v>
      </c>
      <c r="M2145" s="3" t="n">
        <v>776581</v>
      </c>
      <c r="N2145" s="3" t="s">
        <v>1205</v>
      </c>
      <c r="O2145" s="1" t="n">
        <v>760195</v>
      </c>
      <c r="P2145" s="1" t="n">
        <v>97.89</v>
      </c>
      <c r="Q2145" s="1" t="s">
        <v>20</v>
      </c>
      <c r="R2145" s="1" t="s">
        <v>27</v>
      </c>
      <c r="S2145" s="1" t="s">
        <v>28</v>
      </c>
      <c r="T2145" s="1" t="s">
        <v>29</v>
      </c>
    </row>
    <row r="2146" customFormat="false" ht="18.7" hidden="false" customHeight="true" outlineLevel="0" collapsed="false">
      <c r="A2146" s="1" t="n">
        <v>2145</v>
      </c>
      <c r="B2146" s="6" t="str">
        <f aca="false">HYPERLINK("https://mncourtfraud.com/file/MCRO_27-CR-21-6710_Notice of Remote Hearing with Instructions_2021-08-13_20240430080421.pdf","MCRO_27-CR-21-6710_Notice of Remote Hearing with Instructions_2021-08-13_20240430080421.pdf")</f>
        <v>MCRO_27-CR-21-6710_Notice of Remote Hearing with Instructions_2021-08-13_20240430080421.pdf</v>
      </c>
      <c r="C2146" s="1" t="n">
        <v>5</v>
      </c>
      <c r="D2146" s="1" t="n">
        <v>1</v>
      </c>
      <c r="E2146" s="1" t="n">
        <v>1</v>
      </c>
      <c r="F2146" s="3" t="s">
        <v>20</v>
      </c>
      <c r="G2146" s="3" t="s">
        <v>8737</v>
      </c>
      <c r="H2146" s="1" t="s">
        <v>22</v>
      </c>
      <c r="I2146" s="1" t="n">
        <v>20240430080421</v>
      </c>
      <c r="J2146" s="3" t="s">
        <v>8738</v>
      </c>
      <c r="K2146" s="3" t="s">
        <v>8739</v>
      </c>
      <c r="L2146" s="3" t="s">
        <v>8740</v>
      </c>
      <c r="M2146" s="3" t="n">
        <v>857317</v>
      </c>
      <c r="N2146" s="3" t="s">
        <v>510</v>
      </c>
      <c r="O2146" s="1" t="n">
        <v>840931</v>
      </c>
      <c r="P2146" s="1" t="n">
        <v>98.09</v>
      </c>
      <c r="Q2146" s="1" t="s">
        <v>20</v>
      </c>
      <c r="R2146" s="1" t="s">
        <v>27</v>
      </c>
      <c r="S2146" s="1" t="s">
        <v>28</v>
      </c>
      <c r="T2146" s="1" t="s">
        <v>29</v>
      </c>
    </row>
    <row r="2147" customFormat="false" ht="18.7" hidden="false" customHeight="true" outlineLevel="0" collapsed="false">
      <c r="A2147" s="1" t="n">
        <v>2146</v>
      </c>
      <c r="B2147" s="6" t="str">
        <f aca="false">HYPERLINK("https://mncourtfraud.com/file/MCRO_27-CR-21-6710_Notice of Remote Hearing with Instructions_2021-11-19_20240430080420.pdf","MCRO_27-CR-21-6710_Notice of Remote Hearing with Instructions_2021-11-19_20240430080420.pdf")</f>
        <v>MCRO_27-CR-21-6710_Notice of Remote Hearing with Instructions_2021-11-19_20240430080420.pdf</v>
      </c>
      <c r="C2147" s="1" t="n">
        <v>4</v>
      </c>
      <c r="D2147" s="1" t="n">
        <v>1</v>
      </c>
      <c r="E2147" s="1" t="n">
        <v>1</v>
      </c>
      <c r="F2147" s="3" t="s">
        <v>20</v>
      </c>
      <c r="G2147" s="3" t="s">
        <v>8741</v>
      </c>
      <c r="H2147" s="1" t="s">
        <v>22</v>
      </c>
      <c r="I2147" s="1" t="n">
        <v>20240430080420</v>
      </c>
      <c r="J2147" s="3" t="s">
        <v>8742</v>
      </c>
      <c r="K2147" s="3" t="s">
        <v>8743</v>
      </c>
      <c r="L2147" s="3" t="s">
        <v>8744</v>
      </c>
      <c r="M2147" s="3" t="n">
        <v>871429</v>
      </c>
      <c r="N2147" s="3" t="s">
        <v>1065</v>
      </c>
      <c r="O2147" s="1" t="n">
        <v>855043</v>
      </c>
      <c r="P2147" s="1" t="n">
        <v>98.12</v>
      </c>
      <c r="Q2147" s="1" t="s">
        <v>20</v>
      </c>
      <c r="R2147" s="1" t="s">
        <v>27</v>
      </c>
      <c r="S2147" s="1" t="s">
        <v>28</v>
      </c>
      <c r="T2147" s="1" t="s">
        <v>29</v>
      </c>
    </row>
    <row r="2148" customFormat="false" ht="18.7" hidden="false" customHeight="true" outlineLevel="0" collapsed="false">
      <c r="A2148" s="1" t="n">
        <v>2147</v>
      </c>
      <c r="B2148" s="6" t="str">
        <f aca="false">HYPERLINK("https://mncourtfraud.com/file/MCRO_27-CR-21-6710_Notice of Remote Hearing with Instructions_2021-12-08_20240430080419.pdf","MCRO_27-CR-21-6710_Notice of Remote Hearing with Instructions_2021-12-08_20240430080419.pdf")</f>
        <v>MCRO_27-CR-21-6710_Notice of Remote Hearing with Instructions_2021-12-08_20240430080419.pdf</v>
      </c>
      <c r="C2148" s="1" t="n">
        <v>4</v>
      </c>
      <c r="D2148" s="1" t="n">
        <v>1</v>
      </c>
      <c r="E2148" s="1" t="n">
        <v>1</v>
      </c>
      <c r="F2148" s="3" t="s">
        <v>20</v>
      </c>
      <c r="G2148" s="3" t="s">
        <v>8745</v>
      </c>
      <c r="H2148" s="1" t="s">
        <v>22</v>
      </c>
      <c r="I2148" s="1" t="n">
        <v>20240430080419</v>
      </c>
      <c r="J2148" s="3" t="s">
        <v>8746</v>
      </c>
      <c r="K2148" s="3" t="s">
        <v>8747</v>
      </c>
      <c r="L2148" s="3" t="s">
        <v>8748</v>
      </c>
      <c r="M2148" s="3" t="n">
        <v>163359</v>
      </c>
      <c r="N2148" s="3" t="s">
        <v>1065</v>
      </c>
      <c r="O2148" s="1" t="n">
        <v>146973</v>
      </c>
      <c r="P2148" s="1" t="n">
        <v>89.97</v>
      </c>
      <c r="Q2148" s="1" t="s">
        <v>20</v>
      </c>
      <c r="R2148" s="1" t="s">
        <v>27</v>
      </c>
      <c r="S2148" s="1" t="s">
        <v>28</v>
      </c>
      <c r="T2148" s="1" t="s">
        <v>29</v>
      </c>
    </row>
    <row r="2149" customFormat="false" ht="18.7" hidden="false" customHeight="true" outlineLevel="0" collapsed="false">
      <c r="A2149" s="1" t="n">
        <v>2148</v>
      </c>
      <c r="B2149" s="6" t="str">
        <f aca="false">HYPERLINK("https://mncourtfraud.com/file/MCRO_27-CR-21-6710_Notice of Remote Hearing with Instructions_2022-02-14_20240430080417.pdf","MCRO_27-CR-21-6710_Notice of Remote Hearing with Instructions_2022-02-14_20240430080417.pdf")</f>
        <v>MCRO_27-CR-21-6710_Notice of Remote Hearing with Instructions_2022-02-14_20240430080417.pdf</v>
      </c>
      <c r="C2149" s="1" t="n">
        <v>4</v>
      </c>
      <c r="D2149" s="1" t="n">
        <v>1</v>
      </c>
      <c r="E2149" s="1" t="n">
        <v>1</v>
      </c>
      <c r="F2149" s="3" t="s">
        <v>20</v>
      </c>
      <c r="G2149" s="3" t="s">
        <v>8749</v>
      </c>
      <c r="H2149" s="1" t="s">
        <v>22</v>
      </c>
      <c r="I2149" s="1" t="n">
        <v>20240430080417</v>
      </c>
      <c r="J2149" s="3" t="s">
        <v>8750</v>
      </c>
      <c r="K2149" s="3" t="s">
        <v>8751</v>
      </c>
      <c r="L2149" s="3" t="s">
        <v>8752</v>
      </c>
      <c r="M2149" s="3" t="n">
        <v>159532</v>
      </c>
      <c r="N2149" s="3" t="s">
        <v>1065</v>
      </c>
      <c r="O2149" s="1" t="n">
        <v>143146</v>
      </c>
      <c r="P2149" s="1" t="n">
        <v>89.73</v>
      </c>
      <c r="Q2149" s="1" t="s">
        <v>20</v>
      </c>
      <c r="R2149" s="1" t="s">
        <v>27</v>
      </c>
      <c r="S2149" s="1" t="s">
        <v>28</v>
      </c>
      <c r="T2149" s="1" t="s">
        <v>29</v>
      </c>
    </row>
    <row r="2150" customFormat="false" ht="18.7" hidden="false" customHeight="true" outlineLevel="0" collapsed="false">
      <c r="A2150" s="1" t="n">
        <v>2149</v>
      </c>
      <c r="B2150" s="6" t="str">
        <f aca="false">HYPERLINK("https://mncourtfraud.com/file/MCRO_27-CR-21-6710_Notice of Remote Hearing with Instructions_2022-04-14_20240430080414.pdf","MCRO_27-CR-21-6710_Notice of Remote Hearing with Instructions_2022-04-14_20240430080414.pdf")</f>
        <v>MCRO_27-CR-21-6710_Notice of Remote Hearing with Instructions_2022-04-14_20240430080414.pdf</v>
      </c>
      <c r="C2150" s="1" t="n">
        <v>4</v>
      </c>
      <c r="D2150" s="1" t="n">
        <v>1</v>
      </c>
      <c r="E2150" s="1" t="n">
        <v>1</v>
      </c>
      <c r="F2150" s="3" t="s">
        <v>20</v>
      </c>
      <c r="G2150" s="3" t="s">
        <v>8753</v>
      </c>
      <c r="H2150" s="1" t="s">
        <v>22</v>
      </c>
      <c r="I2150" s="1" t="n">
        <v>20240430080414</v>
      </c>
      <c r="J2150" s="3" t="s">
        <v>8754</v>
      </c>
      <c r="K2150" s="3" t="s">
        <v>8755</v>
      </c>
      <c r="L2150" s="3" t="s">
        <v>8756</v>
      </c>
      <c r="M2150" s="3" t="n">
        <v>172724</v>
      </c>
      <c r="N2150" s="3" t="s">
        <v>1065</v>
      </c>
      <c r="O2150" s="1" t="n">
        <v>156338</v>
      </c>
      <c r="P2150" s="1" t="n">
        <v>90.51</v>
      </c>
      <c r="Q2150" s="1" t="s">
        <v>20</v>
      </c>
      <c r="R2150" s="1" t="s">
        <v>27</v>
      </c>
      <c r="S2150" s="1" t="s">
        <v>28</v>
      </c>
      <c r="T2150" s="1" t="s">
        <v>29</v>
      </c>
    </row>
    <row r="2151" customFormat="false" ht="18.7" hidden="false" customHeight="true" outlineLevel="0" collapsed="false">
      <c r="A2151" s="1" t="n">
        <v>2150</v>
      </c>
      <c r="B2151" s="6" t="str">
        <f aca="false">HYPERLINK("https://mncourtfraud.com/file/MCRO_27-CR-21-6710_Notice of Remote Hearing with Instructions_2022-04-19_20240430080412.pdf","MCRO_27-CR-21-6710_Notice of Remote Hearing with Instructions_2022-04-19_20240430080412.pdf")</f>
        <v>MCRO_27-CR-21-6710_Notice of Remote Hearing with Instructions_2022-04-19_20240430080412.pdf</v>
      </c>
      <c r="C2151" s="1" t="n">
        <v>5</v>
      </c>
      <c r="D2151" s="1" t="n">
        <v>1</v>
      </c>
      <c r="E2151" s="1" t="n">
        <v>1</v>
      </c>
      <c r="F2151" s="3" t="s">
        <v>20</v>
      </c>
      <c r="G2151" s="3" t="s">
        <v>8757</v>
      </c>
      <c r="H2151" s="1" t="s">
        <v>22</v>
      </c>
      <c r="I2151" s="1" t="n">
        <v>20240430080412</v>
      </c>
      <c r="J2151" s="3" t="s">
        <v>8758</v>
      </c>
      <c r="K2151" s="3" t="s">
        <v>8759</v>
      </c>
      <c r="L2151" s="3" t="s">
        <v>8760</v>
      </c>
      <c r="M2151" s="3" t="n">
        <v>811545</v>
      </c>
      <c r="N2151" s="3" t="s">
        <v>2818</v>
      </c>
      <c r="O2151" s="1" t="n">
        <v>795159</v>
      </c>
      <c r="P2151" s="1" t="n">
        <v>97.98</v>
      </c>
      <c r="Q2151" s="1" t="s">
        <v>20</v>
      </c>
      <c r="R2151" s="1" t="s">
        <v>27</v>
      </c>
      <c r="S2151" s="1" t="s">
        <v>28</v>
      </c>
      <c r="T2151" s="1" t="s">
        <v>29</v>
      </c>
    </row>
    <row r="2152" customFormat="false" ht="18.7" hidden="false" customHeight="true" outlineLevel="0" collapsed="false">
      <c r="A2152" s="1" t="n">
        <v>2151</v>
      </c>
      <c r="B2152" s="6" t="str">
        <f aca="false">HYPERLINK("https://mncourtfraud.com/file/MCRO_27-CR-21-6710_Notice of Remote Hearing with Instructions_2022-04-19_20240430080413.pdf","MCRO_27-CR-21-6710_Notice of Remote Hearing with Instructions_2022-04-19_20240430080413.pdf")</f>
        <v>MCRO_27-CR-21-6710_Notice of Remote Hearing with Instructions_2022-04-19_20240430080413.pdf</v>
      </c>
      <c r="C2152" s="1" t="n">
        <v>5</v>
      </c>
      <c r="D2152" s="1" t="n">
        <v>1</v>
      </c>
      <c r="E2152" s="1" t="n">
        <v>1</v>
      </c>
      <c r="F2152" s="3" t="s">
        <v>20</v>
      </c>
      <c r="G2152" s="3" t="s">
        <v>8761</v>
      </c>
      <c r="H2152" s="1" t="s">
        <v>22</v>
      </c>
      <c r="I2152" s="1" t="n">
        <v>20240430080413</v>
      </c>
      <c r="J2152" s="3" t="s">
        <v>8762</v>
      </c>
      <c r="K2152" s="3" t="s">
        <v>8763</v>
      </c>
      <c r="L2152" s="3" t="s">
        <v>8764</v>
      </c>
      <c r="M2152" s="3" t="n">
        <v>840538</v>
      </c>
      <c r="N2152" s="3" t="s">
        <v>849</v>
      </c>
      <c r="O2152" s="1" t="n">
        <v>824152</v>
      </c>
      <c r="P2152" s="1" t="n">
        <v>98.05</v>
      </c>
      <c r="Q2152" s="1" t="s">
        <v>20</v>
      </c>
      <c r="R2152" s="1" t="s">
        <v>27</v>
      </c>
      <c r="S2152" s="1" t="s">
        <v>28</v>
      </c>
      <c r="T2152" s="1" t="s">
        <v>29</v>
      </c>
    </row>
    <row r="2153" customFormat="false" ht="18.7" hidden="false" customHeight="true" outlineLevel="0" collapsed="false">
      <c r="A2153" s="1" t="n">
        <v>2152</v>
      </c>
      <c r="B2153" s="6" t="str">
        <f aca="false">HYPERLINK("https://mncourtfraud.com/file/MCRO_27-CR-21-6710_Notice of Remote Hearing with Instructions_2022-04-20_20240430080408.pdf","MCRO_27-CR-21-6710_Notice of Remote Hearing with Instructions_2022-04-20_20240430080408.pdf")</f>
        <v>MCRO_27-CR-21-6710_Notice of Remote Hearing with Instructions_2022-04-20_20240430080408.pdf</v>
      </c>
      <c r="C2153" s="1" t="n">
        <v>5</v>
      </c>
      <c r="D2153" s="1" t="n">
        <v>1</v>
      </c>
      <c r="E2153" s="1" t="n">
        <v>1</v>
      </c>
      <c r="F2153" s="3" t="s">
        <v>20</v>
      </c>
      <c r="G2153" s="3" t="s">
        <v>8765</v>
      </c>
      <c r="H2153" s="1" t="s">
        <v>22</v>
      </c>
      <c r="I2153" s="1" t="n">
        <v>20240430080408</v>
      </c>
      <c r="J2153" s="3" t="s">
        <v>8766</v>
      </c>
      <c r="K2153" s="3" t="s">
        <v>8767</v>
      </c>
      <c r="L2153" s="3" t="s">
        <v>8768</v>
      </c>
      <c r="M2153" s="3" t="n">
        <v>840552</v>
      </c>
      <c r="N2153" s="3" t="s">
        <v>849</v>
      </c>
      <c r="O2153" s="1" t="n">
        <v>824166</v>
      </c>
      <c r="P2153" s="1" t="n">
        <v>98.05</v>
      </c>
      <c r="Q2153" s="1" t="s">
        <v>20</v>
      </c>
      <c r="R2153" s="1" t="s">
        <v>27</v>
      </c>
      <c r="S2153" s="1" t="s">
        <v>28</v>
      </c>
      <c r="T2153" s="1" t="s">
        <v>29</v>
      </c>
    </row>
    <row r="2154" customFormat="false" ht="18.7" hidden="false" customHeight="true" outlineLevel="0" collapsed="false">
      <c r="A2154" s="1" t="n">
        <v>2153</v>
      </c>
      <c r="B2154" s="6" t="str">
        <f aca="false">HYPERLINK("https://mncourtfraud.com/file/MCRO_27-CR-21-6710_Notice of Remote Hearing with Instructions_2022-04-20_20240430080410.pdf","MCRO_27-CR-21-6710_Notice of Remote Hearing with Instructions_2022-04-20_20240430080410.pdf")</f>
        <v>MCRO_27-CR-21-6710_Notice of Remote Hearing with Instructions_2022-04-20_20240430080410.pdf</v>
      </c>
      <c r="C2154" s="1" t="n">
        <v>5</v>
      </c>
      <c r="D2154" s="1" t="n">
        <v>1</v>
      </c>
      <c r="E2154" s="1" t="n">
        <v>1</v>
      </c>
      <c r="F2154" s="3" t="s">
        <v>20</v>
      </c>
      <c r="G2154" s="3" t="s">
        <v>8769</v>
      </c>
      <c r="H2154" s="1" t="s">
        <v>22</v>
      </c>
      <c r="I2154" s="1" t="n">
        <v>20240430080410</v>
      </c>
      <c r="J2154" s="3" t="s">
        <v>8770</v>
      </c>
      <c r="K2154" s="3" t="s">
        <v>8771</v>
      </c>
      <c r="L2154" s="3" t="s">
        <v>8772</v>
      </c>
      <c r="M2154" s="3" t="n">
        <v>811591</v>
      </c>
      <c r="N2154" s="3" t="s">
        <v>2818</v>
      </c>
      <c r="O2154" s="1" t="n">
        <v>795205</v>
      </c>
      <c r="P2154" s="1" t="n">
        <v>97.98</v>
      </c>
      <c r="Q2154" s="1" t="s">
        <v>20</v>
      </c>
      <c r="R2154" s="1" t="s">
        <v>27</v>
      </c>
      <c r="S2154" s="1" t="s">
        <v>28</v>
      </c>
      <c r="T2154" s="1" t="s">
        <v>29</v>
      </c>
    </row>
    <row r="2155" customFormat="false" ht="18.7" hidden="false" customHeight="true" outlineLevel="0" collapsed="false">
      <c r="A2155" s="1" t="n">
        <v>2154</v>
      </c>
      <c r="B2155" s="6" t="str">
        <f aca="false">HYPERLINK("https://mncourtfraud.com/file/MCRO_27-CR-21-6710_Notice of Remote Hearing with Instructions_2022-05-25_20240430080401.pdf","MCRO_27-CR-21-6710_Notice of Remote Hearing with Instructions_2022-05-25_20240430080401.pdf")</f>
        <v>MCRO_27-CR-21-6710_Notice of Remote Hearing with Instructions_2022-05-25_20240430080401.pdf</v>
      </c>
      <c r="C2155" s="1" t="n">
        <v>4</v>
      </c>
      <c r="D2155" s="1" t="n">
        <v>1</v>
      </c>
      <c r="E2155" s="1" t="n">
        <v>1</v>
      </c>
      <c r="F2155" s="3" t="s">
        <v>20</v>
      </c>
      <c r="G2155" s="3" t="s">
        <v>8773</v>
      </c>
      <c r="H2155" s="1" t="s">
        <v>22</v>
      </c>
      <c r="I2155" s="1" t="n">
        <v>20240430080401</v>
      </c>
      <c r="J2155" s="3" t="s">
        <v>8774</v>
      </c>
      <c r="K2155" s="3" t="s">
        <v>8775</v>
      </c>
      <c r="L2155" s="3" t="s">
        <v>8776</v>
      </c>
      <c r="M2155" s="3" t="n">
        <v>758350</v>
      </c>
      <c r="N2155" s="3" t="s">
        <v>922</v>
      </c>
      <c r="O2155" s="1" t="n">
        <v>741964</v>
      </c>
      <c r="P2155" s="1" t="n">
        <v>97.84</v>
      </c>
      <c r="Q2155" s="1" t="s">
        <v>20</v>
      </c>
      <c r="R2155" s="1" t="s">
        <v>27</v>
      </c>
      <c r="S2155" s="1" t="s">
        <v>28</v>
      </c>
      <c r="T2155" s="1" t="s">
        <v>29</v>
      </c>
    </row>
    <row r="2156" customFormat="false" ht="18.7" hidden="false" customHeight="true" outlineLevel="0" collapsed="false">
      <c r="A2156" s="1" t="n">
        <v>2155</v>
      </c>
      <c r="B2156" s="6" t="str">
        <f aca="false">HYPERLINK("https://mncourtfraud.com/file/MCRO_27-CR-21-6710_Notice of Remote Hearing with Instructions_2022-08-01_20240430080358.pdf","MCRO_27-CR-21-6710_Notice of Remote Hearing with Instructions_2022-08-01_20240430080358.pdf")</f>
        <v>MCRO_27-CR-21-6710_Notice of Remote Hearing with Instructions_2022-08-01_20240430080358.pdf</v>
      </c>
      <c r="C2156" s="1" t="n">
        <v>4</v>
      </c>
      <c r="D2156" s="1" t="n">
        <v>1</v>
      </c>
      <c r="E2156" s="1" t="n">
        <v>1</v>
      </c>
      <c r="F2156" s="3" t="s">
        <v>20</v>
      </c>
      <c r="G2156" s="3" t="s">
        <v>8777</v>
      </c>
      <c r="H2156" s="1" t="s">
        <v>22</v>
      </c>
      <c r="I2156" s="1" t="n">
        <v>20240430080358</v>
      </c>
      <c r="J2156" s="3" t="s">
        <v>8778</v>
      </c>
      <c r="K2156" s="3" t="s">
        <v>8779</v>
      </c>
      <c r="L2156" s="3" t="s">
        <v>8780</v>
      </c>
      <c r="M2156" s="3" t="n">
        <v>160127</v>
      </c>
      <c r="N2156" s="3" t="s">
        <v>1065</v>
      </c>
      <c r="O2156" s="1" t="n">
        <v>143741</v>
      </c>
      <c r="P2156" s="1" t="n">
        <v>89.77</v>
      </c>
      <c r="Q2156" s="1" t="s">
        <v>20</v>
      </c>
      <c r="R2156" s="1" t="s">
        <v>27</v>
      </c>
      <c r="S2156" s="1" t="s">
        <v>28</v>
      </c>
      <c r="T2156" s="1" t="s">
        <v>29</v>
      </c>
    </row>
    <row r="2157" customFormat="false" ht="18.7" hidden="false" customHeight="true" outlineLevel="0" collapsed="false">
      <c r="A2157" s="1" t="n">
        <v>2156</v>
      </c>
      <c r="B2157" s="6" t="str">
        <f aca="false">HYPERLINK("https://mncourtfraud.com/file/MCRO_27-CR-21-6710_Notice of Remote Hearing with Instructions_2022-08-08_20240430080354.pdf","MCRO_27-CR-21-6710_Notice of Remote Hearing with Instructions_2022-08-08_20240430080354.pdf")</f>
        <v>MCRO_27-CR-21-6710_Notice of Remote Hearing with Instructions_2022-08-08_20240430080354.pdf</v>
      </c>
      <c r="C2157" s="1" t="n">
        <v>4</v>
      </c>
      <c r="D2157" s="1" t="n">
        <v>1</v>
      </c>
      <c r="E2157" s="1" t="n">
        <v>1</v>
      </c>
      <c r="F2157" s="3" t="s">
        <v>20</v>
      </c>
      <c r="G2157" s="3" t="s">
        <v>8781</v>
      </c>
      <c r="H2157" s="1" t="s">
        <v>22</v>
      </c>
      <c r="I2157" s="1" t="n">
        <v>20240430080354</v>
      </c>
      <c r="J2157" s="3" t="s">
        <v>8782</v>
      </c>
      <c r="K2157" s="3" t="s">
        <v>8783</v>
      </c>
      <c r="L2157" s="3" t="s">
        <v>8784</v>
      </c>
      <c r="M2157" s="3" t="n">
        <v>159330</v>
      </c>
      <c r="N2157" s="3" t="s">
        <v>1065</v>
      </c>
      <c r="O2157" s="1" t="n">
        <v>142944</v>
      </c>
      <c r="P2157" s="1" t="n">
        <v>89.72</v>
      </c>
      <c r="Q2157" s="1" t="s">
        <v>20</v>
      </c>
      <c r="R2157" s="1" t="s">
        <v>27</v>
      </c>
      <c r="S2157" s="1" t="s">
        <v>28</v>
      </c>
      <c r="T2157" s="1" t="s">
        <v>29</v>
      </c>
    </row>
    <row r="2158" customFormat="false" ht="18.7" hidden="false" customHeight="true" outlineLevel="0" collapsed="false">
      <c r="A2158" s="1" t="n">
        <v>2157</v>
      </c>
      <c r="B2158" s="6" t="str">
        <f aca="false">HYPERLINK("https://mncourtfraud.com/file/MCRO_27-CR-21-6710_Notice of Remote Hearing with Instructions_2023-10-24_20240430080350.pdf","MCRO_27-CR-21-6710_Notice of Remote Hearing with Instructions_2023-10-24_20240430080350.pdf")</f>
        <v>MCRO_27-CR-21-6710_Notice of Remote Hearing with Instructions_2023-10-24_20240430080350.pdf</v>
      </c>
      <c r="C2158" s="1" t="n">
        <v>6</v>
      </c>
      <c r="D2158" s="1" t="n">
        <v>1</v>
      </c>
      <c r="E2158" s="1" t="n">
        <v>1</v>
      </c>
      <c r="F2158" s="3" t="s">
        <v>20</v>
      </c>
      <c r="G2158" s="3" t="s">
        <v>8785</v>
      </c>
      <c r="H2158" s="1" t="s">
        <v>22</v>
      </c>
      <c r="I2158" s="1" t="n">
        <v>20240430080350</v>
      </c>
      <c r="J2158" s="3" t="s">
        <v>8786</v>
      </c>
      <c r="K2158" s="3" t="s">
        <v>8787</v>
      </c>
      <c r="L2158" s="3" t="s">
        <v>8788</v>
      </c>
      <c r="M2158" s="3" t="n">
        <v>908823</v>
      </c>
      <c r="N2158" s="3" t="s">
        <v>109</v>
      </c>
      <c r="O2158" s="1" t="n">
        <v>892437</v>
      </c>
      <c r="P2158" s="1" t="n">
        <v>98.2</v>
      </c>
      <c r="Q2158" s="1" t="s">
        <v>20</v>
      </c>
      <c r="R2158" s="1" t="s">
        <v>27</v>
      </c>
      <c r="S2158" s="1" t="s">
        <v>28</v>
      </c>
      <c r="T2158" s="1" t="s">
        <v>29</v>
      </c>
    </row>
    <row r="2159" customFormat="false" ht="18.7" hidden="false" customHeight="true" outlineLevel="0" collapsed="false">
      <c r="A2159" s="1" t="n">
        <v>2158</v>
      </c>
      <c r="B2159" s="6" t="str">
        <f aca="false">HYPERLINK("https://mncourtfraud.com/file/MCRO_27-CR-21-6710_Notice of Remote Hearing with Instructions_2024-02-13_20240430080347.pdf","MCRO_27-CR-21-6710_Notice of Remote Hearing with Instructions_2024-02-13_20240430080347.pdf")</f>
        <v>MCRO_27-CR-21-6710_Notice of Remote Hearing with Instructions_2024-02-13_20240430080347.pdf</v>
      </c>
      <c r="C2159" s="1" t="n">
        <v>4</v>
      </c>
      <c r="D2159" s="1" t="n">
        <v>1</v>
      </c>
      <c r="E2159" s="1" t="n">
        <v>1</v>
      </c>
      <c r="F2159" s="3" t="s">
        <v>20</v>
      </c>
      <c r="G2159" s="3" t="s">
        <v>8789</v>
      </c>
      <c r="H2159" s="1" t="s">
        <v>22</v>
      </c>
      <c r="I2159" s="1" t="n">
        <v>20240430080347</v>
      </c>
      <c r="J2159" s="3" t="s">
        <v>8790</v>
      </c>
      <c r="K2159" s="3" t="s">
        <v>8791</v>
      </c>
      <c r="L2159" s="3" t="s">
        <v>8792</v>
      </c>
      <c r="M2159" s="3" t="n">
        <v>255485</v>
      </c>
      <c r="N2159" s="3" t="s">
        <v>74</v>
      </c>
      <c r="O2159" s="1" t="n">
        <v>239099</v>
      </c>
      <c r="P2159" s="1" t="n">
        <v>93.59</v>
      </c>
      <c r="Q2159" s="1" t="s">
        <v>20</v>
      </c>
      <c r="R2159" s="1" t="s">
        <v>27</v>
      </c>
      <c r="S2159" s="1" t="s">
        <v>28</v>
      </c>
      <c r="T2159" s="1" t="s">
        <v>29</v>
      </c>
    </row>
    <row r="2160" customFormat="false" ht="18.7" hidden="false" customHeight="true" outlineLevel="0" collapsed="false">
      <c r="A2160" s="1" t="n">
        <v>2159</v>
      </c>
      <c r="B2160" s="6" t="str">
        <f aca="false">HYPERLINK("https://mncourtfraud.com/file/MCRO_27-CR-21-6710_Order-Evaluation for Competency to Proceed (Rule 20.01)_2022-04-19_20240430080411.pdf","MCRO_27-CR-21-6710_Order-Evaluation for Competency to Proceed (Rule 20.01)_2022-04-19_20240430080411.pdf")</f>
        <v>MCRO_27-CR-21-6710_Order-Evaluation for Competency to Proceed (Rule 20.01)_2022-04-19_20240430080411.pdf</v>
      </c>
      <c r="C2160" s="1" t="n">
        <v>5</v>
      </c>
      <c r="D2160" s="1" t="n">
        <v>2</v>
      </c>
      <c r="E2160" s="1" t="n">
        <v>2</v>
      </c>
      <c r="F2160" s="3" t="s">
        <v>27</v>
      </c>
      <c r="G2160" s="3" t="s">
        <v>8793</v>
      </c>
      <c r="H2160" s="1" t="s">
        <v>22</v>
      </c>
      <c r="I2160" s="1" t="n">
        <v>20240430080411</v>
      </c>
      <c r="J2160" s="3" t="s">
        <v>8794</v>
      </c>
      <c r="K2160" s="3" t="s">
        <v>8795</v>
      </c>
      <c r="L2160" s="3" t="s">
        <v>8796</v>
      </c>
      <c r="M2160" s="3" t="n">
        <v>1002663</v>
      </c>
      <c r="N2160" s="3" t="s">
        <v>8797</v>
      </c>
      <c r="O2160" s="1" t="n">
        <v>986277</v>
      </c>
      <c r="P2160" s="1" t="n">
        <v>98.37</v>
      </c>
      <c r="Q2160" s="1" t="s">
        <v>20</v>
      </c>
      <c r="R2160" s="1" t="s">
        <v>27</v>
      </c>
      <c r="S2160" s="1" t="s">
        <v>28</v>
      </c>
      <c r="T2160" s="1" t="s">
        <v>29</v>
      </c>
    </row>
    <row r="2161" customFormat="false" ht="18.7" hidden="false" customHeight="true" outlineLevel="0" collapsed="false">
      <c r="A2161" s="1" t="n">
        <v>2160</v>
      </c>
      <c r="B2161" s="6" t="str">
        <f aca="false">HYPERLINK("https://mncourtfraud.com/file/MCRO_27-CR-21-6710_Order-Evaluation for Competency to Proceed (Rule 20.01)_2022-11-23_20240430080354.pdf","MCRO_27-CR-21-6710_Order-Evaluation for Competency to Proceed (Rule 20.01)_2022-11-23_20240430080354.pdf")</f>
        <v>MCRO_27-CR-21-6710_Order-Evaluation for Competency to Proceed (Rule 20.01)_2022-11-23_20240430080354.pdf</v>
      </c>
      <c r="C2161" s="1" t="n">
        <v>3</v>
      </c>
      <c r="D2161" s="1" t="n">
        <v>1</v>
      </c>
      <c r="E2161" s="1" t="n">
        <v>1</v>
      </c>
      <c r="F2161" s="3" t="s">
        <v>20</v>
      </c>
      <c r="G2161" s="3" t="s">
        <v>8798</v>
      </c>
      <c r="H2161" s="1" t="s">
        <v>22</v>
      </c>
      <c r="I2161" s="1" t="n">
        <v>20240430080354</v>
      </c>
      <c r="J2161" s="3" t="s">
        <v>8799</v>
      </c>
      <c r="K2161" s="3" t="s">
        <v>8800</v>
      </c>
      <c r="L2161" s="3" t="s">
        <v>8801</v>
      </c>
      <c r="M2161" s="3" t="n">
        <v>810292</v>
      </c>
      <c r="N2161" s="3" t="s">
        <v>2520</v>
      </c>
      <c r="O2161" s="1" t="n">
        <v>793906</v>
      </c>
      <c r="P2161" s="1" t="n">
        <v>97.98</v>
      </c>
      <c r="Q2161" s="1" t="s">
        <v>20</v>
      </c>
      <c r="R2161" s="1" t="s">
        <v>27</v>
      </c>
      <c r="S2161" s="1" t="s">
        <v>28</v>
      </c>
      <c r="T2161" s="1" t="s">
        <v>29</v>
      </c>
    </row>
    <row r="2162" customFormat="false" ht="18.7" hidden="false" customHeight="true" outlineLevel="0" collapsed="false">
      <c r="A2162" s="1" t="n">
        <v>2161</v>
      </c>
      <c r="B2162" s="6" t="str">
        <f aca="false">HYPERLINK("https://mncourtfraud.com/file/MCRO_27-CR-21-6710_Order-Evaluation for Competency to Proceed (Rule 20.01)_2023-08-14_20240430080351.pdf","MCRO_27-CR-21-6710_Order-Evaluation for Competency to Proceed (Rule 20.01)_2023-08-14_20240430080351.pdf")</f>
        <v>MCRO_27-CR-21-6710_Order-Evaluation for Competency to Proceed (Rule 20.01)_2023-08-14_20240430080351.pdf</v>
      </c>
      <c r="C2162" s="1" t="n">
        <v>6</v>
      </c>
      <c r="D2162" s="1" t="n">
        <v>2</v>
      </c>
      <c r="E2162" s="1" t="n">
        <v>2</v>
      </c>
      <c r="F2162" s="3" t="s">
        <v>27</v>
      </c>
      <c r="G2162" s="3" t="s">
        <v>8802</v>
      </c>
      <c r="H2162" s="1" t="s">
        <v>22</v>
      </c>
      <c r="I2162" s="1" t="n">
        <v>20240430080351</v>
      </c>
      <c r="J2162" s="3" t="s">
        <v>8803</v>
      </c>
      <c r="K2162" s="3" t="s">
        <v>8804</v>
      </c>
      <c r="L2162" s="3" t="s">
        <v>8805</v>
      </c>
      <c r="M2162" s="3" t="n">
        <v>875623</v>
      </c>
      <c r="N2162" s="3" t="s">
        <v>554</v>
      </c>
      <c r="O2162" s="1" t="n">
        <v>859237</v>
      </c>
      <c r="P2162" s="1" t="n">
        <v>98.13</v>
      </c>
      <c r="Q2162" s="1" t="s">
        <v>20</v>
      </c>
      <c r="R2162" s="1" t="s">
        <v>27</v>
      </c>
      <c r="S2162" s="1" t="s">
        <v>28</v>
      </c>
      <c r="T2162" s="1" t="s">
        <v>29</v>
      </c>
    </row>
    <row r="2163" customFormat="false" ht="18.7" hidden="false" customHeight="true" outlineLevel="0" collapsed="false">
      <c r="A2163" s="1" t="n">
        <v>2162</v>
      </c>
      <c r="B2163" s="6" t="str">
        <f aca="false">HYPERLINK("https://mncourtfraud.com/file/MCRO_27-CR-21-6710_Order-Evaluation for Competency to Proceed (Rule 20.01)_2023-12-04_20240430080349.pdf","MCRO_27-CR-21-6710_Order-Evaluation for Competency to Proceed (Rule 20.01)_2023-12-04_20240430080349.pdf")</f>
        <v>MCRO_27-CR-21-6710_Order-Evaluation for Competency to Proceed (Rule 20.01)_2023-12-04_20240430080349.pdf</v>
      </c>
      <c r="C2163" s="1" t="n">
        <v>4</v>
      </c>
      <c r="D2163" s="1" t="n">
        <v>1</v>
      </c>
      <c r="E2163" s="1" t="n">
        <v>1</v>
      </c>
      <c r="F2163" s="3" t="s">
        <v>20</v>
      </c>
      <c r="G2163" s="3" t="s">
        <v>8806</v>
      </c>
      <c r="H2163" s="1" t="s">
        <v>22</v>
      </c>
      <c r="I2163" s="1" t="n">
        <v>20240430080349</v>
      </c>
      <c r="J2163" s="3" t="s">
        <v>8807</v>
      </c>
      <c r="K2163" s="3" t="s">
        <v>8808</v>
      </c>
      <c r="L2163" s="3" t="s">
        <v>8809</v>
      </c>
      <c r="M2163" s="3" t="n">
        <v>152877</v>
      </c>
      <c r="N2163" s="3" t="s">
        <v>1159</v>
      </c>
      <c r="O2163" s="1" t="n">
        <v>136491</v>
      </c>
      <c r="P2163" s="1" t="n">
        <v>89.28</v>
      </c>
      <c r="Q2163" s="1" t="s">
        <v>20</v>
      </c>
      <c r="R2163" s="1" t="s">
        <v>27</v>
      </c>
      <c r="S2163" s="1" t="s">
        <v>28</v>
      </c>
      <c r="T2163" s="1" t="s">
        <v>29</v>
      </c>
    </row>
    <row r="2164" customFormat="false" ht="18.7" hidden="false" customHeight="true" outlineLevel="0" collapsed="false">
      <c r="A2164" s="1" t="n">
        <v>2163</v>
      </c>
      <c r="B2164" s="6" t="str">
        <f aca="false">HYPERLINK("https://mncourtfraud.com/file/MCRO_27-CR-21-6710_Order-Evaluation for Competency to Proceed (Rule 20.01)_2024-02-09_20240430080348.pdf","MCRO_27-CR-21-6710_Order-Evaluation for Competency to Proceed (Rule 20.01)_2024-02-09_20240430080348.pdf")</f>
        <v>MCRO_27-CR-21-6710_Order-Evaluation for Competency to Proceed (Rule 20.01)_2024-02-09_20240430080348.pdf</v>
      </c>
      <c r="C2164" s="1" t="n">
        <v>4</v>
      </c>
      <c r="D2164" s="1" t="n">
        <v>1</v>
      </c>
      <c r="E2164" s="1" t="n">
        <v>1</v>
      </c>
      <c r="F2164" s="3" t="s">
        <v>20</v>
      </c>
      <c r="G2164" s="3" t="s">
        <v>8810</v>
      </c>
      <c r="H2164" s="1" t="s">
        <v>22</v>
      </c>
      <c r="I2164" s="1" t="n">
        <v>20240430080348</v>
      </c>
      <c r="J2164" s="3" t="s">
        <v>8811</v>
      </c>
      <c r="K2164" s="3" t="s">
        <v>8812</v>
      </c>
      <c r="L2164" s="3" t="s">
        <v>8813</v>
      </c>
      <c r="M2164" s="3" t="n">
        <v>148022</v>
      </c>
      <c r="N2164" s="3" t="s">
        <v>1159</v>
      </c>
      <c r="O2164" s="1" t="n">
        <v>131636</v>
      </c>
      <c r="P2164" s="1" t="n">
        <v>88.93</v>
      </c>
      <c r="Q2164" s="1" t="s">
        <v>20</v>
      </c>
      <c r="R2164" s="1" t="s">
        <v>27</v>
      </c>
      <c r="S2164" s="1" t="s">
        <v>28</v>
      </c>
      <c r="T2164" s="1" t="s">
        <v>29</v>
      </c>
    </row>
    <row r="2165" customFormat="false" ht="18.7" hidden="false" customHeight="true" outlineLevel="0" collapsed="false">
      <c r="A2165" s="1" t="n">
        <v>2164</v>
      </c>
      <c r="B2165" s="6" t="str">
        <f aca="false">HYPERLINK("https://mncourtfraud.com/file/MCRO_27-CR-21-6710_Order for Conditional Release_2022-02-14_20240430080416.pdf","MCRO_27-CR-21-6710_Order for Conditional Release_2022-02-14_20240430080416.pdf")</f>
        <v>MCRO_27-CR-21-6710_Order for Conditional Release_2022-02-14_20240430080416.pdf</v>
      </c>
      <c r="C2165" s="1" t="n">
        <v>4</v>
      </c>
      <c r="D2165" s="1" t="n">
        <v>1</v>
      </c>
      <c r="E2165" s="1" t="n">
        <v>1</v>
      </c>
      <c r="F2165" s="3" t="s">
        <v>20</v>
      </c>
      <c r="G2165" s="3" t="s">
        <v>8814</v>
      </c>
      <c r="H2165" s="1" t="s">
        <v>22</v>
      </c>
      <c r="I2165" s="1" t="n">
        <v>20240430080416</v>
      </c>
      <c r="J2165" s="3" t="s">
        <v>8815</v>
      </c>
      <c r="K2165" s="3" t="s">
        <v>8816</v>
      </c>
      <c r="L2165" s="3" t="s">
        <v>8817</v>
      </c>
      <c r="M2165" s="3" t="n">
        <v>138169</v>
      </c>
      <c r="N2165" s="3" t="s">
        <v>456</v>
      </c>
      <c r="O2165" s="1" t="n">
        <v>121783</v>
      </c>
      <c r="P2165" s="1" t="n">
        <v>88.14</v>
      </c>
      <c r="Q2165" s="1" t="s">
        <v>20</v>
      </c>
      <c r="R2165" s="1" t="s">
        <v>27</v>
      </c>
      <c r="S2165" s="1" t="s">
        <v>28</v>
      </c>
      <c r="T2165" s="1" t="s">
        <v>29</v>
      </c>
    </row>
    <row r="2166" customFormat="false" ht="18.7" hidden="false" customHeight="true" outlineLevel="0" collapsed="false">
      <c r="A2166" s="1" t="n">
        <v>2165</v>
      </c>
      <c r="B2166" s="6" t="str">
        <f aca="false">HYPERLINK("https://mncourtfraud.com/file/MCRO_27-CR-21-6710_Order for Conditional Release_2022-04-14_20240430080415.pdf","MCRO_27-CR-21-6710_Order for Conditional Release_2022-04-14_20240430080415.pdf")</f>
        <v>MCRO_27-CR-21-6710_Order for Conditional Release_2022-04-14_20240430080415.pdf</v>
      </c>
      <c r="C2166" s="1" t="n">
        <v>4</v>
      </c>
      <c r="D2166" s="1" t="n">
        <v>1</v>
      </c>
      <c r="E2166" s="1" t="n">
        <v>1</v>
      </c>
      <c r="F2166" s="3" t="s">
        <v>20</v>
      </c>
      <c r="G2166" s="3" t="s">
        <v>8818</v>
      </c>
      <c r="H2166" s="1" t="s">
        <v>22</v>
      </c>
      <c r="I2166" s="1" t="n">
        <v>20240430080415</v>
      </c>
      <c r="J2166" s="3" t="s">
        <v>8819</v>
      </c>
      <c r="K2166" s="3" t="s">
        <v>8820</v>
      </c>
      <c r="L2166" s="3" t="s">
        <v>8821</v>
      </c>
      <c r="M2166" s="3" t="n">
        <v>171186</v>
      </c>
      <c r="N2166" s="3" t="s">
        <v>456</v>
      </c>
      <c r="O2166" s="1" t="n">
        <v>154800</v>
      </c>
      <c r="P2166" s="1" t="n">
        <v>90.43</v>
      </c>
      <c r="Q2166" s="1" t="s">
        <v>20</v>
      </c>
      <c r="R2166" s="1" t="s">
        <v>27</v>
      </c>
      <c r="S2166" s="1" t="s">
        <v>28</v>
      </c>
      <c r="T2166" s="1" t="s">
        <v>29</v>
      </c>
    </row>
    <row r="2167" customFormat="false" ht="18.7" hidden="false" customHeight="true" outlineLevel="0" collapsed="false">
      <c r="A2167" s="1" t="n">
        <v>2166</v>
      </c>
      <c r="B2167" s="6" t="str">
        <f aca="false">HYPERLINK("https://mncourtfraud.com/file/MCRO_27-CR-21-6710_Order for Conditional Release_2022-04-20_20240430080407.pdf","MCRO_27-CR-21-6710_Order for Conditional Release_2022-04-20_20240430080407.pdf")</f>
        <v>MCRO_27-CR-21-6710_Order for Conditional Release_2022-04-20_20240430080407.pdf</v>
      </c>
      <c r="C2167" s="1" t="n">
        <v>5</v>
      </c>
      <c r="D2167" s="1" t="n">
        <v>3</v>
      </c>
      <c r="E2167" s="1" t="n">
        <v>3</v>
      </c>
      <c r="F2167" s="3" t="s">
        <v>20</v>
      </c>
      <c r="G2167" s="3" t="s">
        <v>8822</v>
      </c>
      <c r="H2167" s="1" t="s">
        <v>22</v>
      </c>
      <c r="I2167" s="1" t="n">
        <v>20240430080407</v>
      </c>
      <c r="J2167" s="3" t="s">
        <v>8823</v>
      </c>
      <c r="K2167" s="3" t="s">
        <v>8824</v>
      </c>
      <c r="L2167" s="3" t="s">
        <v>8825</v>
      </c>
      <c r="M2167" s="3" t="n">
        <v>299058</v>
      </c>
      <c r="N2167" s="3" t="s">
        <v>2718</v>
      </c>
      <c r="O2167" s="1" t="n">
        <v>282672</v>
      </c>
      <c r="P2167" s="1" t="n">
        <v>94.52</v>
      </c>
      <c r="Q2167" s="1" t="s">
        <v>20</v>
      </c>
      <c r="R2167" s="1" t="s">
        <v>27</v>
      </c>
      <c r="S2167" s="1" t="s">
        <v>28</v>
      </c>
      <c r="T2167" s="1" t="s">
        <v>29</v>
      </c>
    </row>
    <row r="2168" customFormat="false" ht="18.7" hidden="false" customHeight="true" outlineLevel="0" collapsed="false">
      <c r="A2168" s="1" t="n">
        <v>2167</v>
      </c>
      <c r="B2168" s="6" t="str">
        <f aca="false">HYPERLINK("https://mncourtfraud.com/file/MCRO_27-CR-21-6710_Order for Conditional Release_2022-08-01_20240430080359.pdf","MCRO_27-CR-21-6710_Order for Conditional Release_2022-08-01_20240430080359.pdf")</f>
        <v>MCRO_27-CR-21-6710_Order for Conditional Release_2022-08-01_20240430080359.pdf</v>
      </c>
      <c r="C2168" s="1" t="n">
        <v>4</v>
      </c>
      <c r="D2168" s="1" t="n">
        <v>1</v>
      </c>
      <c r="E2168" s="1" t="n">
        <v>1</v>
      </c>
      <c r="F2168" s="3" t="s">
        <v>20</v>
      </c>
      <c r="G2168" s="3" t="s">
        <v>8826</v>
      </c>
      <c r="H2168" s="1" t="s">
        <v>22</v>
      </c>
      <c r="I2168" s="1" t="n">
        <v>20240430080359</v>
      </c>
      <c r="J2168" s="3" t="s">
        <v>8827</v>
      </c>
      <c r="K2168" s="3" t="s">
        <v>8828</v>
      </c>
      <c r="L2168" s="3" t="s">
        <v>8829</v>
      </c>
      <c r="M2168" s="3" t="n">
        <v>139680</v>
      </c>
      <c r="N2168" s="3" t="s">
        <v>456</v>
      </c>
      <c r="O2168" s="1" t="n">
        <v>123294</v>
      </c>
      <c r="P2168" s="1" t="n">
        <v>88.27</v>
      </c>
      <c r="Q2168" s="1" t="s">
        <v>20</v>
      </c>
      <c r="R2168" s="1" t="s">
        <v>27</v>
      </c>
      <c r="S2168" s="1" t="s">
        <v>28</v>
      </c>
      <c r="T2168" s="1" t="s">
        <v>29</v>
      </c>
    </row>
    <row r="2169" customFormat="false" ht="18.7" hidden="false" customHeight="true" outlineLevel="0" collapsed="false">
      <c r="A2169" s="1" t="n">
        <v>2168</v>
      </c>
      <c r="B2169" s="6" t="str">
        <f aca="false">HYPERLINK("https://mncourtfraud.com/file/MCRO_27-CR-21-6710_Request for Disclosure_2022-05-10_20240430080404.pdf","MCRO_27-CR-21-6710_Request for Disclosure_2022-05-10_20240430080404.pdf")</f>
        <v>MCRO_27-CR-21-6710_Request for Disclosure_2022-05-10_20240430080404.pdf</v>
      </c>
      <c r="C2169" s="1" t="n">
        <v>3</v>
      </c>
      <c r="D2169" s="1" t="n">
        <v>1</v>
      </c>
      <c r="E2169" s="1" t="n">
        <v>1</v>
      </c>
      <c r="F2169" s="3" t="s">
        <v>20</v>
      </c>
      <c r="G2169" s="3" t="s">
        <v>8830</v>
      </c>
      <c r="H2169" s="1" t="s">
        <v>22</v>
      </c>
      <c r="I2169" s="1" t="n">
        <v>20240430080404</v>
      </c>
      <c r="J2169" s="3" t="s">
        <v>8831</v>
      </c>
      <c r="K2169" s="3" t="s">
        <v>8832</v>
      </c>
      <c r="L2169" s="3" t="s">
        <v>8833</v>
      </c>
      <c r="M2169" s="3" t="n">
        <v>159570</v>
      </c>
      <c r="N2169" s="3" t="s">
        <v>3431</v>
      </c>
      <c r="O2169" s="1" t="n">
        <v>143184</v>
      </c>
      <c r="P2169" s="1" t="n">
        <v>89.73</v>
      </c>
      <c r="Q2169" s="1" t="s">
        <v>20</v>
      </c>
      <c r="R2169" s="1" t="s">
        <v>27</v>
      </c>
      <c r="S2169" s="1" t="s">
        <v>28</v>
      </c>
      <c r="T2169" s="1" t="s">
        <v>29</v>
      </c>
    </row>
    <row r="2170" customFormat="false" ht="18.7" hidden="false" customHeight="true" outlineLevel="0" collapsed="false">
      <c r="A2170" s="1" t="n">
        <v>2169</v>
      </c>
      <c r="B2170" s="6" t="str">
        <f aca="false">HYPERLINK("https://mncourtfraud.com/file/MCRO_27-CR-21-6710_Returned Mail_2021-04-20_20240430080423.pdf","MCRO_27-CR-21-6710_Returned Mail_2021-04-20_20240430080423.pdf")</f>
        <v>MCRO_27-CR-21-6710_Returned Mail_2021-04-20_20240430080423.pdf</v>
      </c>
      <c r="C2170" s="1" t="n">
        <v>4</v>
      </c>
      <c r="D2170" s="1" t="n">
        <v>1</v>
      </c>
      <c r="E2170" s="1" t="n">
        <v>1</v>
      </c>
      <c r="F2170" s="3" t="s">
        <v>20</v>
      </c>
      <c r="G2170" s="3" t="s">
        <v>8834</v>
      </c>
      <c r="H2170" s="1" t="s">
        <v>22</v>
      </c>
      <c r="I2170" s="1" t="n">
        <v>20240430080423</v>
      </c>
      <c r="J2170" s="3" t="s">
        <v>8835</v>
      </c>
      <c r="K2170" s="3" t="s">
        <v>8836</v>
      </c>
      <c r="L2170" s="3" t="s">
        <v>8837</v>
      </c>
      <c r="M2170" s="3" t="n">
        <v>118425</v>
      </c>
      <c r="N2170" s="3" t="s">
        <v>1065</v>
      </c>
      <c r="O2170" s="1" t="n">
        <v>102039</v>
      </c>
      <c r="P2170" s="1" t="n">
        <v>86.16</v>
      </c>
      <c r="Q2170" s="1" t="s">
        <v>20</v>
      </c>
      <c r="R2170" s="1" t="s">
        <v>27</v>
      </c>
      <c r="S2170" s="1" t="s">
        <v>28</v>
      </c>
      <c r="T2170" s="1" t="s">
        <v>29</v>
      </c>
    </row>
    <row r="2171" customFormat="false" ht="18.7" hidden="false" customHeight="true" outlineLevel="0" collapsed="false">
      <c r="A2171" s="1" t="n">
        <v>2170</v>
      </c>
      <c r="B2171" s="6" t="str">
        <f aca="false">HYPERLINK("https://mncourtfraud.com/file/MCRO_27-CR-21-6710_Returned Mail_2021-12-13_20240430080418.pdf","MCRO_27-CR-21-6710_Returned Mail_2021-12-13_20240430080418.pdf")</f>
        <v>MCRO_27-CR-21-6710_Returned Mail_2021-12-13_20240430080418.pdf</v>
      </c>
      <c r="C2171" s="1" t="n">
        <v>4</v>
      </c>
      <c r="D2171" s="1" t="n">
        <v>1</v>
      </c>
      <c r="E2171" s="1" t="n">
        <v>1</v>
      </c>
      <c r="F2171" s="3" t="s">
        <v>20</v>
      </c>
      <c r="G2171" s="3" t="s">
        <v>8838</v>
      </c>
      <c r="H2171" s="1" t="s">
        <v>22</v>
      </c>
      <c r="I2171" s="1" t="n">
        <v>20240430080418</v>
      </c>
      <c r="J2171" s="3" t="s">
        <v>8839</v>
      </c>
      <c r="K2171" s="3" t="s">
        <v>8840</v>
      </c>
      <c r="L2171" s="3" t="s">
        <v>8841</v>
      </c>
      <c r="M2171" s="3" t="n">
        <v>225191</v>
      </c>
      <c r="N2171" s="3" t="s">
        <v>456</v>
      </c>
      <c r="O2171" s="1" t="n">
        <v>208805</v>
      </c>
      <c r="P2171" s="1" t="n">
        <v>92.72</v>
      </c>
      <c r="Q2171" s="1" t="s">
        <v>20</v>
      </c>
      <c r="R2171" s="1" t="s">
        <v>27</v>
      </c>
      <c r="S2171" s="1" t="s">
        <v>28</v>
      </c>
      <c r="T2171" s="1" t="s">
        <v>29</v>
      </c>
    </row>
    <row r="2172" customFormat="false" ht="18.7" hidden="false" customHeight="true" outlineLevel="0" collapsed="false">
      <c r="A2172" s="1" t="n">
        <v>2171</v>
      </c>
      <c r="B2172" s="6" t="str">
        <f aca="false">HYPERLINK("https://mncourtfraud.com/file/MCRO_27-CR-21-6710_Returned Mail_2022-06-07_20240430080400.pdf","MCRO_27-CR-21-6710_Returned Mail_2022-06-07_20240430080400.pdf")</f>
        <v>MCRO_27-CR-21-6710_Returned Mail_2022-06-07_20240430080400.pdf</v>
      </c>
      <c r="C2172" s="1" t="n">
        <v>4</v>
      </c>
      <c r="D2172" s="1" t="n">
        <v>1</v>
      </c>
      <c r="E2172" s="1" t="n">
        <v>1</v>
      </c>
      <c r="F2172" s="3" t="s">
        <v>20</v>
      </c>
      <c r="G2172" s="3" t="s">
        <v>8842</v>
      </c>
      <c r="H2172" s="1" t="s">
        <v>22</v>
      </c>
      <c r="I2172" s="1" t="n">
        <v>20240430080400</v>
      </c>
      <c r="J2172" s="3" t="s">
        <v>8843</v>
      </c>
      <c r="K2172" s="3" t="s">
        <v>8844</v>
      </c>
      <c r="L2172" s="3" t="s">
        <v>8845</v>
      </c>
      <c r="M2172" s="3" t="n">
        <v>418477</v>
      </c>
      <c r="N2172" s="3" t="s">
        <v>456</v>
      </c>
      <c r="O2172" s="1" t="n">
        <v>402091</v>
      </c>
      <c r="P2172" s="1" t="n">
        <v>96.08</v>
      </c>
      <c r="Q2172" s="1" t="s">
        <v>20</v>
      </c>
      <c r="R2172" s="1" t="s">
        <v>27</v>
      </c>
      <c r="S2172" s="1" t="s">
        <v>28</v>
      </c>
      <c r="T2172" s="1" t="s">
        <v>29</v>
      </c>
    </row>
    <row r="2173" customFormat="false" ht="18.7" hidden="false" customHeight="true" outlineLevel="0" collapsed="false">
      <c r="A2173" s="1" t="n">
        <v>2172</v>
      </c>
      <c r="B2173" s="6" t="str">
        <f aca="false">HYPERLINK("https://mncourtfraud.com/file/MCRO_27-CR-21-6710_Warrant Issued_2021-06-08_20240430080422.pdf","MCRO_27-CR-21-6710_Warrant Issued_2021-06-08_20240430080422.pdf")</f>
        <v>MCRO_27-CR-21-6710_Warrant Issued_2021-06-08_20240430080422.pdf</v>
      </c>
      <c r="C2173" s="1" t="n">
        <v>3</v>
      </c>
      <c r="D2173" s="1" t="n">
        <v>1</v>
      </c>
      <c r="E2173" s="1" t="n">
        <v>1</v>
      </c>
      <c r="F2173" s="3" t="s">
        <v>20</v>
      </c>
      <c r="G2173" s="3" t="s">
        <v>8846</v>
      </c>
      <c r="H2173" s="1" t="s">
        <v>22</v>
      </c>
      <c r="I2173" s="1" t="n">
        <v>20240430080422</v>
      </c>
      <c r="J2173" s="3" t="s">
        <v>8847</v>
      </c>
      <c r="K2173" s="3" t="s">
        <v>8848</v>
      </c>
      <c r="L2173" s="3" t="s">
        <v>8849</v>
      </c>
      <c r="M2173" s="3" t="n">
        <v>186070</v>
      </c>
      <c r="N2173" s="3" t="s">
        <v>2358</v>
      </c>
      <c r="O2173" s="1" t="n">
        <v>169684</v>
      </c>
      <c r="P2173" s="1" t="n">
        <v>91.19</v>
      </c>
      <c r="Q2173" s="1" t="s">
        <v>20</v>
      </c>
      <c r="R2173" s="1" t="s">
        <v>27</v>
      </c>
      <c r="S2173" s="1" t="s">
        <v>28</v>
      </c>
      <c r="T2173" s="1" t="s">
        <v>29</v>
      </c>
    </row>
    <row r="2174" customFormat="false" ht="18.7" hidden="false" customHeight="true" outlineLevel="0" collapsed="false">
      <c r="A2174" s="1" t="n">
        <v>2173</v>
      </c>
      <c r="B2174" s="6" t="str">
        <f aca="false">HYPERLINK("https://mncourtfraud.com/file/MCRO_27-CR-21-6710_Witness List_2022-05-10_20240430080406.pdf","MCRO_27-CR-21-6710_Witness List_2022-05-10_20240430080406.pdf")</f>
        <v>MCRO_27-CR-21-6710_Witness List_2022-05-10_20240430080406.pdf</v>
      </c>
      <c r="C2174" s="1" t="n">
        <v>3</v>
      </c>
      <c r="D2174" s="1" t="n">
        <v>1</v>
      </c>
      <c r="E2174" s="1" t="n">
        <v>1</v>
      </c>
      <c r="F2174" s="3" t="s">
        <v>20</v>
      </c>
      <c r="G2174" s="3" t="s">
        <v>8850</v>
      </c>
      <c r="H2174" s="1" t="s">
        <v>22</v>
      </c>
      <c r="I2174" s="1" t="n">
        <v>20240430080406</v>
      </c>
      <c r="J2174" s="3" t="s">
        <v>8851</v>
      </c>
      <c r="K2174" s="3" t="s">
        <v>8852</v>
      </c>
      <c r="L2174" s="3" t="s">
        <v>8853</v>
      </c>
      <c r="M2174" s="3" t="n">
        <v>147569</v>
      </c>
      <c r="N2174" s="3" t="s">
        <v>409</v>
      </c>
      <c r="O2174" s="1" t="n">
        <v>131183</v>
      </c>
      <c r="P2174" s="1" t="n">
        <v>88.9</v>
      </c>
      <c r="Q2174" s="1" t="s">
        <v>20</v>
      </c>
      <c r="R2174" s="1" t="s">
        <v>27</v>
      </c>
      <c r="S2174" s="1" t="s">
        <v>28</v>
      </c>
      <c r="T2174" s="1" t="s">
        <v>29</v>
      </c>
    </row>
    <row r="2175" customFormat="false" ht="18.7" hidden="false" customHeight="true" outlineLevel="0" collapsed="false">
      <c r="A2175" s="1" t="n">
        <v>2174</v>
      </c>
      <c r="B2175" s="6" t="str">
        <f aca="false">HYPERLINK("https://mncourtfraud.com/file/MCRO_27-CR-21-6904_Dismissal by Prosecuting Attorney_2023-10-31_20240430080454.pdf","MCRO_27-CR-21-6904_Dismissal by Prosecuting Attorney_2023-10-31_20240430080454.pdf")</f>
        <v>MCRO_27-CR-21-6904_Dismissal by Prosecuting Attorney_2023-10-31_20240430080454.pdf</v>
      </c>
      <c r="C2175" s="1" t="n">
        <v>3</v>
      </c>
      <c r="D2175" s="1" t="n">
        <v>1</v>
      </c>
      <c r="E2175" s="1" t="n">
        <v>1</v>
      </c>
      <c r="F2175" s="3" t="s">
        <v>20</v>
      </c>
      <c r="G2175" s="3" t="s">
        <v>8854</v>
      </c>
      <c r="H2175" s="1" t="s">
        <v>22</v>
      </c>
      <c r="I2175" s="1" t="n">
        <v>20240430080454</v>
      </c>
      <c r="J2175" s="3" t="s">
        <v>8855</v>
      </c>
      <c r="K2175" s="3" t="s">
        <v>8856</v>
      </c>
      <c r="L2175" s="3" t="s">
        <v>8857</v>
      </c>
      <c r="M2175" s="3" t="n">
        <v>136271</v>
      </c>
      <c r="N2175" s="3" t="s">
        <v>366</v>
      </c>
      <c r="O2175" s="1" t="n">
        <v>119885</v>
      </c>
      <c r="P2175" s="1" t="n">
        <v>87.98</v>
      </c>
      <c r="Q2175" s="1" t="s">
        <v>20</v>
      </c>
      <c r="R2175" s="1" t="s">
        <v>27</v>
      </c>
      <c r="S2175" s="1" t="s">
        <v>28</v>
      </c>
      <c r="T2175" s="1" t="s">
        <v>29</v>
      </c>
    </row>
    <row r="2176" customFormat="false" ht="18.7" hidden="false" customHeight="true" outlineLevel="0" collapsed="false">
      <c r="A2176" s="1" t="n">
        <v>2175</v>
      </c>
      <c r="B2176" s="6" t="str">
        <f aca="false">HYPERLINK("https://mncourtfraud.com/file/MCRO_27-CR-21-6904_E-filed Comp-Summons_2021-04-07_20240430080514.pdf","MCRO_27-CR-21-6904_E-filed Comp-Summons_2021-04-07_20240430080514.pdf")</f>
        <v>MCRO_27-CR-21-6904_E-filed Comp-Summons_2021-04-07_20240430080514.pdf</v>
      </c>
      <c r="C2176" s="1" t="n">
        <v>4</v>
      </c>
      <c r="D2176" s="1" t="n">
        <v>2</v>
      </c>
      <c r="E2176" s="1" t="n">
        <v>2</v>
      </c>
      <c r="F2176" s="3" t="s">
        <v>20</v>
      </c>
      <c r="G2176" s="3" t="s">
        <v>8858</v>
      </c>
      <c r="H2176" s="1" t="s">
        <v>22</v>
      </c>
      <c r="I2176" s="1" t="n">
        <v>20240430080514</v>
      </c>
      <c r="J2176" s="3" t="s">
        <v>8859</v>
      </c>
      <c r="K2176" s="3" t="s">
        <v>8860</v>
      </c>
      <c r="L2176" s="3" t="s">
        <v>8861</v>
      </c>
      <c r="M2176" s="3" t="n">
        <v>502987</v>
      </c>
      <c r="N2176" s="3" t="s">
        <v>5490</v>
      </c>
      <c r="O2176" s="1" t="n">
        <v>486601</v>
      </c>
      <c r="P2176" s="1" t="n">
        <v>96.74</v>
      </c>
      <c r="Q2176" s="1" t="s">
        <v>20</v>
      </c>
      <c r="R2176" s="1" t="s">
        <v>27</v>
      </c>
      <c r="S2176" s="1" t="s">
        <v>28</v>
      </c>
      <c r="T2176" s="1" t="s">
        <v>29</v>
      </c>
    </row>
    <row r="2177" customFormat="false" ht="18.7" hidden="false" customHeight="true" outlineLevel="0" collapsed="false">
      <c r="A2177" s="1" t="n">
        <v>2176</v>
      </c>
      <c r="B2177" s="6" t="str">
        <f aca="false">HYPERLINK("https://mncourtfraud.com/file/MCRO_27-CR-21-6904_Finding of Incompetency and Order_2023-05-02_20240430080456.pdf","MCRO_27-CR-21-6904_Finding of Incompetency and Order_2023-05-02_20240430080456.pdf")</f>
        <v>MCRO_27-CR-21-6904_Finding of Incompetency and Order_2023-05-02_20240430080456.pdf</v>
      </c>
      <c r="C2177" s="1" t="n">
        <v>9</v>
      </c>
      <c r="D2177" s="1" t="n">
        <v>3</v>
      </c>
      <c r="E2177" s="1" t="n">
        <v>3</v>
      </c>
      <c r="F2177" s="3" t="s">
        <v>27</v>
      </c>
      <c r="G2177" s="3" t="s">
        <v>8862</v>
      </c>
      <c r="H2177" s="1" t="s">
        <v>22</v>
      </c>
      <c r="I2177" s="1" t="n">
        <v>20240430080456</v>
      </c>
      <c r="J2177" s="3" t="s">
        <v>8863</v>
      </c>
      <c r="K2177" s="3" t="s">
        <v>8864</v>
      </c>
      <c r="L2177" s="3" t="s">
        <v>8865</v>
      </c>
      <c r="M2177" s="3" t="n">
        <v>951848</v>
      </c>
      <c r="N2177" s="3" t="s">
        <v>3264</v>
      </c>
      <c r="O2177" s="1" t="n">
        <v>935462</v>
      </c>
      <c r="P2177" s="1" t="n">
        <v>98.28</v>
      </c>
      <c r="Q2177" s="1" t="s">
        <v>20</v>
      </c>
      <c r="R2177" s="1" t="s">
        <v>27</v>
      </c>
      <c r="S2177" s="1" t="s">
        <v>28</v>
      </c>
      <c r="T2177" s="1" t="s">
        <v>29</v>
      </c>
    </row>
    <row r="2178" customFormat="false" ht="18.7" hidden="false" customHeight="true" outlineLevel="0" collapsed="false">
      <c r="A2178" s="1" t="n">
        <v>2177</v>
      </c>
      <c r="B2178" s="6" t="str">
        <f aca="false">HYPERLINK("https://mncourtfraud.com/file/MCRO_27-CR-21-6904_Finding of Incompetency and Order_2023-11-01_20240430080453.pdf","MCRO_27-CR-21-6904_Finding of Incompetency and Order_2023-11-01_20240430080453.pdf")</f>
        <v>MCRO_27-CR-21-6904_Finding of Incompetency and Order_2023-11-01_20240430080453.pdf</v>
      </c>
      <c r="C2178" s="1" t="n">
        <v>7</v>
      </c>
      <c r="D2178" s="1" t="n">
        <v>2</v>
      </c>
      <c r="E2178" s="1" t="n">
        <v>2</v>
      </c>
      <c r="F2178" s="3" t="s">
        <v>20</v>
      </c>
      <c r="G2178" s="3" t="s">
        <v>8866</v>
      </c>
      <c r="H2178" s="1" t="s">
        <v>22</v>
      </c>
      <c r="I2178" s="1" t="n">
        <v>20240430080453</v>
      </c>
      <c r="J2178" s="3" t="s">
        <v>8867</v>
      </c>
      <c r="K2178" s="3" t="s">
        <v>8868</v>
      </c>
      <c r="L2178" s="3" t="s">
        <v>8869</v>
      </c>
      <c r="M2178" s="3" t="n">
        <v>924944</v>
      </c>
      <c r="N2178" s="3" t="s">
        <v>4961</v>
      </c>
      <c r="O2178" s="1" t="n">
        <v>908558</v>
      </c>
      <c r="P2178" s="1" t="n">
        <v>98.23</v>
      </c>
      <c r="Q2178" s="1" t="s">
        <v>20</v>
      </c>
      <c r="R2178" s="1" t="s">
        <v>27</v>
      </c>
      <c r="S2178" s="1" t="s">
        <v>28</v>
      </c>
      <c r="T2178" s="1" t="s">
        <v>29</v>
      </c>
    </row>
    <row r="2179" customFormat="false" ht="18.7" hidden="false" customHeight="true" outlineLevel="0" collapsed="false">
      <c r="A2179" s="1" t="n">
        <v>2178</v>
      </c>
      <c r="B2179" s="6" t="str">
        <f aca="false">HYPERLINK("https://mncourtfraud.com/file/MCRO_27-CR-21-6904_Findings and Order_2022-06-14_20240430080501.pdf","MCRO_27-CR-21-6904_Findings and Order_2022-06-14_20240430080501.pdf")</f>
        <v>MCRO_27-CR-21-6904_Findings and Order_2022-06-14_20240430080501.pdf</v>
      </c>
      <c r="C2179" s="1" t="n">
        <v>4</v>
      </c>
      <c r="D2179" s="1" t="n">
        <v>2</v>
      </c>
      <c r="E2179" s="1" t="n">
        <v>2</v>
      </c>
      <c r="F2179" s="3" t="s">
        <v>20</v>
      </c>
      <c r="G2179" s="3" t="s">
        <v>8870</v>
      </c>
      <c r="H2179" s="1" t="s">
        <v>22</v>
      </c>
      <c r="I2179" s="1" t="n">
        <v>20240430080501</v>
      </c>
      <c r="J2179" s="3" t="s">
        <v>8871</v>
      </c>
      <c r="K2179" s="3" t="s">
        <v>8872</v>
      </c>
      <c r="L2179" s="3" t="s">
        <v>8873</v>
      </c>
      <c r="M2179" s="3" t="n">
        <v>302601</v>
      </c>
      <c r="N2179" s="3" t="s">
        <v>3832</v>
      </c>
      <c r="O2179" s="1" t="n">
        <v>286215</v>
      </c>
      <c r="P2179" s="1" t="n">
        <v>94.58</v>
      </c>
      <c r="Q2179" s="1" t="s">
        <v>20</v>
      </c>
      <c r="R2179" s="1" t="s">
        <v>27</v>
      </c>
      <c r="S2179" s="1" t="s">
        <v>28</v>
      </c>
      <c r="T2179" s="1" t="s">
        <v>29</v>
      </c>
    </row>
    <row r="2180" customFormat="false" ht="18.7" hidden="false" customHeight="true" outlineLevel="0" collapsed="false">
      <c r="A2180" s="1" t="n">
        <v>2179</v>
      </c>
      <c r="B2180" s="6" t="str">
        <f aca="false">HYPERLINK("https://mncourtfraud.com/file/MCRO_27-CR-21-6904_Law Enforcement Notice of Release and Appearance_2021-11-09_20240430080506.pdf","MCRO_27-CR-21-6904_Law Enforcement Notice of Release and Appearance_2021-11-09_20240430080506.pdf")</f>
        <v>MCRO_27-CR-21-6904_Law Enforcement Notice of Release and Appearance_2021-11-09_20240430080506.pdf</v>
      </c>
      <c r="C2180" s="1" t="n">
        <v>4</v>
      </c>
      <c r="D2180" s="1" t="n">
        <v>1</v>
      </c>
      <c r="E2180" s="1" t="n">
        <v>1</v>
      </c>
      <c r="F2180" s="3" t="s">
        <v>20</v>
      </c>
      <c r="G2180" s="3" t="s">
        <v>8874</v>
      </c>
      <c r="H2180" s="1" t="s">
        <v>22</v>
      </c>
      <c r="I2180" s="1" t="n">
        <v>20240430080506</v>
      </c>
      <c r="J2180" s="3" t="s">
        <v>8875</v>
      </c>
      <c r="K2180" s="3" t="s">
        <v>8876</v>
      </c>
      <c r="L2180" s="3" t="s">
        <v>8877</v>
      </c>
      <c r="M2180" s="3" t="n">
        <v>134918</v>
      </c>
      <c r="N2180" s="3" t="s">
        <v>456</v>
      </c>
      <c r="O2180" s="1" t="n">
        <v>118532</v>
      </c>
      <c r="P2180" s="1" t="n">
        <v>87.85</v>
      </c>
      <c r="Q2180" s="1" t="s">
        <v>20</v>
      </c>
      <c r="R2180" s="1" t="s">
        <v>27</v>
      </c>
      <c r="S2180" s="1" t="s">
        <v>28</v>
      </c>
      <c r="T2180" s="1" t="s">
        <v>29</v>
      </c>
    </row>
    <row r="2181" customFormat="false" ht="18.7" hidden="false" customHeight="true" outlineLevel="0" collapsed="false">
      <c r="A2181" s="1" t="n">
        <v>2180</v>
      </c>
      <c r="B2181" s="6" t="str">
        <f aca="false">HYPERLINK("https://mncourtfraud.com/file/MCRO_27-CR-21-6904_Notice of Case Reassignment_2022-04-01_20240430080502.pdf","MCRO_27-CR-21-6904_Notice of Case Reassignment_2022-04-01_20240430080502.pdf")</f>
        <v>MCRO_27-CR-21-6904_Notice of Case Reassignment_2022-04-01_20240430080502.pdf</v>
      </c>
      <c r="C2181" s="1" t="n">
        <v>4</v>
      </c>
      <c r="D2181" s="1" t="n">
        <v>1</v>
      </c>
      <c r="E2181" s="1" t="n">
        <v>1</v>
      </c>
      <c r="F2181" s="3" t="s">
        <v>20</v>
      </c>
      <c r="G2181" s="3" t="s">
        <v>8878</v>
      </c>
      <c r="H2181" s="1" t="s">
        <v>22</v>
      </c>
      <c r="I2181" s="1" t="n">
        <v>20240430080502</v>
      </c>
      <c r="J2181" s="3" t="s">
        <v>8879</v>
      </c>
      <c r="K2181" s="3" t="s">
        <v>8880</v>
      </c>
      <c r="L2181" s="3" t="s">
        <v>8881</v>
      </c>
      <c r="M2181" s="3" t="n">
        <v>96769</v>
      </c>
      <c r="N2181" s="3" t="s">
        <v>456</v>
      </c>
      <c r="O2181" s="1" t="n">
        <v>80383</v>
      </c>
      <c r="P2181" s="1" t="n">
        <v>83.07</v>
      </c>
      <c r="Q2181" s="1" t="s">
        <v>20</v>
      </c>
      <c r="R2181" s="1" t="s">
        <v>27</v>
      </c>
      <c r="S2181" s="1" t="s">
        <v>28</v>
      </c>
      <c r="T2181" s="1" t="s">
        <v>29</v>
      </c>
    </row>
    <row r="2182" customFormat="false" ht="18.7" hidden="false" customHeight="true" outlineLevel="0" collapsed="false">
      <c r="A2182" s="1" t="n">
        <v>2181</v>
      </c>
      <c r="B2182" s="6" t="str">
        <f aca="false">HYPERLINK("https://mncourtfraud.com/file/MCRO_27-CR-21-6904_Notice of Case Reassignment_2023-01-13_20240430080458.pdf","MCRO_27-CR-21-6904_Notice of Case Reassignment_2023-01-13_20240430080458.pdf")</f>
        <v>MCRO_27-CR-21-6904_Notice of Case Reassignment_2023-01-13_20240430080458.pdf</v>
      </c>
      <c r="C2182" s="1" t="n">
        <v>4</v>
      </c>
      <c r="D2182" s="1" t="n">
        <v>1</v>
      </c>
      <c r="E2182" s="1" t="n">
        <v>1</v>
      </c>
      <c r="F2182" s="3" t="s">
        <v>20</v>
      </c>
      <c r="G2182" s="3" t="s">
        <v>8882</v>
      </c>
      <c r="H2182" s="1" t="s">
        <v>22</v>
      </c>
      <c r="I2182" s="1" t="n">
        <v>20240430080458</v>
      </c>
      <c r="J2182" s="3" t="s">
        <v>8883</v>
      </c>
      <c r="K2182" s="3" t="s">
        <v>8884</v>
      </c>
      <c r="L2182" s="3" t="s">
        <v>8885</v>
      </c>
      <c r="M2182" s="3" t="n">
        <v>307678</v>
      </c>
      <c r="N2182" s="3" t="s">
        <v>158</v>
      </c>
      <c r="O2182" s="1" t="n">
        <v>291292</v>
      </c>
      <c r="P2182" s="1" t="n">
        <v>94.67</v>
      </c>
      <c r="Q2182" s="1" t="s">
        <v>20</v>
      </c>
      <c r="R2182" s="1" t="s">
        <v>27</v>
      </c>
      <c r="S2182" s="1" t="s">
        <v>28</v>
      </c>
      <c r="T2182" s="1" t="s">
        <v>29</v>
      </c>
    </row>
    <row r="2183" customFormat="false" ht="18.7" hidden="false" customHeight="true" outlineLevel="0" collapsed="false">
      <c r="A2183" s="1" t="n">
        <v>2182</v>
      </c>
      <c r="B2183" s="6" t="str">
        <f aca="false">HYPERLINK("https://mncourtfraud.com/file/MCRO_27-CR-21-6904_Notice of Intent to Prosecute_2022-06-14_20240430080500.pdf","MCRO_27-CR-21-6904_Notice of Intent to Prosecute_2022-06-14_20240430080500.pdf")</f>
        <v>MCRO_27-CR-21-6904_Notice of Intent to Prosecute_2022-06-14_20240430080500.pdf</v>
      </c>
      <c r="C2183" s="1" t="n">
        <v>3</v>
      </c>
      <c r="D2183" s="1" t="n">
        <v>1</v>
      </c>
      <c r="E2183" s="1" t="n">
        <v>1</v>
      </c>
      <c r="F2183" s="3" t="s">
        <v>20</v>
      </c>
      <c r="G2183" s="3" t="s">
        <v>8886</v>
      </c>
      <c r="H2183" s="1" t="s">
        <v>22</v>
      </c>
      <c r="I2183" s="1" t="n">
        <v>20240430080500</v>
      </c>
      <c r="J2183" s="3" t="s">
        <v>8887</v>
      </c>
      <c r="K2183" s="3" t="s">
        <v>8888</v>
      </c>
      <c r="L2183" s="3" t="s">
        <v>8889</v>
      </c>
      <c r="M2183" s="3" t="n">
        <v>135866</v>
      </c>
      <c r="N2183" s="3" t="s">
        <v>2777</v>
      </c>
      <c r="O2183" s="1" t="n">
        <v>119480</v>
      </c>
      <c r="P2183" s="1" t="n">
        <v>87.94</v>
      </c>
      <c r="Q2183" s="1" t="s">
        <v>20</v>
      </c>
      <c r="R2183" s="1" t="s">
        <v>27</v>
      </c>
      <c r="S2183" s="1" t="s">
        <v>28</v>
      </c>
      <c r="T2183" s="1" t="s">
        <v>29</v>
      </c>
    </row>
    <row r="2184" customFormat="false" ht="18.7" hidden="false" customHeight="true" outlineLevel="0" collapsed="false">
      <c r="A2184" s="1" t="n">
        <v>2183</v>
      </c>
      <c r="B2184" s="6" t="str">
        <f aca="false">HYPERLINK("https://mncourtfraud.com/file/MCRO_27-CR-21-6904_Notice of Remote Hearing with Instructions_2021-04-07_20240430080512.pdf","MCRO_27-CR-21-6904_Notice of Remote Hearing with Instructions_2021-04-07_20240430080512.pdf")</f>
        <v>MCRO_27-CR-21-6904_Notice of Remote Hearing with Instructions_2021-04-07_20240430080512.pdf</v>
      </c>
      <c r="C2184" s="1" t="n">
        <v>5</v>
      </c>
      <c r="D2184" s="1" t="n">
        <v>1</v>
      </c>
      <c r="E2184" s="1" t="n">
        <v>1</v>
      </c>
      <c r="F2184" s="3" t="s">
        <v>20</v>
      </c>
      <c r="G2184" s="3" t="s">
        <v>8890</v>
      </c>
      <c r="H2184" s="1" t="s">
        <v>22</v>
      </c>
      <c r="I2184" s="1" t="n">
        <v>20240430080512</v>
      </c>
      <c r="J2184" s="3" t="s">
        <v>8891</v>
      </c>
      <c r="K2184" s="3" t="s">
        <v>8892</v>
      </c>
      <c r="L2184" s="3" t="s">
        <v>8893</v>
      </c>
      <c r="M2184" s="3" t="n">
        <v>1273724</v>
      </c>
      <c r="N2184" s="3" t="s">
        <v>1584</v>
      </c>
      <c r="O2184" s="1" t="n">
        <v>1257338</v>
      </c>
      <c r="P2184" s="1" t="n">
        <v>98.71</v>
      </c>
      <c r="Q2184" s="1" t="s">
        <v>20</v>
      </c>
      <c r="R2184" s="1" t="s">
        <v>27</v>
      </c>
      <c r="S2184" s="1" t="s">
        <v>28</v>
      </c>
      <c r="T2184" s="1" t="s">
        <v>29</v>
      </c>
    </row>
    <row r="2185" customFormat="false" ht="18.7" hidden="false" customHeight="true" outlineLevel="0" collapsed="false">
      <c r="A2185" s="1" t="n">
        <v>2184</v>
      </c>
      <c r="B2185" s="6" t="str">
        <f aca="false">HYPERLINK("https://mncourtfraud.com/file/MCRO_27-CR-21-6904_Notice of Remote Hearing with Instructions_2021-07-28_20240430080508.pdf","MCRO_27-CR-21-6904_Notice of Remote Hearing with Instructions_2021-07-28_20240430080508.pdf")</f>
        <v>MCRO_27-CR-21-6904_Notice of Remote Hearing with Instructions_2021-07-28_20240430080508.pdf</v>
      </c>
      <c r="C2185" s="1" t="n">
        <v>4</v>
      </c>
      <c r="D2185" s="1" t="n">
        <v>1</v>
      </c>
      <c r="E2185" s="1" t="n">
        <v>1</v>
      </c>
      <c r="F2185" s="3" t="s">
        <v>20</v>
      </c>
      <c r="G2185" s="3" t="s">
        <v>8894</v>
      </c>
      <c r="H2185" s="1" t="s">
        <v>22</v>
      </c>
      <c r="I2185" s="1" t="n">
        <v>20240430080508</v>
      </c>
      <c r="J2185" s="3" t="s">
        <v>8895</v>
      </c>
      <c r="K2185" s="3" t="s">
        <v>8896</v>
      </c>
      <c r="L2185" s="3" t="s">
        <v>8897</v>
      </c>
      <c r="M2185" s="3" t="n">
        <v>161483</v>
      </c>
      <c r="N2185" s="3" t="s">
        <v>1065</v>
      </c>
      <c r="O2185" s="1" t="n">
        <v>145097</v>
      </c>
      <c r="P2185" s="1" t="n">
        <v>89.85</v>
      </c>
      <c r="Q2185" s="1" t="s">
        <v>20</v>
      </c>
      <c r="R2185" s="1" t="s">
        <v>27</v>
      </c>
      <c r="S2185" s="1" t="s">
        <v>28</v>
      </c>
      <c r="T2185" s="1" t="s">
        <v>29</v>
      </c>
    </row>
    <row r="2186" customFormat="false" ht="18.7" hidden="false" customHeight="true" outlineLevel="0" collapsed="false">
      <c r="A2186" s="1" t="n">
        <v>2185</v>
      </c>
      <c r="B2186" s="6" t="str">
        <f aca="false">HYPERLINK("https://mncourtfraud.com/file/MCRO_27-CR-21-6904_Notice of Remote Hearing with Instructions_2021-11-09_20240430080507.pdf","MCRO_27-CR-21-6904_Notice of Remote Hearing with Instructions_2021-11-09_20240430080507.pdf")</f>
        <v>MCRO_27-CR-21-6904_Notice of Remote Hearing with Instructions_2021-11-09_20240430080507.pdf</v>
      </c>
      <c r="C2186" s="1" t="n">
        <v>5</v>
      </c>
      <c r="D2186" s="1" t="n">
        <v>1</v>
      </c>
      <c r="E2186" s="1" t="n">
        <v>1</v>
      </c>
      <c r="F2186" s="3" t="s">
        <v>20</v>
      </c>
      <c r="G2186" s="3" t="s">
        <v>8898</v>
      </c>
      <c r="H2186" s="1" t="s">
        <v>22</v>
      </c>
      <c r="I2186" s="1" t="n">
        <v>20240430080507</v>
      </c>
      <c r="J2186" s="3" t="s">
        <v>8899</v>
      </c>
      <c r="K2186" s="3" t="s">
        <v>8900</v>
      </c>
      <c r="L2186" s="3" t="s">
        <v>8901</v>
      </c>
      <c r="M2186" s="3" t="n">
        <v>908737</v>
      </c>
      <c r="N2186" s="3" t="s">
        <v>1239</v>
      </c>
      <c r="O2186" s="1" t="n">
        <v>892351</v>
      </c>
      <c r="P2186" s="1" t="n">
        <v>98.2</v>
      </c>
      <c r="Q2186" s="1" t="s">
        <v>20</v>
      </c>
      <c r="R2186" s="1" t="s">
        <v>27</v>
      </c>
      <c r="S2186" s="1" t="s">
        <v>28</v>
      </c>
      <c r="T2186" s="1" t="s">
        <v>29</v>
      </c>
    </row>
    <row r="2187" customFormat="false" ht="18.7" hidden="false" customHeight="true" outlineLevel="0" collapsed="false">
      <c r="A2187" s="1" t="n">
        <v>2186</v>
      </c>
      <c r="B2187" s="6" t="str">
        <f aca="false">HYPERLINK("https://mncourtfraud.com/file/MCRO_27-CR-21-6904_Notice of Remote Hearing with Instructions_2021-12-08_20240430080505.pdf","MCRO_27-CR-21-6904_Notice of Remote Hearing with Instructions_2021-12-08_20240430080505.pdf")</f>
        <v>MCRO_27-CR-21-6904_Notice of Remote Hearing with Instructions_2021-12-08_20240430080505.pdf</v>
      </c>
      <c r="C2187" s="1" t="n">
        <v>4</v>
      </c>
      <c r="D2187" s="1" t="n">
        <v>1</v>
      </c>
      <c r="E2187" s="1" t="n">
        <v>1</v>
      </c>
      <c r="F2187" s="3" t="s">
        <v>20</v>
      </c>
      <c r="G2187" s="3" t="s">
        <v>8902</v>
      </c>
      <c r="H2187" s="1" t="s">
        <v>22</v>
      </c>
      <c r="I2187" s="1" t="n">
        <v>20240430080505</v>
      </c>
      <c r="J2187" s="3" t="s">
        <v>8903</v>
      </c>
      <c r="K2187" s="3" t="s">
        <v>8904</v>
      </c>
      <c r="L2187" s="3" t="s">
        <v>8905</v>
      </c>
      <c r="M2187" s="3" t="n">
        <v>158592</v>
      </c>
      <c r="N2187" s="3" t="s">
        <v>1065</v>
      </c>
      <c r="O2187" s="1" t="n">
        <v>142206</v>
      </c>
      <c r="P2187" s="1" t="n">
        <v>89.67</v>
      </c>
      <c r="Q2187" s="1" t="s">
        <v>20</v>
      </c>
      <c r="R2187" s="1" t="s">
        <v>27</v>
      </c>
      <c r="S2187" s="1" t="s">
        <v>28</v>
      </c>
      <c r="T2187" s="1" t="s">
        <v>29</v>
      </c>
    </row>
    <row r="2188" customFormat="false" ht="18.7" hidden="false" customHeight="true" outlineLevel="0" collapsed="false">
      <c r="A2188" s="1" t="n">
        <v>2187</v>
      </c>
      <c r="B2188" s="6" t="str">
        <f aca="false">HYPERLINK("https://mncourtfraud.com/file/MCRO_27-CR-21-6904_Order-Evaluation for Competency to Proceed (Rule 20.01)_2022-03-23_20240430080503.pdf","MCRO_27-CR-21-6904_Order-Evaluation for Competency to Proceed (Rule 20.01)_2022-03-23_20240430080503.pdf")</f>
        <v>MCRO_27-CR-21-6904_Order-Evaluation for Competency to Proceed (Rule 20.01)_2022-03-23_20240430080503.pdf</v>
      </c>
      <c r="C2188" s="1" t="n">
        <v>3</v>
      </c>
      <c r="D2188" s="1" t="n">
        <v>1</v>
      </c>
      <c r="E2188" s="1" t="n">
        <v>1</v>
      </c>
      <c r="F2188" s="3" t="s">
        <v>20</v>
      </c>
      <c r="G2188" s="3" t="s">
        <v>8906</v>
      </c>
      <c r="H2188" s="1" t="s">
        <v>22</v>
      </c>
      <c r="I2188" s="1" t="n">
        <v>20240430080503</v>
      </c>
      <c r="J2188" s="3" t="s">
        <v>8907</v>
      </c>
      <c r="K2188" s="3" t="s">
        <v>8908</v>
      </c>
      <c r="L2188" s="3" t="s">
        <v>8909</v>
      </c>
      <c r="M2188" s="3" t="n">
        <v>252783</v>
      </c>
      <c r="N2188" s="3" t="s">
        <v>2818</v>
      </c>
      <c r="O2188" s="1" t="n">
        <v>236397</v>
      </c>
      <c r="P2188" s="1" t="n">
        <v>93.52</v>
      </c>
      <c r="Q2188" s="1" t="s">
        <v>20</v>
      </c>
      <c r="R2188" s="1" t="s">
        <v>27</v>
      </c>
      <c r="S2188" s="1" t="s">
        <v>28</v>
      </c>
      <c r="T2188" s="1" t="s">
        <v>29</v>
      </c>
    </row>
    <row r="2189" customFormat="false" ht="18.7" hidden="false" customHeight="true" outlineLevel="0" collapsed="false">
      <c r="A2189" s="1" t="n">
        <v>2188</v>
      </c>
      <c r="B2189" s="6" t="str">
        <f aca="false">HYPERLINK("https://mncourtfraud.com/file/MCRO_27-CR-21-6904_Order-Evaluation for Competency to Proceed (Rule 20.01)_2022-10-06_20240430080459.pdf","MCRO_27-CR-21-6904_Order-Evaluation for Competency to Proceed (Rule 20.01)_2022-10-06_20240430080459.pdf")</f>
        <v>MCRO_27-CR-21-6904_Order-Evaluation for Competency to Proceed (Rule 20.01)_2022-10-06_20240430080459.pdf</v>
      </c>
      <c r="C2189" s="1" t="n">
        <v>5</v>
      </c>
      <c r="D2189" s="1" t="n">
        <v>1</v>
      </c>
      <c r="E2189" s="1" t="n">
        <v>1</v>
      </c>
      <c r="F2189" s="3" t="s">
        <v>20</v>
      </c>
      <c r="G2189" s="3" t="s">
        <v>8910</v>
      </c>
      <c r="H2189" s="1" t="s">
        <v>22</v>
      </c>
      <c r="I2189" s="1" t="n">
        <v>20240430080459</v>
      </c>
      <c r="J2189" s="3" t="s">
        <v>8911</v>
      </c>
      <c r="K2189" s="3" t="s">
        <v>8912</v>
      </c>
      <c r="L2189" s="3" t="s">
        <v>8913</v>
      </c>
      <c r="M2189" s="3" t="n">
        <v>791757</v>
      </c>
      <c r="N2189" s="3" t="s">
        <v>5856</v>
      </c>
      <c r="O2189" s="1" t="n">
        <v>775371</v>
      </c>
      <c r="P2189" s="1" t="n">
        <v>97.93</v>
      </c>
      <c r="Q2189" s="1" t="s">
        <v>20</v>
      </c>
      <c r="R2189" s="1" t="s">
        <v>27</v>
      </c>
      <c r="S2189" s="1" t="s">
        <v>28</v>
      </c>
      <c r="T2189" s="1" t="s">
        <v>29</v>
      </c>
    </row>
    <row r="2190" customFormat="false" ht="18.7" hidden="false" customHeight="true" outlineLevel="0" collapsed="false">
      <c r="A2190" s="1" t="n">
        <v>2189</v>
      </c>
      <c r="B2190" s="6" t="str">
        <f aca="false">HYPERLINK("https://mncourtfraud.com/file/MCRO_27-CR-21-6904_Order-Evaluation for Competency to Proceed (Rule 20.01)_2023-02-21_20240430080457.pdf","MCRO_27-CR-21-6904_Order-Evaluation for Competency to Proceed (Rule 20.01)_2023-02-21_20240430080457.pdf")</f>
        <v>MCRO_27-CR-21-6904_Order-Evaluation for Competency to Proceed (Rule 20.01)_2023-02-21_20240430080457.pdf</v>
      </c>
      <c r="C2190" s="1" t="n">
        <v>3</v>
      </c>
      <c r="D2190" s="1" t="n">
        <v>1</v>
      </c>
      <c r="E2190" s="1" t="n">
        <v>1</v>
      </c>
      <c r="F2190" s="3" t="s">
        <v>20</v>
      </c>
      <c r="G2190" s="3" t="s">
        <v>8914</v>
      </c>
      <c r="H2190" s="1" t="s">
        <v>22</v>
      </c>
      <c r="I2190" s="1" t="n">
        <v>20240430080457</v>
      </c>
      <c r="J2190" s="3" t="s">
        <v>8915</v>
      </c>
      <c r="K2190" s="3" t="s">
        <v>8916</v>
      </c>
      <c r="L2190" s="3" t="s">
        <v>8917</v>
      </c>
      <c r="M2190" s="3" t="n">
        <v>192381</v>
      </c>
      <c r="N2190" s="3" t="s">
        <v>1266</v>
      </c>
      <c r="O2190" s="1" t="n">
        <v>175995</v>
      </c>
      <c r="P2190" s="1" t="n">
        <v>91.48</v>
      </c>
      <c r="Q2190" s="1" t="s">
        <v>20</v>
      </c>
      <c r="R2190" s="1" t="s">
        <v>27</v>
      </c>
      <c r="S2190" s="1" t="s">
        <v>28</v>
      </c>
      <c r="T2190" s="1" t="s">
        <v>29</v>
      </c>
    </row>
    <row r="2191" customFormat="false" ht="18.7" hidden="false" customHeight="true" outlineLevel="0" collapsed="false">
      <c r="A2191" s="1" t="n">
        <v>2190</v>
      </c>
      <c r="B2191" s="6" t="str">
        <f aca="false">HYPERLINK("https://mncourtfraud.com/file/MCRO_27-CR-21-6904_Order-Evaluation for Competency to Proceed (Rule 20.01)_2023-08-22_20240430080455.pdf","MCRO_27-CR-21-6904_Order-Evaluation for Competency to Proceed (Rule 20.01)_2023-08-22_20240430080455.pdf")</f>
        <v>MCRO_27-CR-21-6904_Order-Evaluation for Competency to Proceed (Rule 20.01)_2023-08-22_20240430080455.pdf</v>
      </c>
      <c r="C2191" s="1" t="n">
        <v>6</v>
      </c>
      <c r="D2191" s="1" t="n">
        <v>2</v>
      </c>
      <c r="E2191" s="1" t="n">
        <v>2</v>
      </c>
      <c r="F2191" s="3" t="s">
        <v>27</v>
      </c>
      <c r="G2191" s="3" t="s">
        <v>8918</v>
      </c>
      <c r="H2191" s="1" t="s">
        <v>22</v>
      </c>
      <c r="I2191" s="1" t="n">
        <v>20240430080455</v>
      </c>
      <c r="J2191" s="3" t="s">
        <v>8919</v>
      </c>
      <c r="K2191" s="3" t="s">
        <v>8920</v>
      </c>
      <c r="L2191" s="3" t="s">
        <v>8921</v>
      </c>
      <c r="M2191" s="3" t="n">
        <v>877451</v>
      </c>
      <c r="N2191" s="3" t="s">
        <v>554</v>
      </c>
      <c r="O2191" s="1" t="n">
        <v>861065</v>
      </c>
      <c r="P2191" s="1" t="n">
        <v>98.13</v>
      </c>
      <c r="Q2191" s="1" t="s">
        <v>20</v>
      </c>
      <c r="R2191" s="1" t="s">
        <v>27</v>
      </c>
      <c r="S2191" s="1" t="s">
        <v>28</v>
      </c>
      <c r="T2191" s="1" t="s">
        <v>29</v>
      </c>
    </row>
    <row r="2192" customFormat="false" ht="18.7" hidden="false" customHeight="true" outlineLevel="0" collapsed="false">
      <c r="A2192" s="1" t="n">
        <v>2191</v>
      </c>
      <c r="B2192" s="6" t="str">
        <f aca="false">HYPERLINK("https://mncourtfraud.com/file/MCRO_27-CR-21-6904_Other Document_2021-04-27_20240430080510.pdf","MCRO_27-CR-21-6904_Other Document_2021-04-27_20240430080510.pdf")</f>
        <v>MCRO_27-CR-21-6904_Other Document_2021-04-27_20240430080510.pdf</v>
      </c>
      <c r="C2192" s="1" t="n">
        <v>3</v>
      </c>
      <c r="D2192" s="1" t="n">
        <v>1</v>
      </c>
      <c r="E2192" s="1" t="n">
        <v>1</v>
      </c>
      <c r="F2192" s="3" t="s">
        <v>20</v>
      </c>
      <c r="G2192" s="3" t="s">
        <v>8922</v>
      </c>
      <c r="H2192" s="1" t="s">
        <v>22</v>
      </c>
      <c r="I2192" s="1" t="n">
        <v>20240430080510</v>
      </c>
      <c r="J2192" s="3" t="s">
        <v>8923</v>
      </c>
      <c r="K2192" s="3" t="s">
        <v>8924</v>
      </c>
      <c r="L2192" s="3" t="s">
        <v>8925</v>
      </c>
      <c r="M2192" s="3" t="n">
        <v>184030</v>
      </c>
      <c r="N2192" s="3" t="s">
        <v>8926</v>
      </c>
      <c r="O2192" s="1" t="n">
        <v>167644</v>
      </c>
      <c r="P2192" s="1" t="n">
        <v>91.1</v>
      </c>
      <c r="Q2192" s="1" t="s">
        <v>20</v>
      </c>
      <c r="R2192" s="1" t="s">
        <v>27</v>
      </c>
      <c r="S2192" s="1" t="s">
        <v>28</v>
      </c>
      <c r="T2192" s="1" t="s">
        <v>29</v>
      </c>
    </row>
    <row r="2193" customFormat="false" ht="18.7" hidden="false" customHeight="true" outlineLevel="0" collapsed="false">
      <c r="A2193" s="1" t="n">
        <v>2192</v>
      </c>
      <c r="B2193" s="6" t="str">
        <f aca="false">HYPERLINK("https://mncourtfraud.com/file/MCRO_27-CR-21-6904_Other Document_2021-05-05_20240430080509.pdf","MCRO_27-CR-21-6904_Other Document_2021-05-05_20240430080509.pdf")</f>
        <v>MCRO_27-CR-21-6904_Other Document_2021-05-05_20240430080509.pdf</v>
      </c>
      <c r="C2193" s="1" t="n">
        <v>3</v>
      </c>
      <c r="D2193" s="1" t="n">
        <v>1</v>
      </c>
      <c r="E2193" s="1" t="n">
        <v>1</v>
      </c>
      <c r="F2193" s="3" t="s">
        <v>20</v>
      </c>
      <c r="G2193" s="3" t="s">
        <v>8927</v>
      </c>
      <c r="H2193" s="1" t="s">
        <v>22</v>
      </c>
      <c r="I2193" s="1" t="n">
        <v>20240430080509</v>
      </c>
      <c r="J2193" s="3" t="s">
        <v>8928</v>
      </c>
      <c r="K2193" s="3" t="s">
        <v>8929</v>
      </c>
      <c r="L2193" s="3" t="s">
        <v>8930</v>
      </c>
      <c r="M2193" s="3" t="n">
        <v>185741</v>
      </c>
      <c r="N2193" s="3" t="s">
        <v>1266</v>
      </c>
      <c r="O2193" s="1" t="n">
        <v>169355</v>
      </c>
      <c r="P2193" s="1" t="n">
        <v>91.18</v>
      </c>
      <c r="Q2193" s="1" t="s">
        <v>20</v>
      </c>
      <c r="R2193" s="1" t="s">
        <v>27</v>
      </c>
      <c r="S2193" s="1" t="s">
        <v>28</v>
      </c>
      <c r="T2193" s="1" t="s">
        <v>29</v>
      </c>
    </row>
    <row r="2194" customFormat="false" ht="18.7" hidden="false" customHeight="true" outlineLevel="0" collapsed="false">
      <c r="A2194" s="1" t="n">
        <v>2193</v>
      </c>
      <c r="B2194" s="6" t="str">
        <f aca="false">HYPERLINK("https://mncourtfraud.com/file/MCRO_27-CR-21-6904_Returned Mail_2021-04-16_20240430080511.pdf","MCRO_27-CR-21-6904_Returned Mail_2021-04-16_20240430080511.pdf")</f>
        <v>MCRO_27-CR-21-6904_Returned Mail_2021-04-16_20240430080511.pdf</v>
      </c>
      <c r="C2194" s="1" t="n">
        <v>4</v>
      </c>
      <c r="D2194" s="1" t="n">
        <v>1</v>
      </c>
      <c r="E2194" s="1" t="n">
        <v>1</v>
      </c>
      <c r="F2194" s="3" t="s">
        <v>20</v>
      </c>
      <c r="G2194" s="3" t="s">
        <v>8931</v>
      </c>
      <c r="H2194" s="1" t="s">
        <v>22</v>
      </c>
      <c r="I2194" s="1" t="n">
        <v>20240430080511</v>
      </c>
      <c r="J2194" s="3" t="s">
        <v>8932</v>
      </c>
      <c r="K2194" s="3" t="s">
        <v>8933</v>
      </c>
      <c r="L2194" s="3" t="s">
        <v>8934</v>
      </c>
      <c r="M2194" s="3" t="n">
        <v>154412</v>
      </c>
      <c r="N2194" s="3" t="s">
        <v>3269</v>
      </c>
      <c r="O2194" s="1" t="n">
        <v>138026</v>
      </c>
      <c r="P2194" s="1" t="n">
        <v>89.39</v>
      </c>
      <c r="Q2194" s="1" t="s">
        <v>20</v>
      </c>
      <c r="R2194" s="1" t="s">
        <v>27</v>
      </c>
      <c r="S2194" s="1" t="s">
        <v>28</v>
      </c>
      <c r="T2194" s="1" t="s">
        <v>29</v>
      </c>
    </row>
    <row r="2195" customFormat="false" ht="18.7" hidden="false" customHeight="true" outlineLevel="0" collapsed="false">
      <c r="A2195" s="1" t="n">
        <v>2194</v>
      </c>
      <c r="B2195" s="6" t="str">
        <f aca="false">HYPERLINK("https://mncourtfraud.com/file/MCRO_27-CR-21-7676_Demand or Request for Discovery_2021-05-19_20240430080551.pdf","MCRO_27-CR-21-7676_Demand or Request for Discovery_2021-05-19_20240430080551.pdf")</f>
        <v>MCRO_27-CR-21-7676_Demand or Request for Discovery_2021-05-19_20240430080551.pdf</v>
      </c>
      <c r="C2195" s="1" t="n">
        <v>3</v>
      </c>
      <c r="D2195" s="1" t="n">
        <v>1</v>
      </c>
      <c r="E2195" s="1" t="n">
        <v>1</v>
      </c>
      <c r="F2195" s="3" t="s">
        <v>20</v>
      </c>
      <c r="G2195" s="3" t="s">
        <v>8935</v>
      </c>
      <c r="H2195" s="1" t="s">
        <v>22</v>
      </c>
      <c r="I2195" s="1" t="n">
        <v>20240430080551</v>
      </c>
      <c r="J2195" s="3" t="s">
        <v>8936</v>
      </c>
      <c r="K2195" s="3" t="s">
        <v>8937</v>
      </c>
      <c r="L2195" s="3" t="s">
        <v>8938</v>
      </c>
      <c r="M2195" s="3" t="n">
        <v>308917</v>
      </c>
      <c r="N2195" s="3" t="s">
        <v>4292</v>
      </c>
      <c r="O2195" s="1" t="n">
        <v>292531</v>
      </c>
      <c r="P2195" s="1" t="n">
        <v>94.7</v>
      </c>
      <c r="Q2195" s="1" t="s">
        <v>20</v>
      </c>
      <c r="R2195" s="1" t="s">
        <v>27</v>
      </c>
      <c r="S2195" s="1" t="s">
        <v>28</v>
      </c>
      <c r="T2195" s="1" t="s">
        <v>29</v>
      </c>
    </row>
    <row r="2196" customFormat="false" ht="18.7" hidden="false" customHeight="true" outlineLevel="0" collapsed="false">
      <c r="A2196" s="1" t="n">
        <v>2195</v>
      </c>
      <c r="B2196" s="6" t="str">
        <f aca="false">HYPERLINK("https://mncourtfraud.com/file/MCRO_27-CR-21-7676_E-filed Comp-Summons_2021-04-19_20240430080553.pdf","MCRO_27-CR-21-7676_E-filed Comp-Summons_2021-04-19_20240430080553.pdf")</f>
        <v>MCRO_27-CR-21-7676_E-filed Comp-Summons_2021-04-19_20240430080553.pdf</v>
      </c>
      <c r="C2196" s="1" t="n">
        <v>4</v>
      </c>
      <c r="D2196" s="1" t="n">
        <v>2</v>
      </c>
      <c r="E2196" s="1" t="n">
        <v>2</v>
      </c>
      <c r="F2196" s="3" t="s">
        <v>20</v>
      </c>
      <c r="G2196" s="3" t="s">
        <v>8939</v>
      </c>
      <c r="H2196" s="1" t="s">
        <v>22</v>
      </c>
      <c r="I2196" s="1" t="n">
        <v>20240430080553</v>
      </c>
      <c r="J2196" s="3" t="s">
        <v>8940</v>
      </c>
      <c r="K2196" s="3" t="s">
        <v>8941</v>
      </c>
      <c r="L2196" s="3" t="s">
        <v>8942</v>
      </c>
      <c r="M2196" s="3" t="n">
        <v>497523</v>
      </c>
      <c r="N2196" s="3" t="s">
        <v>4568</v>
      </c>
      <c r="O2196" s="1" t="n">
        <v>481137</v>
      </c>
      <c r="P2196" s="1" t="n">
        <v>96.71</v>
      </c>
      <c r="Q2196" s="1" t="s">
        <v>20</v>
      </c>
      <c r="R2196" s="1" t="s">
        <v>27</v>
      </c>
      <c r="S2196" s="1" t="s">
        <v>28</v>
      </c>
      <c r="T2196" s="1" t="s">
        <v>29</v>
      </c>
    </row>
    <row r="2197" customFormat="false" ht="18.7" hidden="false" customHeight="true" outlineLevel="0" collapsed="false">
      <c r="A2197" s="1" t="n">
        <v>2196</v>
      </c>
      <c r="B2197" s="6" t="str">
        <f aca="false">HYPERLINK("https://mncourtfraud.com/file/MCRO_27-CR-21-7676_Finding of Incompetency and Order_2023-04-24_20240430080545.pdf","MCRO_27-CR-21-7676_Finding of Incompetency and Order_2023-04-24_20240430080545.pdf")</f>
        <v>MCRO_27-CR-21-7676_Finding of Incompetency and Order_2023-04-24_20240430080545.pdf</v>
      </c>
      <c r="C2197" s="1" t="n">
        <v>7</v>
      </c>
      <c r="D2197" s="1" t="n">
        <v>2</v>
      </c>
      <c r="E2197" s="1" t="n">
        <v>2</v>
      </c>
      <c r="F2197" s="3" t="s">
        <v>27</v>
      </c>
      <c r="G2197" s="3" t="s">
        <v>8943</v>
      </c>
      <c r="H2197" s="1" t="s">
        <v>22</v>
      </c>
      <c r="I2197" s="1" t="n">
        <v>20240430080545</v>
      </c>
      <c r="J2197" s="3" t="s">
        <v>8944</v>
      </c>
      <c r="K2197" s="3" t="s">
        <v>8945</v>
      </c>
      <c r="L2197" s="3" t="s">
        <v>8946</v>
      </c>
      <c r="M2197" s="3" t="n">
        <v>909264</v>
      </c>
      <c r="N2197" s="3" t="s">
        <v>3832</v>
      </c>
      <c r="O2197" s="1" t="n">
        <v>892878</v>
      </c>
      <c r="P2197" s="1" t="n">
        <v>98.2</v>
      </c>
      <c r="Q2197" s="1" t="s">
        <v>20</v>
      </c>
      <c r="R2197" s="1" t="s">
        <v>27</v>
      </c>
      <c r="S2197" s="1" t="s">
        <v>28</v>
      </c>
      <c r="T2197" s="1" t="s">
        <v>29</v>
      </c>
    </row>
    <row r="2198" customFormat="false" ht="18.7" hidden="false" customHeight="true" outlineLevel="0" collapsed="false">
      <c r="A2198" s="1" t="n">
        <v>2197</v>
      </c>
      <c r="B2198" s="6" t="str">
        <f aca="false">HYPERLINK("https://mncourtfraud.com/file/MCRO_27-CR-21-7676_Notice of Case Reassignment_2022-01-07_20240430080549.pdf","MCRO_27-CR-21-7676_Notice of Case Reassignment_2022-01-07_20240430080549.pdf")</f>
        <v>MCRO_27-CR-21-7676_Notice of Case Reassignment_2022-01-07_20240430080549.pdf</v>
      </c>
      <c r="C2198" s="1" t="n">
        <v>4</v>
      </c>
      <c r="D2198" s="1" t="n">
        <v>1</v>
      </c>
      <c r="E2198" s="1" t="n">
        <v>1</v>
      </c>
      <c r="F2198" s="3" t="s">
        <v>20</v>
      </c>
      <c r="G2198" s="3" t="s">
        <v>8947</v>
      </c>
      <c r="H2198" s="1" t="s">
        <v>22</v>
      </c>
      <c r="I2198" s="1" t="n">
        <v>20240430080549</v>
      </c>
      <c r="J2198" s="3" t="s">
        <v>8948</v>
      </c>
      <c r="K2198" s="3" t="s">
        <v>8949</v>
      </c>
      <c r="L2198" s="3" t="s">
        <v>8950</v>
      </c>
      <c r="M2198" s="3" t="n">
        <v>365530</v>
      </c>
      <c r="N2198" s="3" t="s">
        <v>777</v>
      </c>
      <c r="O2198" s="1" t="n">
        <v>349144</v>
      </c>
      <c r="P2198" s="1" t="n">
        <v>95.52</v>
      </c>
      <c r="Q2198" s="1" t="s">
        <v>20</v>
      </c>
      <c r="R2198" s="1" t="s">
        <v>27</v>
      </c>
      <c r="S2198" s="1" t="s">
        <v>28</v>
      </c>
      <c r="T2198" s="1" t="s">
        <v>29</v>
      </c>
    </row>
    <row r="2199" customFormat="false" ht="18.7" hidden="false" customHeight="true" outlineLevel="0" collapsed="false">
      <c r="A2199" s="1" t="n">
        <v>2198</v>
      </c>
      <c r="B2199" s="6" t="str">
        <f aca="false">HYPERLINK("https://mncourtfraud.com/file/MCRO_27-CR-21-7676_Notice of Intent to Prosecute_2023-04-13_20240430080546.pdf","MCRO_27-CR-21-7676_Notice of Intent to Prosecute_2023-04-13_20240430080546.pdf")</f>
        <v>MCRO_27-CR-21-7676_Notice of Intent to Prosecute_2023-04-13_20240430080546.pdf</v>
      </c>
      <c r="C2199" s="1" t="n">
        <v>3</v>
      </c>
      <c r="D2199" s="1" t="n">
        <v>1</v>
      </c>
      <c r="E2199" s="1" t="n">
        <v>1</v>
      </c>
      <c r="F2199" s="3" t="s">
        <v>20</v>
      </c>
      <c r="G2199" s="3" t="s">
        <v>8951</v>
      </c>
      <c r="H2199" s="1" t="s">
        <v>22</v>
      </c>
      <c r="I2199" s="1" t="n">
        <v>20240430080546</v>
      </c>
      <c r="J2199" s="3" t="s">
        <v>8952</v>
      </c>
      <c r="K2199" s="3" t="s">
        <v>8953</v>
      </c>
      <c r="L2199" s="3" t="s">
        <v>8954</v>
      </c>
      <c r="M2199" s="3" t="n">
        <v>123467</v>
      </c>
      <c r="N2199" s="3" t="s">
        <v>3225</v>
      </c>
      <c r="O2199" s="1" t="n">
        <v>107081</v>
      </c>
      <c r="P2199" s="1" t="n">
        <v>86.73</v>
      </c>
      <c r="Q2199" s="1" t="s">
        <v>20</v>
      </c>
      <c r="R2199" s="1" t="s">
        <v>27</v>
      </c>
      <c r="S2199" s="1" t="s">
        <v>28</v>
      </c>
      <c r="T2199" s="1" t="s">
        <v>29</v>
      </c>
    </row>
    <row r="2200" customFormat="false" ht="18.7" hidden="false" customHeight="true" outlineLevel="0" collapsed="false">
      <c r="A2200" s="1" t="n">
        <v>2199</v>
      </c>
      <c r="B2200" s="6" t="str">
        <f aca="false">HYPERLINK("https://mncourtfraud.com/file/MCRO_27-CR-21-7676_Notice of Remote Hearing with Instructions_2021-04-19_20240430080552.pdf","MCRO_27-CR-21-7676_Notice of Remote Hearing with Instructions_2021-04-19_20240430080552.pdf")</f>
        <v>MCRO_27-CR-21-7676_Notice of Remote Hearing with Instructions_2021-04-19_20240430080552.pdf</v>
      </c>
      <c r="C2200" s="1" t="n">
        <v>5</v>
      </c>
      <c r="D2200" s="1" t="n">
        <v>1</v>
      </c>
      <c r="E2200" s="1" t="n">
        <v>1</v>
      </c>
      <c r="F2200" s="3" t="s">
        <v>20</v>
      </c>
      <c r="G2200" s="3" t="s">
        <v>8955</v>
      </c>
      <c r="H2200" s="1" t="s">
        <v>22</v>
      </c>
      <c r="I2200" s="1" t="n">
        <v>20240430080552</v>
      </c>
      <c r="J2200" s="3" t="s">
        <v>8956</v>
      </c>
      <c r="K2200" s="3" t="s">
        <v>8957</v>
      </c>
      <c r="L2200" s="3" t="s">
        <v>8958</v>
      </c>
      <c r="M2200" s="3" t="n">
        <v>1271698</v>
      </c>
      <c r="N2200" s="3" t="s">
        <v>1579</v>
      </c>
      <c r="O2200" s="1" t="n">
        <v>1255312</v>
      </c>
      <c r="P2200" s="1" t="n">
        <v>98.71</v>
      </c>
      <c r="Q2200" s="1" t="s">
        <v>20</v>
      </c>
      <c r="R2200" s="1" t="s">
        <v>27</v>
      </c>
      <c r="S2200" s="1" t="s">
        <v>28</v>
      </c>
      <c r="T2200" s="1" t="s">
        <v>29</v>
      </c>
    </row>
    <row r="2201" customFormat="false" ht="18.7" hidden="false" customHeight="true" outlineLevel="0" collapsed="false">
      <c r="A2201" s="1" t="n">
        <v>2200</v>
      </c>
      <c r="B2201" s="6" t="str">
        <f aca="false">HYPERLINK("https://mncourtfraud.com/file/MCRO_27-CR-21-7676_Notice of Remote Hearing with Instructions_2021-07-26_20240430080550.pdf","MCRO_27-CR-21-7676_Notice of Remote Hearing with Instructions_2021-07-26_20240430080550.pdf")</f>
        <v>MCRO_27-CR-21-7676_Notice of Remote Hearing with Instructions_2021-07-26_20240430080550.pdf</v>
      </c>
      <c r="C2201" s="1" t="n">
        <v>4</v>
      </c>
      <c r="D2201" s="1" t="n">
        <v>1</v>
      </c>
      <c r="E2201" s="1" t="n">
        <v>1</v>
      </c>
      <c r="F2201" s="3" t="s">
        <v>20</v>
      </c>
      <c r="G2201" s="3" t="s">
        <v>8959</v>
      </c>
      <c r="H2201" s="1" t="s">
        <v>22</v>
      </c>
      <c r="I2201" s="1" t="n">
        <v>20240430080550</v>
      </c>
      <c r="J2201" s="3" t="s">
        <v>8960</v>
      </c>
      <c r="K2201" s="3" t="s">
        <v>8961</v>
      </c>
      <c r="L2201" s="3" t="s">
        <v>8962</v>
      </c>
      <c r="M2201" s="3" t="n">
        <v>821686</v>
      </c>
      <c r="N2201" s="3" t="s">
        <v>2818</v>
      </c>
      <c r="O2201" s="1" t="n">
        <v>805300</v>
      </c>
      <c r="P2201" s="1" t="n">
        <v>98.01</v>
      </c>
      <c r="Q2201" s="1" t="s">
        <v>20</v>
      </c>
      <c r="R2201" s="1" t="s">
        <v>27</v>
      </c>
      <c r="S2201" s="1" t="s">
        <v>28</v>
      </c>
      <c r="T2201" s="1" t="s">
        <v>29</v>
      </c>
    </row>
    <row r="2202" customFormat="false" ht="18.7" hidden="false" customHeight="true" outlineLevel="0" collapsed="false">
      <c r="A2202" s="1" t="n">
        <v>2201</v>
      </c>
      <c r="B2202" s="6" t="str">
        <f aca="false">HYPERLINK("https://mncourtfraud.com/file/MCRO_27-CR-21-7676_Notice of Remote Hearing with Instructions_2022-05-03_20240430080548.pdf","MCRO_27-CR-21-7676_Notice of Remote Hearing with Instructions_2022-05-03_20240430080548.pdf")</f>
        <v>MCRO_27-CR-21-7676_Notice of Remote Hearing with Instructions_2022-05-03_20240430080548.pdf</v>
      </c>
      <c r="C2202" s="1" t="n">
        <v>5</v>
      </c>
      <c r="D2202" s="1" t="n">
        <v>1</v>
      </c>
      <c r="E2202" s="1" t="n">
        <v>1</v>
      </c>
      <c r="F2202" s="3" t="s">
        <v>20</v>
      </c>
      <c r="G2202" s="3" t="s">
        <v>8963</v>
      </c>
      <c r="H2202" s="1" t="s">
        <v>22</v>
      </c>
      <c r="I2202" s="1" t="n">
        <v>20240430080548</v>
      </c>
      <c r="J2202" s="3" t="s">
        <v>8964</v>
      </c>
      <c r="K2202" s="3" t="s">
        <v>8965</v>
      </c>
      <c r="L2202" s="3" t="s">
        <v>8966</v>
      </c>
      <c r="M2202" s="3" t="n">
        <v>309228</v>
      </c>
      <c r="N2202" s="3" t="s">
        <v>491</v>
      </c>
      <c r="O2202" s="1" t="n">
        <v>292842</v>
      </c>
      <c r="P2202" s="1" t="n">
        <v>94.7</v>
      </c>
      <c r="Q2202" s="1" t="s">
        <v>20</v>
      </c>
      <c r="R2202" s="1" t="s">
        <v>27</v>
      </c>
      <c r="S2202" s="1" t="s">
        <v>28</v>
      </c>
      <c r="T2202" s="1" t="s">
        <v>29</v>
      </c>
    </row>
    <row r="2203" customFormat="false" ht="18.7" hidden="false" customHeight="true" outlineLevel="0" collapsed="false">
      <c r="A2203" s="1" t="n">
        <v>2202</v>
      </c>
      <c r="B2203" s="6" t="str">
        <f aca="false">HYPERLINK("https://mncourtfraud.com/file/MCRO_27-CR-21-7676_Notice of Remote Hearing with Instructions_2024-04-11_20240430080541.pdf","MCRO_27-CR-21-7676_Notice of Remote Hearing with Instructions_2024-04-11_20240430080541.pdf")</f>
        <v>MCRO_27-CR-21-7676_Notice of Remote Hearing with Instructions_2024-04-11_20240430080541.pdf</v>
      </c>
      <c r="C2203" s="1" t="n">
        <v>4</v>
      </c>
      <c r="D2203" s="1" t="n">
        <v>1</v>
      </c>
      <c r="E2203" s="1" t="n">
        <v>1</v>
      </c>
      <c r="F2203" s="3" t="s">
        <v>20</v>
      </c>
      <c r="G2203" s="3" t="s">
        <v>8967</v>
      </c>
      <c r="H2203" s="1" t="s">
        <v>22</v>
      </c>
      <c r="I2203" s="1" t="n">
        <v>20240430080541</v>
      </c>
      <c r="J2203" s="3" t="s">
        <v>8968</v>
      </c>
      <c r="K2203" s="3" t="s">
        <v>8969</v>
      </c>
      <c r="L2203" s="3" t="s">
        <v>8970</v>
      </c>
      <c r="M2203" s="3" t="n">
        <v>260627</v>
      </c>
      <c r="N2203" s="3" t="s">
        <v>936</v>
      </c>
      <c r="O2203" s="1" t="n">
        <v>244241</v>
      </c>
      <c r="P2203" s="1" t="n">
        <v>93.71</v>
      </c>
      <c r="Q2203" s="1" t="s">
        <v>20</v>
      </c>
      <c r="R2203" s="1" t="s">
        <v>27</v>
      </c>
      <c r="S2203" s="1" t="s">
        <v>28</v>
      </c>
      <c r="T2203" s="1" t="s">
        <v>29</v>
      </c>
    </row>
    <row r="2204" customFormat="false" ht="18.7" hidden="false" customHeight="true" outlineLevel="0" collapsed="false">
      <c r="A2204" s="1" t="n">
        <v>2203</v>
      </c>
      <c r="B2204" s="6" t="str">
        <f aca="false">HYPERLINK("https://mncourtfraud.com/file/MCRO_27-CR-21-7676_Order-Evaluation for Competency to Proceed (Rule 20.01)_2023-02-16_20240430080547.pdf","MCRO_27-CR-21-7676_Order-Evaluation for Competency to Proceed (Rule 20.01)_2023-02-16_20240430080547.pdf")</f>
        <v>MCRO_27-CR-21-7676_Order-Evaluation for Competency to Proceed (Rule 20.01)_2023-02-16_20240430080547.pdf</v>
      </c>
      <c r="C2204" s="1" t="n">
        <v>4</v>
      </c>
      <c r="D2204" s="1" t="n">
        <v>1</v>
      </c>
      <c r="E2204" s="1" t="n">
        <v>1</v>
      </c>
      <c r="F2204" s="3" t="s">
        <v>20</v>
      </c>
      <c r="G2204" s="3" t="s">
        <v>8971</v>
      </c>
      <c r="H2204" s="1" t="s">
        <v>22</v>
      </c>
      <c r="I2204" s="1" t="n">
        <v>20240430080547</v>
      </c>
      <c r="J2204" s="3" t="s">
        <v>8972</v>
      </c>
      <c r="K2204" s="3" t="s">
        <v>8973</v>
      </c>
      <c r="L2204" s="3" t="s">
        <v>8974</v>
      </c>
      <c r="M2204" s="3" t="n">
        <v>143670</v>
      </c>
      <c r="N2204" s="3" t="s">
        <v>1159</v>
      </c>
      <c r="O2204" s="1" t="n">
        <v>127284</v>
      </c>
      <c r="P2204" s="1" t="n">
        <v>88.59</v>
      </c>
      <c r="Q2204" s="1" t="s">
        <v>20</v>
      </c>
      <c r="R2204" s="1" t="s">
        <v>27</v>
      </c>
      <c r="S2204" s="1" t="s">
        <v>28</v>
      </c>
      <c r="T2204" s="1" t="s">
        <v>29</v>
      </c>
    </row>
    <row r="2205" customFormat="false" ht="18.7" hidden="false" customHeight="true" outlineLevel="0" collapsed="false">
      <c r="A2205" s="1" t="n">
        <v>2204</v>
      </c>
      <c r="B2205" s="6" t="str">
        <f aca="false">HYPERLINK("https://mncourtfraud.com/file/MCRO_27-CR-21-7676_Order-Evaluation for Competency to Proceed (Rule 20.01)_2024-01-31_20240430080543.pdf","MCRO_27-CR-21-7676_Order-Evaluation for Competency to Proceed (Rule 20.01)_2024-01-31_20240430080543.pdf")</f>
        <v>MCRO_27-CR-21-7676_Order-Evaluation for Competency to Proceed (Rule 20.01)_2024-01-31_20240430080543.pdf</v>
      </c>
      <c r="C2205" s="1" t="n">
        <v>5</v>
      </c>
      <c r="D2205" s="1" t="n">
        <v>1</v>
      </c>
      <c r="E2205" s="1" t="n">
        <v>1</v>
      </c>
      <c r="F2205" s="3" t="s">
        <v>20</v>
      </c>
      <c r="G2205" s="3" t="s">
        <v>8975</v>
      </c>
      <c r="H2205" s="1" t="s">
        <v>22</v>
      </c>
      <c r="I2205" s="1" t="n">
        <v>20240430080543</v>
      </c>
      <c r="J2205" s="3" t="s">
        <v>8976</v>
      </c>
      <c r="K2205" s="3" t="s">
        <v>8977</v>
      </c>
      <c r="L2205" s="3" t="s">
        <v>8978</v>
      </c>
      <c r="M2205" s="3" t="n">
        <v>760492</v>
      </c>
      <c r="N2205" s="3" t="s">
        <v>1091</v>
      </c>
      <c r="O2205" s="1" t="n">
        <v>744106</v>
      </c>
      <c r="P2205" s="1" t="n">
        <v>97.85</v>
      </c>
      <c r="Q2205" s="1" t="s">
        <v>20</v>
      </c>
      <c r="R2205" s="1" t="s">
        <v>27</v>
      </c>
      <c r="S2205" s="1" t="s">
        <v>28</v>
      </c>
      <c r="T2205" s="1" t="s">
        <v>29</v>
      </c>
    </row>
    <row r="2206" customFormat="false" ht="18.7" hidden="false" customHeight="true" outlineLevel="0" collapsed="false">
      <c r="A2206" s="1" t="n">
        <v>2205</v>
      </c>
      <c r="B2206" s="6" t="str">
        <f aca="false">HYPERLINK("https://mncourtfraud.com/file/MCRO_27-CR-21-7676_Proposed Order or Document_2023-08-24_20240430080544.pdf","MCRO_27-CR-21-7676_Proposed Order or Document_2023-08-24_20240430080544.pdf")</f>
        <v>MCRO_27-CR-21-7676_Proposed Order or Document_2023-08-24_20240430080544.pdf</v>
      </c>
      <c r="C2206" s="1" t="n">
        <v>3</v>
      </c>
      <c r="D2206" s="1" t="n">
        <v>1</v>
      </c>
      <c r="E2206" s="1" t="n">
        <v>1</v>
      </c>
      <c r="F2206" s="3" t="s">
        <v>20</v>
      </c>
      <c r="G2206" s="3" t="s">
        <v>8979</v>
      </c>
      <c r="H2206" s="1" t="s">
        <v>22</v>
      </c>
      <c r="I2206" s="1" t="n">
        <v>20240430080544</v>
      </c>
      <c r="J2206" s="3" t="s">
        <v>8980</v>
      </c>
      <c r="K2206" s="3" t="s">
        <v>8981</v>
      </c>
      <c r="L2206" s="3" t="s">
        <v>8982</v>
      </c>
      <c r="M2206" s="3" t="n">
        <v>178351</v>
      </c>
      <c r="N2206" s="3" t="s">
        <v>1115</v>
      </c>
      <c r="O2206" s="1" t="n">
        <v>161965</v>
      </c>
      <c r="P2206" s="1" t="n">
        <v>90.81</v>
      </c>
      <c r="Q2206" s="1" t="s">
        <v>20</v>
      </c>
      <c r="R2206" s="1" t="s">
        <v>27</v>
      </c>
      <c r="S2206" s="1" t="s">
        <v>28</v>
      </c>
      <c r="T2206" s="1" t="s">
        <v>29</v>
      </c>
    </row>
    <row r="2207" customFormat="false" ht="18.7" hidden="false" customHeight="true" outlineLevel="0" collapsed="false">
      <c r="A2207" s="1" t="n">
        <v>2206</v>
      </c>
      <c r="B2207" s="6" t="str">
        <f aca="false">HYPERLINK("https://mncourtfraud.com/file/MCRO_27-CR-21-8067_Demand or Request for Discovery_2021-08-02_20240430080652.pdf","MCRO_27-CR-21-8067_Demand or Request for Discovery_2021-08-02_20240430080652.pdf")</f>
        <v>MCRO_27-CR-21-8067_Demand or Request for Discovery_2021-08-02_20240430080652.pdf</v>
      </c>
      <c r="C2207" s="1" t="n">
        <v>3</v>
      </c>
      <c r="D2207" s="1" t="n">
        <v>1</v>
      </c>
      <c r="E2207" s="1" t="n">
        <v>1</v>
      </c>
      <c r="F2207" s="3" t="s">
        <v>20</v>
      </c>
      <c r="G2207" s="3" t="s">
        <v>8983</v>
      </c>
      <c r="H2207" s="1" t="s">
        <v>22</v>
      </c>
      <c r="I2207" s="1" t="n">
        <v>20240430080652</v>
      </c>
      <c r="J2207" s="3" t="s">
        <v>8984</v>
      </c>
      <c r="K2207" s="3" t="s">
        <v>8985</v>
      </c>
      <c r="L2207" s="3" t="s">
        <v>8986</v>
      </c>
      <c r="M2207" s="3" t="n">
        <v>367200</v>
      </c>
      <c r="N2207" s="3" t="s">
        <v>5694</v>
      </c>
      <c r="O2207" s="1" t="n">
        <v>350814</v>
      </c>
      <c r="P2207" s="1" t="n">
        <v>95.54</v>
      </c>
      <c r="Q2207" s="1" t="s">
        <v>20</v>
      </c>
      <c r="R2207" s="1" t="s">
        <v>27</v>
      </c>
      <c r="S2207" s="1" t="s">
        <v>28</v>
      </c>
      <c r="T2207" s="1" t="s">
        <v>29</v>
      </c>
    </row>
    <row r="2208" customFormat="false" ht="18.7" hidden="false" customHeight="true" outlineLevel="0" collapsed="false">
      <c r="A2208" s="1" t="n">
        <v>2207</v>
      </c>
      <c r="B2208" s="6" t="str">
        <f aca="false">HYPERLINK("https://mncourtfraud.com/file/MCRO_27-CR-21-8067_E-filed Comp-Summons_2021-04-26_20240430080700.pdf","MCRO_27-CR-21-8067_E-filed Comp-Summons_2021-04-26_20240430080700.pdf")</f>
        <v>MCRO_27-CR-21-8067_E-filed Comp-Summons_2021-04-26_20240430080700.pdf</v>
      </c>
      <c r="C2208" s="1" t="n">
        <v>4</v>
      </c>
      <c r="D2208" s="1" t="n">
        <v>2</v>
      </c>
      <c r="E2208" s="1" t="n">
        <v>2</v>
      </c>
      <c r="F2208" s="3" t="s">
        <v>20</v>
      </c>
      <c r="G2208" s="3" t="s">
        <v>8987</v>
      </c>
      <c r="H2208" s="1" t="s">
        <v>22</v>
      </c>
      <c r="I2208" s="1" t="n">
        <v>20240430080700</v>
      </c>
      <c r="J2208" s="3" t="s">
        <v>8988</v>
      </c>
      <c r="K2208" s="3" t="s">
        <v>8989</v>
      </c>
      <c r="L2208" s="3" t="s">
        <v>8990</v>
      </c>
      <c r="M2208" s="3" t="n">
        <v>500988</v>
      </c>
      <c r="N2208" s="3" t="s">
        <v>5604</v>
      </c>
      <c r="O2208" s="1" t="n">
        <v>484602</v>
      </c>
      <c r="P2208" s="1" t="n">
        <v>96.73</v>
      </c>
      <c r="Q2208" s="1" t="s">
        <v>20</v>
      </c>
      <c r="R2208" s="1" t="s">
        <v>27</v>
      </c>
      <c r="S2208" s="1" t="s">
        <v>28</v>
      </c>
      <c r="T2208" s="1" t="s">
        <v>29</v>
      </c>
    </row>
    <row r="2209" customFormat="false" ht="18.7" hidden="false" customHeight="true" outlineLevel="0" collapsed="false">
      <c r="A2209" s="1" t="n">
        <v>2208</v>
      </c>
      <c r="B2209" s="6" t="str">
        <f aca="false">HYPERLINK("https://mncourtfraud.com/file/MCRO_27-CR-21-8067_Finding of Incompetency and Order_2023-05-02_20240430080639.pdf","MCRO_27-CR-21-8067_Finding of Incompetency and Order_2023-05-02_20240430080639.pdf")</f>
        <v>MCRO_27-CR-21-8067_Finding of Incompetency and Order_2023-05-02_20240430080639.pdf</v>
      </c>
      <c r="C2209" s="1" t="n">
        <v>9</v>
      </c>
      <c r="D2209" s="1" t="n">
        <v>3</v>
      </c>
      <c r="E2209" s="1" t="n">
        <v>3</v>
      </c>
      <c r="F2209" s="3" t="s">
        <v>27</v>
      </c>
      <c r="G2209" s="3" t="s">
        <v>8991</v>
      </c>
      <c r="H2209" s="1" t="s">
        <v>22</v>
      </c>
      <c r="I2209" s="1" t="n">
        <v>20240430080639</v>
      </c>
      <c r="J2209" s="3" t="s">
        <v>8992</v>
      </c>
      <c r="K2209" s="3" t="s">
        <v>8993</v>
      </c>
      <c r="L2209" s="3" t="s">
        <v>8994</v>
      </c>
      <c r="M2209" s="3" t="n">
        <v>951848</v>
      </c>
      <c r="N2209" s="3" t="s">
        <v>3264</v>
      </c>
      <c r="O2209" s="1" t="n">
        <v>935462</v>
      </c>
      <c r="P2209" s="1" t="n">
        <v>98.28</v>
      </c>
      <c r="Q2209" s="1" t="s">
        <v>20</v>
      </c>
      <c r="R2209" s="1" t="s">
        <v>27</v>
      </c>
      <c r="S2209" s="1" t="s">
        <v>28</v>
      </c>
      <c r="T2209" s="1" t="s">
        <v>29</v>
      </c>
    </row>
    <row r="2210" customFormat="false" ht="18.7" hidden="false" customHeight="true" outlineLevel="0" collapsed="false">
      <c r="A2210" s="1" t="n">
        <v>2209</v>
      </c>
      <c r="B2210" s="6" t="str">
        <f aca="false">HYPERLINK("https://mncourtfraud.com/file/MCRO_27-CR-21-8067_Finding of Incompetency and Order_2023-11-01_20240430080635.pdf","MCRO_27-CR-21-8067_Finding of Incompetency and Order_2023-11-01_20240430080635.pdf")</f>
        <v>MCRO_27-CR-21-8067_Finding of Incompetency and Order_2023-11-01_20240430080635.pdf</v>
      </c>
      <c r="C2210" s="1" t="n">
        <v>7</v>
      </c>
      <c r="D2210" s="1" t="n">
        <v>2</v>
      </c>
      <c r="E2210" s="1" t="n">
        <v>2</v>
      </c>
      <c r="F2210" s="3" t="s">
        <v>20</v>
      </c>
      <c r="G2210" s="3" t="s">
        <v>8995</v>
      </c>
      <c r="H2210" s="1" t="s">
        <v>22</v>
      </c>
      <c r="I2210" s="1" t="n">
        <v>20240430080635</v>
      </c>
      <c r="J2210" s="3" t="s">
        <v>8996</v>
      </c>
      <c r="K2210" s="3" t="s">
        <v>8997</v>
      </c>
      <c r="L2210" s="3" t="s">
        <v>8998</v>
      </c>
      <c r="M2210" s="3" t="n">
        <v>924946</v>
      </c>
      <c r="N2210" s="3" t="s">
        <v>4961</v>
      </c>
      <c r="O2210" s="1" t="n">
        <v>908560</v>
      </c>
      <c r="P2210" s="1" t="n">
        <v>98.23</v>
      </c>
      <c r="Q2210" s="1" t="s">
        <v>20</v>
      </c>
      <c r="R2210" s="1" t="s">
        <v>27</v>
      </c>
      <c r="S2210" s="1" t="s">
        <v>28</v>
      </c>
      <c r="T2210" s="1" t="s">
        <v>29</v>
      </c>
    </row>
    <row r="2211" customFormat="false" ht="18.7" hidden="false" customHeight="true" outlineLevel="0" collapsed="false">
      <c r="A2211" s="1" t="n">
        <v>2210</v>
      </c>
      <c r="B2211" s="6" t="str">
        <f aca="false">HYPERLINK("https://mncourtfraud.com/file/MCRO_27-CR-21-8067_Findings and Order_2022-06-14_20240430080645.pdf","MCRO_27-CR-21-8067_Findings and Order_2022-06-14_20240430080645.pdf")</f>
        <v>MCRO_27-CR-21-8067_Findings and Order_2022-06-14_20240430080645.pdf</v>
      </c>
      <c r="C2211" s="1" t="n">
        <v>4</v>
      </c>
      <c r="D2211" s="1" t="n">
        <v>2</v>
      </c>
      <c r="E2211" s="1" t="n">
        <v>2</v>
      </c>
      <c r="F2211" s="3" t="s">
        <v>20</v>
      </c>
      <c r="G2211" s="3" t="s">
        <v>8999</v>
      </c>
      <c r="H2211" s="1" t="s">
        <v>22</v>
      </c>
      <c r="I2211" s="1" t="n">
        <v>20240430080645</v>
      </c>
      <c r="J2211" s="3" t="s">
        <v>9000</v>
      </c>
      <c r="K2211" s="3" t="s">
        <v>9001</v>
      </c>
      <c r="L2211" s="3" t="s">
        <v>9002</v>
      </c>
      <c r="M2211" s="3" t="n">
        <v>302599</v>
      </c>
      <c r="N2211" s="3" t="s">
        <v>3832</v>
      </c>
      <c r="O2211" s="1" t="n">
        <v>286213</v>
      </c>
      <c r="P2211" s="1" t="n">
        <v>94.58</v>
      </c>
      <c r="Q2211" s="1" t="s">
        <v>20</v>
      </c>
      <c r="R2211" s="1" t="s">
        <v>27</v>
      </c>
      <c r="S2211" s="1" t="s">
        <v>28</v>
      </c>
      <c r="T2211" s="1" t="s">
        <v>29</v>
      </c>
    </row>
    <row r="2212" customFormat="false" ht="18.7" hidden="false" customHeight="true" outlineLevel="0" collapsed="false">
      <c r="A2212" s="1" t="n">
        <v>2211</v>
      </c>
      <c r="B2212" s="6" t="str">
        <f aca="false">HYPERLINK("https://mncourtfraud.com/file/MCRO_27-CR-21-8067_Law Enforcement Notice of Release and Appearance_2021-11-09_20240430080649.pdf","MCRO_27-CR-21-8067_Law Enforcement Notice of Release and Appearance_2021-11-09_20240430080649.pdf")</f>
        <v>MCRO_27-CR-21-8067_Law Enforcement Notice of Release and Appearance_2021-11-09_20240430080649.pdf</v>
      </c>
      <c r="C2212" s="1" t="n">
        <v>4</v>
      </c>
      <c r="D2212" s="1" t="n">
        <v>1</v>
      </c>
      <c r="E2212" s="1" t="n">
        <v>1</v>
      </c>
      <c r="F2212" s="3" t="s">
        <v>20</v>
      </c>
      <c r="G2212" s="3" t="s">
        <v>9003</v>
      </c>
      <c r="H2212" s="1" t="s">
        <v>22</v>
      </c>
      <c r="I2212" s="1" t="n">
        <v>20240430080649</v>
      </c>
      <c r="J2212" s="3" t="s">
        <v>9004</v>
      </c>
      <c r="K2212" s="3" t="s">
        <v>9005</v>
      </c>
      <c r="L2212" s="3" t="s">
        <v>9006</v>
      </c>
      <c r="M2212" s="3" t="n">
        <v>135281</v>
      </c>
      <c r="N2212" s="3" t="s">
        <v>456</v>
      </c>
      <c r="O2212" s="1" t="n">
        <v>118895</v>
      </c>
      <c r="P2212" s="1" t="n">
        <v>87.89</v>
      </c>
      <c r="Q2212" s="1" t="s">
        <v>20</v>
      </c>
      <c r="R2212" s="1" t="s">
        <v>27</v>
      </c>
      <c r="S2212" s="1" t="s">
        <v>28</v>
      </c>
      <c r="T2212" s="1" t="s">
        <v>29</v>
      </c>
    </row>
    <row r="2213" customFormat="false" ht="18.7" hidden="false" customHeight="true" outlineLevel="0" collapsed="false">
      <c r="A2213" s="1" t="n">
        <v>2212</v>
      </c>
      <c r="B2213" s="6" t="str">
        <f aca="false">HYPERLINK("https://mncourtfraud.com/file/MCRO_27-CR-21-8067_Notice of Case Reassignment_2022-04-01_20240430080646.pdf","MCRO_27-CR-21-8067_Notice of Case Reassignment_2022-04-01_20240430080646.pdf")</f>
        <v>MCRO_27-CR-21-8067_Notice of Case Reassignment_2022-04-01_20240430080646.pdf</v>
      </c>
      <c r="C2213" s="1" t="n">
        <v>4</v>
      </c>
      <c r="D2213" s="1" t="n">
        <v>1</v>
      </c>
      <c r="E2213" s="1" t="n">
        <v>1</v>
      </c>
      <c r="F2213" s="3" t="s">
        <v>20</v>
      </c>
      <c r="G2213" s="3" t="s">
        <v>9007</v>
      </c>
      <c r="H2213" s="1" t="s">
        <v>22</v>
      </c>
      <c r="I2213" s="1" t="n">
        <v>20240430080646</v>
      </c>
      <c r="J2213" s="3" t="s">
        <v>9008</v>
      </c>
      <c r="K2213" s="3" t="s">
        <v>9009</v>
      </c>
      <c r="L2213" s="3" t="s">
        <v>2065</v>
      </c>
      <c r="M2213" s="3" t="n">
        <v>97366</v>
      </c>
      <c r="N2213" s="3" t="s">
        <v>456</v>
      </c>
      <c r="O2213" s="1" t="n">
        <v>80980</v>
      </c>
      <c r="P2213" s="1" t="n">
        <v>83.17</v>
      </c>
      <c r="Q2213" s="1" t="s">
        <v>20</v>
      </c>
      <c r="R2213" s="1" t="s">
        <v>27</v>
      </c>
      <c r="S2213" s="1" t="s">
        <v>28</v>
      </c>
      <c r="T2213" s="1" t="s">
        <v>29</v>
      </c>
    </row>
    <row r="2214" customFormat="false" ht="18.7" hidden="false" customHeight="true" outlineLevel="0" collapsed="false">
      <c r="A2214" s="1" t="n">
        <v>2213</v>
      </c>
      <c r="B2214" s="6" t="str">
        <f aca="false">HYPERLINK("https://mncourtfraud.com/file/MCRO_27-CR-21-8067_Notice of Case Reassignment_2023-01-13_20240430080642.pdf","MCRO_27-CR-21-8067_Notice of Case Reassignment_2023-01-13_20240430080642.pdf")</f>
        <v>MCRO_27-CR-21-8067_Notice of Case Reassignment_2023-01-13_20240430080642.pdf</v>
      </c>
      <c r="C2214" s="1" t="n">
        <v>4</v>
      </c>
      <c r="D2214" s="1" t="n">
        <v>1</v>
      </c>
      <c r="E2214" s="1" t="n">
        <v>1</v>
      </c>
      <c r="F2214" s="3" t="s">
        <v>20</v>
      </c>
      <c r="G2214" s="3" t="s">
        <v>9010</v>
      </c>
      <c r="H2214" s="1" t="s">
        <v>22</v>
      </c>
      <c r="I2214" s="1" t="n">
        <v>20240430080642</v>
      </c>
      <c r="J2214" s="3" t="s">
        <v>9011</v>
      </c>
      <c r="K2214" s="3" t="s">
        <v>9012</v>
      </c>
      <c r="L2214" s="3" t="s">
        <v>9013</v>
      </c>
      <c r="M2214" s="3" t="n">
        <v>309766</v>
      </c>
      <c r="N2214" s="3" t="s">
        <v>158</v>
      </c>
      <c r="O2214" s="1" t="n">
        <v>293380</v>
      </c>
      <c r="P2214" s="1" t="n">
        <v>94.71</v>
      </c>
      <c r="Q2214" s="1" t="s">
        <v>20</v>
      </c>
      <c r="R2214" s="1" t="s">
        <v>27</v>
      </c>
      <c r="S2214" s="1" t="s">
        <v>28</v>
      </c>
      <c r="T2214" s="1" t="s">
        <v>29</v>
      </c>
    </row>
    <row r="2215" customFormat="false" ht="18.7" hidden="false" customHeight="true" outlineLevel="0" collapsed="false">
      <c r="A2215" s="1" t="n">
        <v>2214</v>
      </c>
      <c r="B2215" s="6" t="str">
        <f aca="false">HYPERLINK("https://mncourtfraud.com/file/MCRO_27-CR-21-8067_Notice of Case Reassignment_2024-01-12_20240430080634.pdf","MCRO_27-CR-21-8067_Notice of Case Reassignment_2024-01-12_20240430080634.pdf")</f>
        <v>MCRO_27-CR-21-8067_Notice of Case Reassignment_2024-01-12_20240430080634.pdf</v>
      </c>
      <c r="C2215" s="1" t="n">
        <v>4</v>
      </c>
      <c r="D2215" s="1" t="n">
        <v>1</v>
      </c>
      <c r="E2215" s="1" t="n">
        <v>1</v>
      </c>
      <c r="F2215" s="3" t="s">
        <v>20</v>
      </c>
      <c r="G2215" s="3" t="s">
        <v>9014</v>
      </c>
      <c r="H2215" s="1" t="s">
        <v>22</v>
      </c>
      <c r="I2215" s="1" t="n">
        <v>20240430080634</v>
      </c>
      <c r="J2215" s="3" t="s">
        <v>9015</v>
      </c>
      <c r="K2215" s="3" t="s">
        <v>9016</v>
      </c>
      <c r="L2215" s="3" t="s">
        <v>9017</v>
      </c>
      <c r="M2215" s="3" t="n">
        <v>300233</v>
      </c>
      <c r="N2215" s="3" t="s">
        <v>158</v>
      </c>
      <c r="O2215" s="1" t="n">
        <v>283847</v>
      </c>
      <c r="P2215" s="1" t="n">
        <v>94.54</v>
      </c>
      <c r="Q2215" s="1" t="s">
        <v>20</v>
      </c>
      <c r="R2215" s="1" t="s">
        <v>27</v>
      </c>
      <c r="S2215" s="1" t="s">
        <v>28</v>
      </c>
      <c r="T2215" s="1" t="s">
        <v>29</v>
      </c>
    </row>
    <row r="2216" customFormat="false" ht="18.7" hidden="false" customHeight="true" outlineLevel="0" collapsed="false">
      <c r="A2216" s="1" t="n">
        <v>2215</v>
      </c>
      <c r="B2216" s="6" t="str">
        <f aca="false">HYPERLINK("https://mncourtfraud.com/file/MCRO_27-CR-21-8067_Notice of Remote Hearing with Instructions_2021-04-26_20240430080659.pdf","MCRO_27-CR-21-8067_Notice of Remote Hearing with Instructions_2021-04-26_20240430080659.pdf")</f>
        <v>MCRO_27-CR-21-8067_Notice of Remote Hearing with Instructions_2021-04-26_20240430080659.pdf</v>
      </c>
      <c r="C2216" s="1" t="n">
        <v>5</v>
      </c>
      <c r="D2216" s="1" t="n">
        <v>1</v>
      </c>
      <c r="E2216" s="1" t="n">
        <v>1</v>
      </c>
      <c r="F2216" s="3" t="s">
        <v>20</v>
      </c>
      <c r="G2216" s="3" t="s">
        <v>9018</v>
      </c>
      <c r="H2216" s="1" t="s">
        <v>22</v>
      </c>
      <c r="I2216" s="1" t="n">
        <v>20240430080659</v>
      </c>
      <c r="J2216" s="3" t="s">
        <v>9019</v>
      </c>
      <c r="K2216" s="3" t="s">
        <v>9020</v>
      </c>
      <c r="L2216" s="3" t="s">
        <v>9021</v>
      </c>
      <c r="M2216" s="3" t="n">
        <v>1273635</v>
      </c>
      <c r="N2216" s="3" t="s">
        <v>1584</v>
      </c>
      <c r="O2216" s="1" t="n">
        <v>1257249</v>
      </c>
      <c r="P2216" s="1" t="n">
        <v>98.71</v>
      </c>
      <c r="Q2216" s="1" t="s">
        <v>20</v>
      </c>
      <c r="R2216" s="1" t="s">
        <v>27</v>
      </c>
      <c r="S2216" s="1" t="s">
        <v>28</v>
      </c>
      <c r="T2216" s="1" t="s">
        <v>29</v>
      </c>
    </row>
    <row r="2217" customFormat="false" ht="18.7" hidden="false" customHeight="true" outlineLevel="0" collapsed="false">
      <c r="A2217" s="1" t="n">
        <v>2216</v>
      </c>
      <c r="B2217" s="6" t="str">
        <f aca="false">HYPERLINK("https://mncourtfraud.com/file/MCRO_27-CR-21-8067_Notice of Remote Hearing with Instructions_2021-04-30_20240430080658.pdf","MCRO_27-CR-21-8067_Notice of Remote Hearing with Instructions_2021-04-30_20240430080658.pdf")</f>
        <v>MCRO_27-CR-21-8067_Notice of Remote Hearing with Instructions_2021-04-30_20240430080658.pdf</v>
      </c>
      <c r="C2217" s="1" t="n">
        <v>5</v>
      </c>
      <c r="D2217" s="1" t="n">
        <v>1</v>
      </c>
      <c r="E2217" s="1" t="n">
        <v>1</v>
      </c>
      <c r="F2217" s="3" t="s">
        <v>20</v>
      </c>
      <c r="G2217" s="3" t="s">
        <v>9022</v>
      </c>
      <c r="H2217" s="1" t="s">
        <v>22</v>
      </c>
      <c r="I2217" s="1" t="n">
        <v>20240430080658</v>
      </c>
      <c r="J2217" s="3" t="s">
        <v>9023</v>
      </c>
      <c r="K2217" s="3" t="s">
        <v>9024</v>
      </c>
      <c r="L2217" s="3" t="s">
        <v>9025</v>
      </c>
      <c r="M2217" s="3" t="n">
        <v>839715</v>
      </c>
      <c r="N2217" s="3" t="s">
        <v>849</v>
      </c>
      <c r="O2217" s="1" t="n">
        <v>823329</v>
      </c>
      <c r="P2217" s="1" t="n">
        <v>98.05</v>
      </c>
      <c r="Q2217" s="1" t="s">
        <v>20</v>
      </c>
      <c r="R2217" s="1" t="s">
        <v>27</v>
      </c>
      <c r="S2217" s="1" t="s">
        <v>28</v>
      </c>
      <c r="T2217" s="1" t="s">
        <v>29</v>
      </c>
    </row>
    <row r="2218" customFormat="false" ht="18.7" hidden="false" customHeight="true" outlineLevel="0" collapsed="false">
      <c r="A2218" s="1" t="n">
        <v>2217</v>
      </c>
      <c r="B2218" s="6" t="str">
        <f aca="false">HYPERLINK("https://mncourtfraud.com/file/MCRO_27-CR-21-8067_Notice of Remote Hearing with Instructions_2021-07-28_20240430080653.pdf","MCRO_27-CR-21-8067_Notice of Remote Hearing with Instructions_2021-07-28_20240430080653.pdf")</f>
        <v>MCRO_27-CR-21-8067_Notice of Remote Hearing with Instructions_2021-07-28_20240430080653.pdf</v>
      </c>
      <c r="C2218" s="1" t="n">
        <v>4</v>
      </c>
      <c r="D2218" s="1" t="n">
        <v>1</v>
      </c>
      <c r="E2218" s="1" t="n">
        <v>1</v>
      </c>
      <c r="F2218" s="3" t="s">
        <v>20</v>
      </c>
      <c r="G2218" s="3" t="s">
        <v>9026</v>
      </c>
      <c r="H2218" s="1" t="s">
        <v>22</v>
      </c>
      <c r="I2218" s="1" t="n">
        <v>20240430080653</v>
      </c>
      <c r="J2218" s="3" t="s">
        <v>9027</v>
      </c>
      <c r="K2218" s="3" t="s">
        <v>9028</v>
      </c>
      <c r="L2218" s="3" t="s">
        <v>9029</v>
      </c>
      <c r="M2218" s="3" t="n">
        <v>162941</v>
      </c>
      <c r="N2218" s="3" t="s">
        <v>1065</v>
      </c>
      <c r="O2218" s="1" t="n">
        <v>146555</v>
      </c>
      <c r="P2218" s="1" t="n">
        <v>89.94</v>
      </c>
      <c r="Q2218" s="1" t="s">
        <v>20</v>
      </c>
      <c r="R2218" s="1" t="s">
        <v>27</v>
      </c>
      <c r="S2218" s="1" t="s">
        <v>28</v>
      </c>
      <c r="T2218" s="1" t="s">
        <v>29</v>
      </c>
    </row>
    <row r="2219" customFormat="false" ht="18.7" hidden="false" customHeight="true" outlineLevel="0" collapsed="false">
      <c r="A2219" s="1" t="n">
        <v>2218</v>
      </c>
      <c r="B2219" s="6" t="str">
        <f aca="false">HYPERLINK("https://mncourtfraud.com/file/MCRO_27-CR-21-8067_Notice of Remote Hearing with Instructions_2021-09-14_20240430080651.pdf","MCRO_27-CR-21-8067_Notice of Remote Hearing with Instructions_2021-09-14_20240430080651.pdf")</f>
        <v>MCRO_27-CR-21-8067_Notice of Remote Hearing with Instructions_2021-09-14_20240430080651.pdf</v>
      </c>
      <c r="C2219" s="1" t="n">
        <v>4</v>
      </c>
      <c r="D2219" s="1" t="n">
        <v>1</v>
      </c>
      <c r="E2219" s="1" t="n">
        <v>1</v>
      </c>
      <c r="F2219" s="3" t="s">
        <v>20</v>
      </c>
      <c r="G2219" s="3" t="s">
        <v>9030</v>
      </c>
      <c r="H2219" s="1" t="s">
        <v>22</v>
      </c>
      <c r="I2219" s="1" t="n">
        <v>20240430080651</v>
      </c>
      <c r="J2219" s="3" t="s">
        <v>9031</v>
      </c>
      <c r="K2219" s="3" t="s">
        <v>9032</v>
      </c>
      <c r="L2219" s="3" t="s">
        <v>9033</v>
      </c>
      <c r="M2219" s="3" t="n">
        <v>822487</v>
      </c>
      <c r="N2219" s="3" t="s">
        <v>2818</v>
      </c>
      <c r="O2219" s="1" t="n">
        <v>806101</v>
      </c>
      <c r="P2219" s="1" t="n">
        <v>98.01</v>
      </c>
      <c r="Q2219" s="1" t="s">
        <v>20</v>
      </c>
      <c r="R2219" s="1" t="s">
        <v>27</v>
      </c>
      <c r="S2219" s="1" t="s">
        <v>28</v>
      </c>
      <c r="T2219" s="1" t="s">
        <v>29</v>
      </c>
    </row>
    <row r="2220" customFormat="false" ht="18.7" hidden="false" customHeight="true" outlineLevel="0" collapsed="false">
      <c r="A2220" s="1" t="n">
        <v>2219</v>
      </c>
      <c r="B2220" s="6" t="str">
        <f aca="false">HYPERLINK("https://mncourtfraud.com/file/MCRO_27-CR-21-8067_Notice of Remote Hearing with Instructions_2021-11-09_20240430080650.pdf","MCRO_27-CR-21-8067_Notice of Remote Hearing with Instructions_2021-11-09_20240430080650.pdf")</f>
        <v>MCRO_27-CR-21-8067_Notice of Remote Hearing with Instructions_2021-11-09_20240430080650.pdf</v>
      </c>
      <c r="C2220" s="1" t="n">
        <v>5</v>
      </c>
      <c r="D2220" s="1" t="n">
        <v>1</v>
      </c>
      <c r="E2220" s="1" t="n">
        <v>1</v>
      </c>
      <c r="F2220" s="3" t="s">
        <v>20</v>
      </c>
      <c r="G2220" s="3" t="s">
        <v>9034</v>
      </c>
      <c r="H2220" s="1" t="s">
        <v>22</v>
      </c>
      <c r="I2220" s="1" t="n">
        <v>20240430080650</v>
      </c>
      <c r="J2220" s="3" t="s">
        <v>9035</v>
      </c>
      <c r="K2220" s="3" t="s">
        <v>9036</v>
      </c>
      <c r="L2220" s="3" t="s">
        <v>9037</v>
      </c>
      <c r="M2220" s="3" t="n">
        <v>908738</v>
      </c>
      <c r="N2220" s="3" t="s">
        <v>1239</v>
      </c>
      <c r="O2220" s="1" t="n">
        <v>892352</v>
      </c>
      <c r="P2220" s="1" t="n">
        <v>98.2</v>
      </c>
      <c r="Q2220" s="1" t="s">
        <v>20</v>
      </c>
      <c r="R2220" s="1" t="s">
        <v>27</v>
      </c>
      <c r="S2220" s="1" t="s">
        <v>28</v>
      </c>
      <c r="T2220" s="1" t="s">
        <v>29</v>
      </c>
    </row>
    <row r="2221" customFormat="false" ht="18.7" hidden="false" customHeight="true" outlineLevel="0" collapsed="false">
      <c r="A2221" s="1" t="n">
        <v>2220</v>
      </c>
      <c r="B2221" s="6" t="str">
        <f aca="false">HYPERLINK("https://mncourtfraud.com/file/MCRO_27-CR-21-8067_Notice of Remote Hearing with Instructions_2021-12-08_20240430080648.pdf","MCRO_27-CR-21-8067_Notice of Remote Hearing with Instructions_2021-12-08_20240430080648.pdf")</f>
        <v>MCRO_27-CR-21-8067_Notice of Remote Hearing with Instructions_2021-12-08_20240430080648.pdf</v>
      </c>
      <c r="C2221" s="1" t="n">
        <v>4</v>
      </c>
      <c r="D2221" s="1" t="n">
        <v>1</v>
      </c>
      <c r="E2221" s="1" t="n">
        <v>1</v>
      </c>
      <c r="F2221" s="3" t="s">
        <v>20</v>
      </c>
      <c r="G2221" s="3" t="s">
        <v>9038</v>
      </c>
      <c r="H2221" s="1" t="s">
        <v>22</v>
      </c>
      <c r="I2221" s="1" t="n">
        <v>20240430080648</v>
      </c>
      <c r="J2221" s="3" t="s">
        <v>9039</v>
      </c>
      <c r="K2221" s="3" t="s">
        <v>9040</v>
      </c>
      <c r="L2221" s="3" t="s">
        <v>4655</v>
      </c>
      <c r="M2221" s="3" t="n">
        <v>161683</v>
      </c>
      <c r="N2221" s="3" t="s">
        <v>1065</v>
      </c>
      <c r="O2221" s="1" t="n">
        <v>145297</v>
      </c>
      <c r="P2221" s="1" t="n">
        <v>89.87</v>
      </c>
      <c r="Q2221" s="1" t="s">
        <v>20</v>
      </c>
      <c r="R2221" s="1" t="s">
        <v>27</v>
      </c>
      <c r="S2221" s="1" t="s">
        <v>28</v>
      </c>
      <c r="T2221" s="1" t="s">
        <v>29</v>
      </c>
    </row>
    <row r="2222" customFormat="false" ht="18.7" hidden="false" customHeight="true" outlineLevel="0" collapsed="false">
      <c r="A2222" s="1" t="n">
        <v>2221</v>
      </c>
      <c r="B2222" s="6" t="str">
        <f aca="false">HYPERLINK("https://mncourtfraud.com/file/MCRO_27-CR-21-8067_Order-Evaluation for Competency to Proceed (Rule 20.01)_2022-03-23_20240430080647.pdf","MCRO_27-CR-21-8067_Order-Evaluation for Competency to Proceed (Rule 20.01)_2022-03-23_20240430080647.pdf")</f>
        <v>MCRO_27-CR-21-8067_Order-Evaluation for Competency to Proceed (Rule 20.01)_2022-03-23_20240430080647.pdf</v>
      </c>
      <c r="C2222" s="1" t="n">
        <v>3</v>
      </c>
      <c r="D2222" s="1" t="n">
        <v>1</v>
      </c>
      <c r="E2222" s="1" t="n">
        <v>1</v>
      </c>
      <c r="F2222" s="3" t="s">
        <v>20</v>
      </c>
      <c r="G2222" s="3" t="s">
        <v>9041</v>
      </c>
      <c r="H2222" s="1" t="s">
        <v>22</v>
      </c>
      <c r="I2222" s="1" t="n">
        <v>20240430080647</v>
      </c>
      <c r="J2222" s="3" t="s">
        <v>9042</v>
      </c>
      <c r="K2222" s="3" t="s">
        <v>9043</v>
      </c>
      <c r="L2222" s="3" t="s">
        <v>9044</v>
      </c>
      <c r="M2222" s="3" t="n">
        <v>252785</v>
      </c>
      <c r="N2222" s="3" t="s">
        <v>2818</v>
      </c>
      <c r="O2222" s="1" t="n">
        <v>236399</v>
      </c>
      <c r="P2222" s="1" t="n">
        <v>93.52</v>
      </c>
      <c r="Q2222" s="1" t="s">
        <v>20</v>
      </c>
      <c r="R2222" s="1" t="s">
        <v>27</v>
      </c>
      <c r="S2222" s="1" t="s">
        <v>28</v>
      </c>
      <c r="T2222" s="1" t="s">
        <v>29</v>
      </c>
    </row>
    <row r="2223" customFormat="false" ht="18.7" hidden="false" customHeight="true" outlineLevel="0" collapsed="false">
      <c r="A2223" s="1" t="n">
        <v>2222</v>
      </c>
      <c r="B2223" s="6" t="str">
        <f aca="false">HYPERLINK("https://mncourtfraud.com/file/MCRO_27-CR-21-8067_Order-Evaluation for Competency to Proceed (Rule 20.01)_2022-10-06_20240430080644.pdf","MCRO_27-CR-21-8067_Order-Evaluation for Competency to Proceed (Rule 20.01)_2022-10-06_20240430080644.pdf")</f>
        <v>MCRO_27-CR-21-8067_Order-Evaluation for Competency to Proceed (Rule 20.01)_2022-10-06_20240430080644.pdf</v>
      </c>
      <c r="C2223" s="1" t="n">
        <v>5</v>
      </c>
      <c r="D2223" s="1" t="n">
        <v>1</v>
      </c>
      <c r="E2223" s="1" t="n">
        <v>1</v>
      </c>
      <c r="F2223" s="3" t="s">
        <v>20</v>
      </c>
      <c r="G2223" s="3" t="s">
        <v>9045</v>
      </c>
      <c r="H2223" s="1" t="s">
        <v>22</v>
      </c>
      <c r="I2223" s="1" t="n">
        <v>20240430080644</v>
      </c>
      <c r="J2223" s="3" t="s">
        <v>9046</v>
      </c>
      <c r="K2223" s="3" t="s">
        <v>9047</v>
      </c>
      <c r="L2223" s="3" t="s">
        <v>9048</v>
      </c>
      <c r="M2223" s="3" t="n">
        <v>791755</v>
      </c>
      <c r="N2223" s="3" t="s">
        <v>5856</v>
      </c>
      <c r="O2223" s="1" t="n">
        <v>775369</v>
      </c>
      <c r="P2223" s="1" t="n">
        <v>97.93</v>
      </c>
      <c r="Q2223" s="1" t="s">
        <v>20</v>
      </c>
      <c r="R2223" s="1" t="s">
        <v>27</v>
      </c>
      <c r="S2223" s="1" t="s">
        <v>28</v>
      </c>
      <c r="T2223" s="1" t="s">
        <v>29</v>
      </c>
    </row>
    <row r="2224" customFormat="false" ht="18.7" hidden="false" customHeight="true" outlineLevel="0" collapsed="false">
      <c r="A2224" s="1" t="n">
        <v>2223</v>
      </c>
      <c r="B2224" s="6" t="str">
        <f aca="false">HYPERLINK("https://mncourtfraud.com/file/MCRO_27-CR-21-8067_Order-Evaluation for Competency to Proceed (Rule 20.01)_2023-02-21_20240430080641.pdf","MCRO_27-CR-21-8067_Order-Evaluation for Competency to Proceed (Rule 20.01)_2023-02-21_20240430080641.pdf")</f>
        <v>MCRO_27-CR-21-8067_Order-Evaluation for Competency to Proceed (Rule 20.01)_2023-02-21_20240430080641.pdf</v>
      </c>
      <c r="C2224" s="1" t="n">
        <v>3</v>
      </c>
      <c r="D2224" s="1" t="n">
        <v>1</v>
      </c>
      <c r="E2224" s="1" t="n">
        <v>1</v>
      </c>
      <c r="F2224" s="3" t="s">
        <v>20</v>
      </c>
      <c r="G2224" s="3" t="s">
        <v>9049</v>
      </c>
      <c r="H2224" s="1" t="s">
        <v>22</v>
      </c>
      <c r="I2224" s="1" t="n">
        <v>20240430080641</v>
      </c>
      <c r="J2224" s="3" t="s">
        <v>9050</v>
      </c>
      <c r="K2224" s="3" t="s">
        <v>9051</v>
      </c>
      <c r="L2224" s="3" t="s">
        <v>9052</v>
      </c>
      <c r="M2224" s="3" t="n">
        <v>192384</v>
      </c>
      <c r="N2224" s="3" t="s">
        <v>1266</v>
      </c>
      <c r="O2224" s="1" t="n">
        <v>175998</v>
      </c>
      <c r="P2224" s="1" t="n">
        <v>91.48</v>
      </c>
      <c r="Q2224" s="1" t="s">
        <v>20</v>
      </c>
      <c r="R2224" s="1" t="s">
        <v>27</v>
      </c>
      <c r="S2224" s="1" t="s">
        <v>28</v>
      </c>
      <c r="T2224" s="1" t="s">
        <v>29</v>
      </c>
    </row>
    <row r="2225" customFormat="false" ht="18.7" hidden="false" customHeight="true" outlineLevel="0" collapsed="false">
      <c r="A2225" s="1" t="n">
        <v>2224</v>
      </c>
      <c r="B2225" s="6" t="str">
        <f aca="false">HYPERLINK("https://mncourtfraud.com/file/MCRO_27-CR-21-8067_Order-Evaluation for Competency to Proceed (Rule 20.01)_2023-03-28_20240430080639.pdf","MCRO_27-CR-21-8067_Order-Evaluation for Competency to Proceed (Rule 20.01)_2023-03-28_20240430080639.pdf")</f>
        <v>MCRO_27-CR-21-8067_Order-Evaluation for Competency to Proceed (Rule 20.01)_2023-03-28_20240430080639.pdf</v>
      </c>
      <c r="C2225" s="1" t="n">
        <v>6</v>
      </c>
      <c r="D2225" s="1" t="n">
        <v>2</v>
      </c>
      <c r="E2225" s="1" t="n">
        <v>2</v>
      </c>
      <c r="F2225" s="3" t="s">
        <v>27</v>
      </c>
      <c r="G2225" s="3" t="s">
        <v>9053</v>
      </c>
      <c r="H2225" s="1" t="s">
        <v>22</v>
      </c>
      <c r="I2225" s="1" t="n">
        <v>20240430080639</v>
      </c>
      <c r="J2225" s="3" t="s">
        <v>9054</v>
      </c>
      <c r="K2225" s="3" t="s">
        <v>9055</v>
      </c>
      <c r="L2225" s="3" t="s">
        <v>9056</v>
      </c>
      <c r="M2225" s="3" t="n">
        <v>888439</v>
      </c>
      <c r="N2225" s="3" t="s">
        <v>559</v>
      </c>
      <c r="O2225" s="1" t="n">
        <v>872053</v>
      </c>
      <c r="P2225" s="1" t="n">
        <v>98.16</v>
      </c>
      <c r="Q2225" s="1" t="s">
        <v>20</v>
      </c>
      <c r="R2225" s="1" t="s">
        <v>27</v>
      </c>
      <c r="S2225" s="1" t="s">
        <v>28</v>
      </c>
      <c r="T2225" s="1" t="s">
        <v>29</v>
      </c>
    </row>
    <row r="2226" customFormat="false" ht="18.7" hidden="false" customHeight="true" outlineLevel="0" collapsed="false">
      <c r="A2226" s="1" t="n">
        <v>2225</v>
      </c>
      <c r="B2226" s="6" t="str">
        <f aca="false">HYPERLINK("https://mncourtfraud.com/file/MCRO_27-CR-21-8067_Order-Evaluation for Competency to Proceed (Rule 20.01)_2023-08-22_20240430080636.pdf","MCRO_27-CR-21-8067_Order-Evaluation for Competency to Proceed (Rule 20.01)_2023-08-22_20240430080636.pdf")</f>
        <v>MCRO_27-CR-21-8067_Order-Evaluation for Competency to Proceed (Rule 20.01)_2023-08-22_20240430080636.pdf</v>
      </c>
      <c r="C2226" s="1" t="n">
        <v>6</v>
      </c>
      <c r="D2226" s="1" t="n">
        <v>2</v>
      </c>
      <c r="E2226" s="1" t="n">
        <v>2</v>
      </c>
      <c r="F2226" s="3" t="s">
        <v>27</v>
      </c>
      <c r="G2226" s="3" t="s">
        <v>9057</v>
      </c>
      <c r="H2226" s="1" t="s">
        <v>22</v>
      </c>
      <c r="I2226" s="1" t="n">
        <v>20240430080636</v>
      </c>
      <c r="J2226" s="3" t="s">
        <v>9058</v>
      </c>
      <c r="K2226" s="3" t="s">
        <v>9059</v>
      </c>
      <c r="L2226" s="3" t="s">
        <v>9060</v>
      </c>
      <c r="M2226" s="3" t="n">
        <v>877453</v>
      </c>
      <c r="N2226" s="3" t="s">
        <v>554</v>
      </c>
      <c r="O2226" s="1" t="n">
        <v>861067</v>
      </c>
      <c r="P2226" s="1" t="n">
        <v>98.13</v>
      </c>
      <c r="Q2226" s="1" t="s">
        <v>20</v>
      </c>
      <c r="R2226" s="1" t="s">
        <v>27</v>
      </c>
      <c r="S2226" s="1" t="s">
        <v>28</v>
      </c>
      <c r="T2226" s="1" t="s">
        <v>29</v>
      </c>
    </row>
    <row r="2227" customFormat="false" ht="18.7" hidden="false" customHeight="true" outlineLevel="0" collapsed="false">
      <c r="A2227" s="1" t="n">
        <v>2226</v>
      </c>
      <c r="B2227" s="6" t="str">
        <f aca="false">HYPERLINK("https://mncourtfraud.com/file/MCRO_27-CR-21-8067_Order for Conditional Release_2021-07-28_20240430080654.pdf","MCRO_27-CR-21-8067_Order for Conditional Release_2021-07-28_20240430080654.pdf")</f>
        <v>MCRO_27-CR-21-8067_Order for Conditional Release_2021-07-28_20240430080654.pdf</v>
      </c>
      <c r="C2227" s="1" t="n">
        <v>4</v>
      </c>
      <c r="D2227" s="1" t="n">
        <v>1</v>
      </c>
      <c r="E2227" s="1" t="n">
        <v>1</v>
      </c>
      <c r="F2227" s="3" t="s">
        <v>20</v>
      </c>
      <c r="G2227" s="3" t="s">
        <v>9061</v>
      </c>
      <c r="H2227" s="1" t="s">
        <v>22</v>
      </c>
      <c r="I2227" s="1" t="n">
        <v>20240430080654</v>
      </c>
      <c r="J2227" s="3" t="s">
        <v>9062</v>
      </c>
      <c r="K2227" s="3" t="s">
        <v>9063</v>
      </c>
      <c r="L2227" s="3" t="s">
        <v>9064</v>
      </c>
      <c r="M2227" s="3" t="n">
        <v>131180</v>
      </c>
      <c r="N2227" s="3" t="s">
        <v>456</v>
      </c>
      <c r="O2227" s="1" t="n">
        <v>114794</v>
      </c>
      <c r="P2227" s="1" t="n">
        <v>87.51</v>
      </c>
      <c r="Q2227" s="1" t="s">
        <v>20</v>
      </c>
      <c r="R2227" s="1" t="s">
        <v>27</v>
      </c>
      <c r="S2227" s="1" t="s">
        <v>28</v>
      </c>
      <c r="T2227" s="1" t="s">
        <v>29</v>
      </c>
    </row>
    <row r="2228" customFormat="false" ht="18.7" hidden="false" customHeight="true" outlineLevel="0" collapsed="false">
      <c r="A2228" s="1" t="n">
        <v>2227</v>
      </c>
      <c r="B2228" s="6" t="str">
        <f aca="false">HYPERLINK("https://mncourtfraud.com/file/MCRO_27-CR-21-8067_Order for Conditional Release_2023-03-17_20240430080641.pdf","MCRO_27-CR-21-8067_Order for Conditional Release_2023-03-17_20240430080641.pdf")</f>
        <v>MCRO_27-CR-21-8067_Order for Conditional Release_2023-03-17_20240430080641.pdf</v>
      </c>
      <c r="C2228" s="1" t="n">
        <v>4</v>
      </c>
      <c r="D2228" s="1" t="n">
        <v>1</v>
      </c>
      <c r="E2228" s="1" t="n">
        <v>1</v>
      </c>
      <c r="F2228" s="3" t="s">
        <v>20</v>
      </c>
      <c r="G2228" s="3" t="s">
        <v>9065</v>
      </c>
      <c r="H2228" s="1" t="s">
        <v>22</v>
      </c>
      <c r="I2228" s="1" t="n">
        <v>20240430080641</v>
      </c>
      <c r="J2228" s="3" t="s">
        <v>9066</v>
      </c>
      <c r="K2228" s="3" t="s">
        <v>9067</v>
      </c>
      <c r="L2228" s="3" t="s">
        <v>9068</v>
      </c>
      <c r="M2228" s="3" t="n">
        <v>1013946</v>
      </c>
      <c r="N2228" s="3" t="s">
        <v>650</v>
      </c>
      <c r="O2228" s="1" t="n">
        <v>997560</v>
      </c>
      <c r="P2228" s="1" t="n">
        <v>98.38</v>
      </c>
      <c r="Q2228" s="1" t="s">
        <v>20</v>
      </c>
      <c r="R2228" s="1" t="s">
        <v>27</v>
      </c>
      <c r="S2228" s="1" t="s">
        <v>28</v>
      </c>
      <c r="T2228" s="1" t="s">
        <v>29</v>
      </c>
    </row>
    <row r="2229" customFormat="false" ht="18.7" hidden="false" customHeight="true" outlineLevel="0" collapsed="false">
      <c r="A2229" s="1" t="n">
        <v>2228</v>
      </c>
      <c r="B2229" s="6" t="str">
        <f aca="false">HYPERLINK("https://mncourtfraud.com/file/MCRO_27-CR-21-8067_Order for Conditional Release_2023-05-16_20240430080637.pdf","MCRO_27-CR-21-8067_Order for Conditional Release_2023-05-16_20240430080637.pdf")</f>
        <v>MCRO_27-CR-21-8067_Order for Conditional Release_2023-05-16_20240430080637.pdf</v>
      </c>
      <c r="C2229" s="1" t="n">
        <v>6</v>
      </c>
      <c r="D2229" s="1" t="n">
        <v>2</v>
      </c>
      <c r="E2229" s="1" t="n">
        <v>2</v>
      </c>
      <c r="F2229" s="3" t="s">
        <v>27</v>
      </c>
      <c r="G2229" s="3" t="s">
        <v>9069</v>
      </c>
      <c r="H2229" s="1" t="s">
        <v>22</v>
      </c>
      <c r="I2229" s="1" t="n">
        <v>20240430080637</v>
      </c>
      <c r="J2229" s="3" t="s">
        <v>9070</v>
      </c>
      <c r="K2229" s="3" t="s">
        <v>9071</v>
      </c>
      <c r="L2229" s="3" t="s">
        <v>9072</v>
      </c>
      <c r="M2229" s="3" t="n">
        <v>876648</v>
      </c>
      <c r="N2229" s="3" t="s">
        <v>69</v>
      </c>
      <c r="O2229" s="1" t="n">
        <v>860262</v>
      </c>
      <c r="P2229" s="1" t="n">
        <v>98.13</v>
      </c>
      <c r="Q2229" s="1" t="s">
        <v>20</v>
      </c>
      <c r="R2229" s="1" t="s">
        <v>27</v>
      </c>
      <c r="S2229" s="1" t="s">
        <v>28</v>
      </c>
      <c r="T2229" s="1" t="s">
        <v>29</v>
      </c>
    </row>
    <row r="2230" customFormat="false" ht="18.7" hidden="false" customHeight="true" outlineLevel="0" collapsed="false">
      <c r="A2230" s="1" t="n">
        <v>2229</v>
      </c>
      <c r="B2230" s="6" t="str">
        <f aca="false">HYPERLINK("https://mncourtfraud.com/file/MCRO_27-CR-21-8067_Returned Mail_2021-05-07_20240430080656.pdf","MCRO_27-CR-21-8067_Returned Mail_2021-05-07_20240430080656.pdf")</f>
        <v>MCRO_27-CR-21-8067_Returned Mail_2021-05-07_20240430080656.pdf</v>
      </c>
      <c r="C2230" s="1" t="n">
        <v>4</v>
      </c>
      <c r="D2230" s="1" t="n">
        <v>1</v>
      </c>
      <c r="E2230" s="1" t="n">
        <v>1</v>
      </c>
      <c r="F2230" s="3" t="s">
        <v>20</v>
      </c>
      <c r="G2230" s="3" t="s">
        <v>9073</v>
      </c>
      <c r="H2230" s="1" t="s">
        <v>22</v>
      </c>
      <c r="I2230" s="1" t="n">
        <v>20240430080656</v>
      </c>
      <c r="J2230" s="3" t="s">
        <v>9074</v>
      </c>
      <c r="K2230" s="3" t="s">
        <v>9075</v>
      </c>
      <c r="L2230" s="3" t="s">
        <v>9076</v>
      </c>
      <c r="M2230" s="3" t="n">
        <v>94911</v>
      </c>
      <c r="N2230" s="3" t="s">
        <v>456</v>
      </c>
      <c r="O2230" s="1" t="n">
        <v>78525</v>
      </c>
      <c r="P2230" s="1" t="n">
        <v>82.74</v>
      </c>
      <c r="Q2230" s="1" t="s">
        <v>20</v>
      </c>
      <c r="R2230" s="1" t="s">
        <v>27</v>
      </c>
      <c r="S2230" s="1" t="s">
        <v>28</v>
      </c>
      <c r="T2230" s="1" t="s">
        <v>29</v>
      </c>
    </row>
    <row r="2231" customFormat="false" ht="18.7" hidden="false" customHeight="true" outlineLevel="0" collapsed="false">
      <c r="A2231" s="1" t="n">
        <v>2230</v>
      </c>
      <c r="B2231" s="6" t="str">
        <f aca="false">HYPERLINK("https://mncourtfraud.com/file/MCRO_27-CR-21-8067_Returned Mail_2021-05-12_20240430080655.pdf","MCRO_27-CR-21-8067_Returned Mail_2021-05-12_20240430080655.pdf")</f>
        <v>MCRO_27-CR-21-8067_Returned Mail_2021-05-12_20240430080655.pdf</v>
      </c>
      <c r="C2231" s="1" t="n">
        <v>4</v>
      </c>
      <c r="D2231" s="1" t="n">
        <v>1</v>
      </c>
      <c r="E2231" s="1" t="n">
        <v>1</v>
      </c>
      <c r="F2231" s="3" t="s">
        <v>20</v>
      </c>
      <c r="G2231" s="3" t="s">
        <v>9077</v>
      </c>
      <c r="H2231" s="1" t="s">
        <v>22</v>
      </c>
      <c r="I2231" s="1" t="n">
        <v>20240430080655</v>
      </c>
      <c r="J2231" s="3" t="s">
        <v>9078</v>
      </c>
      <c r="K2231" s="3" t="s">
        <v>9079</v>
      </c>
      <c r="L2231" s="3" t="s">
        <v>9080</v>
      </c>
      <c r="M2231" s="3" t="n">
        <v>100782</v>
      </c>
      <c r="N2231" s="3" t="s">
        <v>456</v>
      </c>
      <c r="O2231" s="1" t="n">
        <v>84396</v>
      </c>
      <c r="P2231" s="1" t="n">
        <v>83.74</v>
      </c>
      <c r="Q2231" s="1" t="s">
        <v>20</v>
      </c>
      <c r="R2231" s="1" t="s">
        <v>27</v>
      </c>
      <c r="S2231" s="1" t="s">
        <v>28</v>
      </c>
      <c r="T2231" s="1" t="s">
        <v>29</v>
      </c>
    </row>
    <row r="2232" customFormat="false" ht="18.7" hidden="false" customHeight="true" outlineLevel="0" collapsed="false">
      <c r="A2232" s="1" t="n">
        <v>2231</v>
      </c>
      <c r="B2232" s="6" t="str">
        <f aca="false">HYPERLINK("https://mncourtfraud.com/file/MCRO_27-CR-21-8227_Demand or Request for Discovery_2021-08-02_20240430080745.pdf","MCRO_27-CR-21-8227_Demand or Request for Discovery_2021-08-02_20240430080745.pdf")</f>
        <v>MCRO_27-CR-21-8227_Demand or Request for Discovery_2021-08-02_20240430080745.pdf</v>
      </c>
      <c r="C2232" s="1" t="n">
        <v>3</v>
      </c>
      <c r="D2232" s="1" t="n">
        <v>1</v>
      </c>
      <c r="E2232" s="1" t="n">
        <v>1</v>
      </c>
      <c r="F2232" s="3" t="s">
        <v>20</v>
      </c>
      <c r="G2232" s="3" t="s">
        <v>9081</v>
      </c>
      <c r="H2232" s="1" t="s">
        <v>22</v>
      </c>
      <c r="I2232" s="1" t="n">
        <v>20240430080745</v>
      </c>
      <c r="J2232" s="3" t="s">
        <v>9082</v>
      </c>
      <c r="K2232" s="3" t="s">
        <v>9083</v>
      </c>
      <c r="L2232" s="3" t="s">
        <v>9084</v>
      </c>
      <c r="M2232" s="3" t="n">
        <v>367588</v>
      </c>
      <c r="N2232" s="3" t="s">
        <v>3593</v>
      </c>
      <c r="O2232" s="1" t="n">
        <v>351202</v>
      </c>
      <c r="P2232" s="1" t="n">
        <v>95.54</v>
      </c>
      <c r="Q2232" s="1" t="s">
        <v>20</v>
      </c>
      <c r="R2232" s="1" t="s">
        <v>27</v>
      </c>
      <c r="S2232" s="1" t="s">
        <v>28</v>
      </c>
      <c r="T2232" s="1" t="s">
        <v>29</v>
      </c>
    </row>
    <row r="2233" customFormat="false" ht="18.7" hidden="false" customHeight="true" outlineLevel="0" collapsed="false">
      <c r="A2233" s="1" t="n">
        <v>2232</v>
      </c>
      <c r="B2233" s="6" t="str">
        <f aca="false">HYPERLINK("https://mncourtfraud.com/file/MCRO_27-CR-21-8227_E-filed Comp-Summons_2021-04-28_20240430080750.pdf","MCRO_27-CR-21-8227_E-filed Comp-Summons_2021-04-28_20240430080750.pdf")</f>
        <v>MCRO_27-CR-21-8227_E-filed Comp-Summons_2021-04-28_20240430080750.pdf</v>
      </c>
      <c r="C2233" s="1" t="n">
        <v>4</v>
      </c>
      <c r="D2233" s="1" t="n">
        <v>2</v>
      </c>
      <c r="E2233" s="1" t="n">
        <v>2</v>
      </c>
      <c r="F2233" s="3" t="s">
        <v>20</v>
      </c>
      <c r="G2233" s="3" t="s">
        <v>9085</v>
      </c>
      <c r="H2233" s="1" t="s">
        <v>22</v>
      </c>
      <c r="I2233" s="1" t="n">
        <v>20240430080750</v>
      </c>
      <c r="J2233" s="3" t="s">
        <v>9086</v>
      </c>
      <c r="K2233" s="3" t="s">
        <v>9087</v>
      </c>
      <c r="L2233" s="3" t="s">
        <v>9088</v>
      </c>
      <c r="M2233" s="3" t="n">
        <v>499209</v>
      </c>
      <c r="N2233" s="3" t="s">
        <v>5604</v>
      </c>
      <c r="O2233" s="1" t="n">
        <v>482823</v>
      </c>
      <c r="P2233" s="1" t="n">
        <v>96.72</v>
      </c>
      <c r="Q2233" s="1" t="s">
        <v>20</v>
      </c>
      <c r="R2233" s="1" t="s">
        <v>27</v>
      </c>
      <c r="S2233" s="1" t="s">
        <v>28</v>
      </c>
      <c r="T2233" s="1" t="s">
        <v>29</v>
      </c>
    </row>
    <row r="2234" customFormat="false" ht="18.7" hidden="false" customHeight="true" outlineLevel="0" collapsed="false">
      <c r="A2234" s="1" t="n">
        <v>2233</v>
      </c>
      <c r="B2234" s="6" t="str">
        <f aca="false">HYPERLINK("https://mncourtfraud.com/file/MCRO_27-CR-21-8227_Finding of Incompetency and Order_2023-05-02_20240430080732.pdf","MCRO_27-CR-21-8227_Finding of Incompetency and Order_2023-05-02_20240430080732.pdf")</f>
        <v>MCRO_27-CR-21-8227_Finding of Incompetency and Order_2023-05-02_20240430080732.pdf</v>
      </c>
      <c r="C2234" s="1" t="n">
        <v>9</v>
      </c>
      <c r="D2234" s="1" t="n">
        <v>3</v>
      </c>
      <c r="E2234" s="1" t="n">
        <v>3</v>
      </c>
      <c r="F2234" s="3" t="s">
        <v>27</v>
      </c>
      <c r="G2234" s="3" t="s">
        <v>9089</v>
      </c>
      <c r="H2234" s="1" t="s">
        <v>22</v>
      </c>
      <c r="I2234" s="1" t="n">
        <v>20240430080732</v>
      </c>
      <c r="J2234" s="3" t="s">
        <v>9090</v>
      </c>
      <c r="K2234" s="3" t="s">
        <v>9091</v>
      </c>
      <c r="L2234" s="3" t="s">
        <v>9092</v>
      </c>
      <c r="M2234" s="3" t="n">
        <v>951849</v>
      </c>
      <c r="N2234" s="3" t="s">
        <v>3264</v>
      </c>
      <c r="O2234" s="1" t="n">
        <v>935463</v>
      </c>
      <c r="P2234" s="1" t="n">
        <v>98.28</v>
      </c>
      <c r="Q2234" s="1" t="s">
        <v>20</v>
      </c>
      <c r="R2234" s="1" t="s">
        <v>27</v>
      </c>
      <c r="S2234" s="1" t="s">
        <v>28</v>
      </c>
      <c r="T2234" s="1" t="s">
        <v>29</v>
      </c>
    </row>
    <row r="2235" customFormat="false" ht="18.7" hidden="false" customHeight="true" outlineLevel="0" collapsed="false">
      <c r="A2235" s="1" t="n">
        <v>2234</v>
      </c>
      <c r="B2235" s="6" t="str">
        <f aca="false">HYPERLINK("https://mncourtfraud.com/file/MCRO_27-CR-21-8227_Finding of Incompetency and Order_2023-11-01_20240430080729.pdf","MCRO_27-CR-21-8227_Finding of Incompetency and Order_2023-11-01_20240430080729.pdf")</f>
        <v>MCRO_27-CR-21-8227_Finding of Incompetency and Order_2023-11-01_20240430080729.pdf</v>
      </c>
      <c r="C2235" s="1" t="n">
        <v>7</v>
      </c>
      <c r="D2235" s="1" t="n">
        <v>2</v>
      </c>
      <c r="E2235" s="1" t="n">
        <v>2</v>
      </c>
      <c r="F2235" s="3" t="s">
        <v>20</v>
      </c>
      <c r="G2235" s="3" t="s">
        <v>9093</v>
      </c>
      <c r="H2235" s="1" t="s">
        <v>22</v>
      </c>
      <c r="I2235" s="1" t="n">
        <v>20240430080729</v>
      </c>
      <c r="J2235" s="3" t="s">
        <v>9094</v>
      </c>
      <c r="K2235" s="3" t="s">
        <v>9095</v>
      </c>
      <c r="L2235" s="3" t="s">
        <v>8869</v>
      </c>
      <c r="M2235" s="3" t="n">
        <v>924944</v>
      </c>
      <c r="N2235" s="3" t="s">
        <v>4961</v>
      </c>
      <c r="O2235" s="1" t="n">
        <v>908558</v>
      </c>
      <c r="P2235" s="1" t="n">
        <v>98.23</v>
      </c>
      <c r="Q2235" s="1" t="s">
        <v>20</v>
      </c>
      <c r="R2235" s="1" t="s">
        <v>27</v>
      </c>
      <c r="S2235" s="1" t="s">
        <v>28</v>
      </c>
      <c r="T2235" s="1" t="s">
        <v>29</v>
      </c>
    </row>
    <row r="2236" customFormat="false" ht="18.7" hidden="false" customHeight="true" outlineLevel="0" collapsed="false">
      <c r="A2236" s="1" t="n">
        <v>2235</v>
      </c>
      <c r="B2236" s="6" t="str">
        <f aca="false">HYPERLINK("https://mncourtfraud.com/file/MCRO_27-CR-21-8227_Findings and Order_2022-06-14_20240430080738.pdf","MCRO_27-CR-21-8227_Findings and Order_2022-06-14_20240430080738.pdf")</f>
        <v>MCRO_27-CR-21-8227_Findings and Order_2022-06-14_20240430080738.pdf</v>
      </c>
      <c r="C2236" s="1" t="n">
        <v>4</v>
      </c>
      <c r="D2236" s="1" t="n">
        <v>2</v>
      </c>
      <c r="E2236" s="1" t="n">
        <v>2</v>
      </c>
      <c r="F2236" s="3" t="s">
        <v>20</v>
      </c>
      <c r="G2236" s="3" t="s">
        <v>9096</v>
      </c>
      <c r="H2236" s="1" t="s">
        <v>22</v>
      </c>
      <c r="I2236" s="1" t="n">
        <v>20240430080738</v>
      </c>
      <c r="J2236" s="3" t="s">
        <v>9097</v>
      </c>
      <c r="K2236" s="3" t="s">
        <v>9098</v>
      </c>
      <c r="L2236" s="3" t="s">
        <v>9099</v>
      </c>
      <c r="M2236" s="3" t="n">
        <v>302600</v>
      </c>
      <c r="N2236" s="3" t="s">
        <v>3832</v>
      </c>
      <c r="O2236" s="1" t="n">
        <v>286214</v>
      </c>
      <c r="P2236" s="1" t="n">
        <v>94.58</v>
      </c>
      <c r="Q2236" s="1" t="s">
        <v>20</v>
      </c>
      <c r="R2236" s="1" t="s">
        <v>27</v>
      </c>
      <c r="S2236" s="1" t="s">
        <v>28</v>
      </c>
      <c r="T2236" s="1" t="s">
        <v>29</v>
      </c>
    </row>
    <row r="2237" customFormat="false" ht="18.7" hidden="false" customHeight="true" outlineLevel="0" collapsed="false">
      <c r="A2237" s="1" t="n">
        <v>2236</v>
      </c>
      <c r="B2237" s="6" t="str">
        <f aca="false">HYPERLINK("https://mncourtfraud.com/file/MCRO_27-CR-21-8227_Law Enforcement Notice of Release and Appearance_2021-11-09_20240430080742.pdf","MCRO_27-CR-21-8227_Law Enforcement Notice of Release and Appearance_2021-11-09_20240430080742.pdf")</f>
        <v>MCRO_27-CR-21-8227_Law Enforcement Notice of Release and Appearance_2021-11-09_20240430080742.pdf</v>
      </c>
      <c r="C2237" s="1" t="n">
        <v>4</v>
      </c>
      <c r="D2237" s="1" t="n">
        <v>1</v>
      </c>
      <c r="E2237" s="1" t="n">
        <v>1</v>
      </c>
      <c r="F2237" s="3" t="s">
        <v>20</v>
      </c>
      <c r="G2237" s="3" t="s">
        <v>9100</v>
      </c>
      <c r="H2237" s="1" t="s">
        <v>22</v>
      </c>
      <c r="I2237" s="1" t="n">
        <v>20240430080742</v>
      </c>
      <c r="J2237" s="3" t="s">
        <v>9101</v>
      </c>
      <c r="K2237" s="3" t="s">
        <v>9102</v>
      </c>
      <c r="L2237" s="3" t="s">
        <v>9103</v>
      </c>
      <c r="M2237" s="3" t="n">
        <v>135021</v>
      </c>
      <c r="N2237" s="3" t="s">
        <v>456</v>
      </c>
      <c r="O2237" s="1" t="n">
        <v>118635</v>
      </c>
      <c r="P2237" s="1" t="n">
        <v>87.86</v>
      </c>
      <c r="Q2237" s="1" t="s">
        <v>20</v>
      </c>
      <c r="R2237" s="1" t="s">
        <v>27</v>
      </c>
      <c r="S2237" s="1" t="s">
        <v>28</v>
      </c>
      <c r="T2237" s="1" t="s">
        <v>29</v>
      </c>
    </row>
    <row r="2238" customFormat="false" ht="18.7" hidden="false" customHeight="true" outlineLevel="0" collapsed="false">
      <c r="A2238" s="1" t="n">
        <v>2237</v>
      </c>
      <c r="B2238" s="6" t="str">
        <f aca="false">HYPERLINK("https://mncourtfraud.com/file/MCRO_27-CR-21-8227_Notice of Case Reassignment_2022-04-01_20240430080739.pdf","MCRO_27-CR-21-8227_Notice of Case Reassignment_2022-04-01_20240430080739.pdf")</f>
        <v>MCRO_27-CR-21-8227_Notice of Case Reassignment_2022-04-01_20240430080739.pdf</v>
      </c>
      <c r="C2238" s="1" t="n">
        <v>4</v>
      </c>
      <c r="D2238" s="1" t="n">
        <v>1</v>
      </c>
      <c r="E2238" s="1" t="n">
        <v>1</v>
      </c>
      <c r="F2238" s="3" t="s">
        <v>20</v>
      </c>
      <c r="G2238" s="3" t="s">
        <v>9104</v>
      </c>
      <c r="H2238" s="1" t="s">
        <v>22</v>
      </c>
      <c r="I2238" s="1" t="n">
        <v>20240430080739</v>
      </c>
      <c r="J2238" s="3" t="s">
        <v>9105</v>
      </c>
      <c r="K2238" s="3" t="s">
        <v>9106</v>
      </c>
      <c r="L2238" s="3" t="s">
        <v>9107</v>
      </c>
      <c r="M2238" s="3" t="n">
        <v>97449</v>
      </c>
      <c r="N2238" s="3" t="s">
        <v>456</v>
      </c>
      <c r="O2238" s="1" t="n">
        <v>81063</v>
      </c>
      <c r="P2238" s="1" t="n">
        <v>83.19</v>
      </c>
      <c r="Q2238" s="1" t="s">
        <v>20</v>
      </c>
      <c r="R2238" s="1" t="s">
        <v>27</v>
      </c>
      <c r="S2238" s="1" t="s">
        <v>28</v>
      </c>
      <c r="T2238" s="1" t="s">
        <v>29</v>
      </c>
    </row>
    <row r="2239" customFormat="false" ht="18.7" hidden="false" customHeight="true" outlineLevel="0" collapsed="false">
      <c r="A2239" s="1" t="n">
        <v>2238</v>
      </c>
      <c r="B2239" s="6" t="str">
        <f aca="false">HYPERLINK("https://mncourtfraud.com/file/MCRO_27-CR-21-8227_Notice of Case Reassignment_2023-01-13_20240430080736.pdf","MCRO_27-CR-21-8227_Notice of Case Reassignment_2023-01-13_20240430080736.pdf")</f>
        <v>MCRO_27-CR-21-8227_Notice of Case Reassignment_2023-01-13_20240430080736.pdf</v>
      </c>
      <c r="C2239" s="1" t="n">
        <v>4</v>
      </c>
      <c r="D2239" s="1" t="n">
        <v>1</v>
      </c>
      <c r="E2239" s="1" t="n">
        <v>1</v>
      </c>
      <c r="F2239" s="3" t="s">
        <v>20</v>
      </c>
      <c r="G2239" s="3" t="s">
        <v>9108</v>
      </c>
      <c r="H2239" s="1" t="s">
        <v>22</v>
      </c>
      <c r="I2239" s="1" t="n">
        <v>20240430080736</v>
      </c>
      <c r="J2239" s="3" t="s">
        <v>9109</v>
      </c>
      <c r="K2239" s="3" t="s">
        <v>9110</v>
      </c>
      <c r="L2239" s="3" t="s">
        <v>9111</v>
      </c>
      <c r="M2239" s="3" t="n">
        <v>307531</v>
      </c>
      <c r="N2239" s="3" t="s">
        <v>158</v>
      </c>
      <c r="O2239" s="1" t="n">
        <v>291145</v>
      </c>
      <c r="P2239" s="1" t="n">
        <v>94.67</v>
      </c>
      <c r="Q2239" s="1" t="s">
        <v>20</v>
      </c>
      <c r="R2239" s="1" t="s">
        <v>27</v>
      </c>
      <c r="S2239" s="1" t="s">
        <v>28</v>
      </c>
      <c r="T2239" s="1" t="s">
        <v>29</v>
      </c>
    </row>
    <row r="2240" customFormat="false" ht="18.7" hidden="false" customHeight="true" outlineLevel="0" collapsed="false">
      <c r="A2240" s="1" t="n">
        <v>2239</v>
      </c>
      <c r="B2240" s="6" t="str">
        <f aca="false">HYPERLINK("https://mncourtfraud.com/file/MCRO_27-CR-21-8227_Notice of Case Reassignment_2024-01-12_20240430080727.pdf","MCRO_27-CR-21-8227_Notice of Case Reassignment_2024-01-12_20240430080727.pdf")</f>
        <v>MCRO_27-CR-21-8227_Notice of Case Reassignment_2024-01-12_20240430080727.pdf</v>
      </c>
      <c r="C2240" s="1" t="n">
        <v>4</v>
      </c>
      <c r="D2240" s="1" t="n">
        <v>1</v>
      </c>
      <c r="E2240" s="1" t="n">
        <v>1</v>
      </c>
      <c r="F2240" s="3" t="s">
        <v>20</v>
      </c>
      <c r="G2240" s="3" t="s">
        <v>9112</v>
      </c>
      <c r="H2240" s="1" t="s">
        <v>22</v>
      </c>
      <c r="I2240" s="1" t="n">
        <v>20240430080727</v>
      </c>
      <c r="J2240" s="3" t="s">
        <v>9113</v>
      </c>
      <c r="K2240" s="3" t="s">
        <v>9114</v>
      </c>
      <c r="L2240" s="3" t="s">
        <v>9115</v>
      </c>
      <c r="M2240" s="3" t="n">
        <v>295617</v>
      </c>
      <c r="N2240" s="3" t="s">
        <v>158</v>
      </c>
      <c r="O2240" s="1" t="n">
        <v>279231</v>
      </c>
      <c r="P2240" s="1" t="n">
        <v>94.46</v>
      </c>
      <c r="Q2240" s="1" t="s">
        <v>20</v>
      </c>
      <c r="R2240" s="1" t="s">
        <v>27</v>
      </c>
      <c r="S2240" s="1" t="s">
        <v>28</v>
      </c>
      <c r="T2240" s="1" t="s">
        <v>29</v>
      </c>
    </row>
    <row r="2241" customFormat="false" ht="18.7" hidden="false" customHeight="true" outlineLevel="0" collapsed="false">
      <c r="A2241" s="1" t="n">
        <v>2240</v>
      </c>
      <c r="B2241" s="6" t="str">
        <f aca="false">HYPERLINK("https://mncourtfraud.com/file/MCRO_27-CR-21-8227_Notice of Remote Hearing with Instructions_2021-04-28_20240430080749.pdf","MCRO_27-CR-21-8227_Notice of Remote Hearing with Instructions_2021-04-28_20240430080749.pdf")</f>
        <v>MCRO_27-CR-21-8227_Notice of Remote Hearing with Instructions_2021-04-28_20240430080749.pdf</v>
      </c>
      <c r="C2241" s="1" t="n">
        <v>5</v>
      </c>
      <c r="D2241" s="1" t="n">
        <v>1</v>
      </c>
      <c r="E2241" s="1" t="n">
        <v>1</v>
      </c>
      <c r="F2241" s="3" t="s">
        <v>20</v>
      </c>
      <c r="G2241" s="3" t="s">
        <v>9116</v>
      </c>
      <c r="H2241" s="1" t="s">
        <v>22</v>
      </c>
      <c r="I2241" s="1" t="n">
        <v>20240430080749</v>
      </c>
      <c r="J2241" s="3" t="s">
        <v>9117</v>
      </c>
      <c r="K2241" s="3" t="s">
        <v>9118</v>
      </c>
      <c r="L2241" s="3" t="s">
        <v>9119</v>
      </c>
      <c r="M2241" s="3" t="n">
        <v>1273920</v>
      </c>
      <c r="N2241" s="3" t="s">
        <v>1579</v>
      </c>
      <c r="O2241" s="1" t="n">
        <v>1257534</v>
      </c>
      <c r="P2241" s="1" t="n">
        <v>98.71</v>
      </c>
      <c r="Q2241" s="1" t="s">
        <v>20</v>
      </c>
      <c r="R2241" s="1" t="s">
        <v>27</v>
      </c>
      <c r="S2241" s="1" t="s">
        <v>28</v>
      </c>
      <c r="T2241" s="1" t="s">
        <v>29</v>
      </c>
    </row>
    <row r="2242" customFormat="false" ht="18.7" hidden="false" customHeight="true" outlineLevel="0" collapsed="false">
      <c r="A2242" s="1" t="n">
        <v>2241</v>
      </c>
      <c r="B2242" s="6" t="str">
        <f aca="false">HYPERLINK("https://mncourtfraud.com/file/MCRO_27-CR-21-8227_Notice of Remote Hearing with Instructions_2021-07-28_20240430080745.pdf","MCRO_27-CR-21-8227_Notice of Remote Hearing with Instructions_2021-07-28_20240430080745.pdf")</f>
        <v>MCRO_27-CR-21-8227_Notice of Remote Hearing with Instructions_2021-07-28_20240430080745.pdf</v>
      </c>
      <c r="C2242" s="1" t="n">
        <v>4</v>
      </c>
      <c r="D2242" s="1" t="n">
        <v>1</v>
      </c>
      <c r="E2242" s="1" t="n">
        <v>1</v>
      </c>
      <c r="F2242" s="3" t="s">
        <v>20</v>
      </c>
      <c r="G2242" s="3" t="s">
        <v>9120</v>
      </c>
      <c r="H2242" s="1" t="s">
        <v>22</v>
      </c>
      <c r="I2242" s="1" t="n">
        <v>20240430080745</v>
      </c>
      <c r="J2242" s="3" t="s">
        <v>9121</v>
      </c>
      <c r="K2242" s="3" t="s">
        <v>9122</v>
      </c>
      <c r="L2242" s="3" t="s">
        <v>9123</v>
      </c>
      <c r="M2242" s="3" t="n">
        <v>162230</v>
      </c>
      <c r="N2242" s="3" t="s">
        <v>1065</v>
      </c>
      <c r="O2242" s="1" t="n">
        <v>145844</v>
      </c>
      <c r="P2242" s="1" t="n">
        <v>89.9</v>
      </c>
      <c r="Q2242" s="1" t="s">
        <v>20</v>
      </c>
      <c r="R2242" s="1" t="s">
        <v>27</v>
      </c>
      <c r="S2242" s="1" t="s">
        <v>28</v>
      </c>
      <c r="T2242" s="1" t="s">
        <v>29</v>
      </c>
    </row>
    <row r="2243" customFormat="false" ht="18.7" hidden="false" customHeight="true" outlineLevel="0" collapsed="false">
      <c r="A2243" s="1" t="n">
        <v>2242</v>
      </c>
      <c r="B2243" s="6" t="str">
        <f aca="false">HYPERLINK("https://mncourtfraud.com/file/MCRO_27-CR-21-8227_Notice of Remote Hearing with Instructions_2021-11-09_20240430080743.pdf","MCRO_27-CR-21-8227_Notice of Remote Hearing with Instructions_2021-11-09_20240430080743.pdf")</f>
        <v>MCRO_27-CR-21-8227_Notice of Remote Hearing with Instructions_2021-11-09_20240430080743.pdf</v>
      </c>
      <c r="C2243" s="1" t="n">
        <v>5</v>
      </c>
      <c r="D2243" s="1" t="n">
        <v>1</v>
      </c>
      <c r="E2243" s="1" t="n">
        <v>1</v>
      </c>
      <c r="F2243" s="3" t="s">
        <v>20</v>
      </c>
      <c r="G2243" s="3" t="s">
        <v>9124</v>
      </c>
      <c r="H2243" s="1" t="s">
        <v>22</v>
      </c>
      <c r="I2243" s="1" t="n">
        <v>20240430080743</v>
      </c>
      <c r="J2243" s="3" t="s">
        <v>9125</v>
      </c>
      <c r="K2243" s="3" t="s">
        <v>9126</v>
      </c>
      <c r="L2243" s="3" t="s">
        <v>9127</v>
      </c>
      <c r="M2243" s="3" t="n">
        <v>908739</v>
      </c>
      <c r="N2243" s="3" t="s">
        <v>1239</v>
      </c>
      <c r="O2243" s="1" t="n">
        <v>892353</v>
      </c>
      <c r="P2243" s="1" t="n">
        <v>98.2</v>
      </c>
      <c r="Q2243" s="1" t="s">
        <v>20</v>
      </c>
      <c r="R2243" s="1" t="s">
        <v>27</v>
      </c>
      <c r="S2243" s="1" t="s">
        <v>28</v>
      </c>
      <c r="T2243" s="1" t="s">
        <v>29</v>
      </c>
    </row>
    <row r="2244" customFormat="false" ht="18.7" hidden="false" customHeight="true" outlineLevel="0" collapsed="false">
      <c r="A2244" s="1" t="n">
        <v>2243</v>
      </c>
      <c r="B2244" s="6" t="str">
        <f aca="false">HYPERLINK("https://mncourtfraud.com/file/MCRO_27-CR-21-8227_Notice of Remote Hearing with Instructions_2021-12-08_20240430080741.pdf","MCRO_27-CR-21-8227_Notice of Remote Hearing with Instructions_2021-12-08_20240430080741.pdf")</f>
        <v>MCRO_27-CR-21-8227_Notice of Remote Hearing with Instructions_2021-12-08_20240430080741.pdf</v>
      </c>
      <c r="C2244" s="1" t="n">
        <v>4</v>
      </c>
      <c r="D2244" s="1" t="n">
        <v>1</v>
      </c>
      <c r="E2244" s="1" t="n">
        <v>1</v>
      </c>
      <c r="F2244" s="3" t="s">
        <v>20</v>
      </c>
      <c r="G2244" s="3" t="s">
        <v>9128</v>
      </c>
      <c r="H2244" s="1" t="s">
        <v>22</v>
      </c>
      <c r="I2244" s="1" t="n">
        <v>20240430080741</v>
      </c>
      <c r="J2244" s="3" t="s">
        <v>9129</v>
      </c>
      <c r="K2244" s="3" t="s">
        <v>9130</v>
      </c>
      <c r="L2244" s="3" t="s">
        <v>9131</v>
      </c>
      <c r="M2244" s="3" t="n">
        <v>160446</v>
      </c>
      <c r="N2244" s="3" t="s">
        <v>1065</v>
      </c>
      <c r="O2244" s="1" t="n">
        <v>144060</v>
      </c>
      <c r="P2244" s="1" t="n">
        <v>89.79</v>
      </c>
      <c r="Q2244" s="1" t="s">
        <v>20</v>
      </c>
      <c r="R2244" s="1" t="s">
        <v>27</v>
      </c>
      <c r="S2244" s="1" t="s">
        <v>28</v>
      </c>
      <c r="T2244" s="1" t="s">
        <v>29</v>
      </c>
    </row>
    <row r="2245" customFormat="false" ht="18.7" hidden="false" customHeight="true" outlineLevel="0" collapsed="false">
      <c r="A2245" s="1" t="n">
        <v>2244</v>
      </c>
      <c r="B2245" s="6" t="str">
        <f aca="false">HYPERLINK("https://mncourtfraud.com/file/MCRO_27-CR-21-8227_Order-Evaluation for Competency to Proceed (Rule 20.01)_2022-03-23_20240430080740.pdf","MCRO_27-CR-21-8227_Order-Evaluation for Competency to Proceed (Rule 20.01)_2022-03-23_20240430080740.pdf")</f>
        <v>MCRO_27-CR-21-8227_Order-Evaluation for Competency to Proceed (Rule 20.01)_2022-03-23_20240430080740.pdf</v>
      </c>
      <c r="C2245" s="1" t="n">
        <v>3</v>
      </c>
      <c r="D2245" s="1" t="n">
        <v>1</v>
      </c>
      <c r="E2245" s="1" t="n">
        <v>1</v>
      </c>
      <c r="F2245" s="3" t="s">
        <v>20</v>
      </c>
      <c r="G2245" s="3" t="s">
        <v>9132</v>
      </c>
      <c r="H2245" s="1" t="s">
        <v>22</v>
      </c>
      <c r="I2245" s="1" t="n">
        <v>20240430080740</v>
      </c>
      <c r="J2245" s="3" t="s">
        <v>9133</v>
      </c>
      <c r="K2245" s="3" t="s">
        <v>9134</v>
      </c>
      <c r="L2245" s="3" t="s">
        <v>9135</v>
      </c>
      <c r="M2245" s="3" t="n">
        <v>252787</v>
      </c>
      <c r="N2245" s="3" t="s">
        <v>2818</v>
      </c>
      <c r="O2245" s="1" t="n">
        <v>236401</v>
      </c>
      <c r="P2245" s="1" t="n">
        <v>93.52</v>
      </c>
      <c r="Q2245" s="1" t="s">
        <v>20</v>
      </c>
      <c r="R2245" s="1" t="s">
        <v>27</v>
      </c>
      <c r="S2245" s="1" t="s">
        <v>28</v>
      </c>
      <c r="T2245" s="1" t="s">
        <v>29</v>
      </c>
    </row>
    <row r="2246" customFormat="false" ht="18.7" hidden="false" customHeight="true" outlineLevel="0" collapsed="false">
      <c r="A2246" s="1" t="n">
        <v>2245</v>
      </c>
      <c r="B2246" s="6" t="str">
        <f aca="false">HYPERLINK("https://mncourtfraud.com/file/MCRO_27-CR-21-8227_Order-Evaluation for Competency to Proceed (Rule 20.01)_2022-10-06_20240430080737.pdf","MCRO_27-CR-21-8227_Order-Evaluation for Competency to Proceed (Rule 20.01)_2022-10-06_20240430080737.pdf")</f>
        <v>MCRO_27-CR-21-8227_Order-Evaluation for Competency to Proceed (Rule 20.01)_2022-10-06_20240430080737.pdf</v>
      </c>
      <c r="C2246" s="1" t="n">
        <v>5</v>
      </c>
      <c r="D2246" s="1" t="n">
        <v>1</v>
      </c>
      <c r="E2246" s="1" t="n">
        <v>1</v>
      </c>
      <c r="F2246" s="3" t="s">
        <v>20</v>
      </c>
      <c r="G2246" s="3" t="s">
        <v>9136</v>
      </c>
      <c r="H2246" s="1" t="s">
        <v>22</v>
      </c>
      <c r="I2246" s="1" t="n">
        <v>20240430080737</v>
      </c>
      <c r="J2246" s="3" t="s">
        <v>9137</v>
      </c>
      <c r="K2246" s="3" t="s">
        <v>9138</v>
      </c>
      <c r="L2246" s="3" t="s">
        <v>9139</v>
      </c>
      <c r="M2246" s="3" t="n">
        <v>791758</v>
      </c>
      <c r="N2246" s="3" t="s">
        <v>5856</v>
      </c>
      <c r="O2246" s="1" t="n">
        <v>775372</v>
      </c>
      <c r="P2246" s="1" t="n">
        <v>97.93</v>
      </c>
      <c r="Q2246" s="1" t="s">
        <v>20</v>
      </c>
      <c r="R2246" s="1" t="s">
        <v>27</v>
      </c>
      <c r="S2246" s="1" t="s">
        <v>28</v>
      </c>
      <c r="T2246" s="1" t="s">
        <v>29</v>
      </c>
    </row>
    <row r="2247" customFormat="false" ht="18.7" hidden="false" customHeight="true" outlineLevel="0" collapsed="false">
      <c r="A2247" s="1" t="n">
        <v>2246</v>
      </c>
      <c r="B2247" s="6" t="str">
        <f aca="false">HYPERLINK("https://mncourtfraud.com/file/MCRO_27-CR-21-8227_Order-Evaluation for Competency to Proceed (Rule 20.01)_2023-02-21_20240430080735.pdf","MCRO_27-CR-21-8227_Order-Evaluation for Competency to Proceed (Rule 20.01)_2023-02-21_20240430080735.pdf")</f>
        <v>MCRO_27-CR-21-8227_Order-Evaluation for Competency to Proceed (Rule 20.01)_2023-02-21_20240430080735.pdf</v>
      </c>
      <c r="C2247" s="1" t="n">
        <v>3</v>
      </c>
      <c r="D2247" s="1" t="n">
        <v>1</v>
      </c>
      <c r="E2247" s="1" t="n">
        <v>1</v>
      </c>
      <c r="F2247" s="3" t="s">
        <v>20</v>
      </c>
      <c r="G2247" s="3" t="s">
        <v>9140</v>
      </c>
      <c r="H2247" s="1" t="s">
        <v>22</v>
      </c>
      <c r="I2247" s="1" t="n">
        <v>20240430080735</v>
      </c>
      <c r="J2247" s="3" t="s">
        <v>9141</v>
      </c>
      <c r="K2247" s="3" t="s">
        <v>9142</v>
      </c>
      <c r="L2247" s="3" t="s">
        <v>8917</v>
      </c>
      <c r="M2247" s="3" t="n">
        <v>192381</v>
      </c>
      <c r="N2247" s="3" t="s">
        <v>1266</v>
      </c>
      <c r="O2247" s="1" t="n">
        <v>175995</v>
      </c>
      <c r="P2247" s="1" t="n">
        <v>91.48</v>
      </c>
      <c r="Q2247" s="1" t="s">
        <v>20</v>
      </c>
      <c r="R2247" s="1" t="s">
        <v>27</v>
      </c>
      <c r="S2247" s="1" t="s">
        <v>28</v>
      </c>
      <c r="T2247" s="1" t="s">
        <v>29</v>
      </c>
    </row>
    <row r="2248" customFormat="false" ht="18.7" hidden="false" customHeight="true" outlineLevel="0" collapsed="false">
      <c r="A2248" s="1" t="n">
        <v>2247</v>
      </c>
      <c r="B2248" s="6" t="str">
        <f aca="false">HYPERLINK("https://mncourtfraud.com/file/MCRO_27-CR-21-8227_Order-Evaluation for Competency to Proceed (Rule 20.01)_2023-03-28_20240430080733.pdf","MCRO_27-CR-21-8227_Order-Evaluation for Competency to Proceed (Rule 20.01)_2023-03-28_20240430080733.pdf")</f>
        <v>MCRO_27-CR-21-8227_Order-Evaluation for Competency to Proceed (Rule 20.01)_2023-03-28_20240430080733.pdf</v>
      </c>
      <c r="C2248" s="1" t="n">
        <v>6</v>
      </c>
      <c r="D2248" s="1" t="n">
        <v>2</v>
      </c>
      <c r="E2248" s="1" t="n">
        <v>2</v>
      </c>
      <c r="F2248" s="3" t="s">
        <v>27</v>
      </c>
      <c r="G2248" s="3" t="s">
        <v>9143</v>
      </c>
      <c r="H2248" s="1" t="s">
        <v>22</v>
      </c>
      <c r="I2248" s="1" t="n">
        <v>20240430080733</v>
      </c>
      <c r="J2248" s="3" t="s">
        <v>9144</v>
      </c>
      <c r="K2248" s="3" t="s">
        <v>9145</v>
      </c>
      <c r="L2248" s="3" t="s">
        <v>9146</v>
      </c>
      <c r="M2248" s="3" t="n">
        <v>888438</v>
      </c>
      <c r="N2248" s="3" t="s">
        <v>559</v>
      </c>
      <c r="O2248" s="1" t="n">
        <v>872052</v>
      </c>
      <c r="P2248" s="1" t="n">
        <v>98.16</v>
      </c>
      <c r="Q2248" s="1" t="s">
        <v>20</v>
      </c>
      <c r="R2248" s="1" t="s">
        <v>27</v>
      </c>
      <c r="S2248" s="1" t="s">
        <v>28</v>
      </c>
      <c r="T2248" s="1" t="s">
        <v>29</v>
      </c>
    </row>
    <row r="2249" customFormat="false" ht="18.7" hidden="false" customHeight="true" outlineLevel="0" collapsed="false">
      <c r="A2249" s="1" t="n">
        <v>2248</v>
      </c>
      <c r="B2249" s="6" t="str">
        <f aca="false">HYPERLINK("https://mncourtfraud.com/file/MCRO_27-CR-21-8227_Order-Evaluation for Competency to Proceed (Rule 20.01)_2023-08-22_20240430080730.pdf","MCRO_27-CR-21-8227_Order-Evaluation for Competency to Proceed (Rule 20.01)_2023-08-22_20240430080730.pdf")</f>
        <v>MCRO_27-CR-21-8227_Order-Evaluation for Competency to Proceed (Rule 20.01)_2023-08-22_20240430080730.pdf</v>
      </c>
      <c r="C2249" s="1" t="n">
        <v>6</v>
      </c>
      <c r="D2249" s="1" t="n">
        <v>2</v>
      </c>
      <c r="E2249" s="1" t="n">
        <v>2</v>
      </c>
      <c r="F2249" s="3" t="s">
        <v>27</v>
      </c>
      <c r="G2249" s="3" t="s">
        <v>9147</v>
      </c>
      <c r="H2249" s="1" t="s">
        <v>22</v>
      </c>
      <c r="I2249" s="1" t="n">
        <v>20240430080730</v>
      </c>
      <c r="J2249" s="3" t="s">
        <v>9148</v>
      </c>
      <c r="K2249" s="3" t="s">
        <v>9149</v>
      </c>
      <c r="L2249" s="3" t="s">
        <v>9150</v>
      </c>
      <c r="M2249" s="3" t="n">
        <v>877452</v>
      </c>
      <c r="N2249" s="3" t="s">
        <v>554</v>
      </c>
      <c r="O2249" s="1" t="n">
        <v>861066</v>
      </c>
      <c r="P2249" s="1" t="n">
        <v>98.13</v>
      </c>
      <c r="Q2249" s="1" t="s">
        <v>20</v>
      </c>
      <c r="R2249" s="1" t="s">
        <v>27</v>
      </c>
      <c r="S2249" s="1" t="s">
        <v>28</v>
      </c>
      <c r="T2249" s="1" t="s">
        <v>29</v>
      </c>
    </row>
    <row r="2250" customFormat="false" ht="18.7" hidden="false" customHeight="true" outlineLevel="0" collapsed="false">
      <c r="A2250" s="1" t="n">
        <v>2249</v>
      </c>
      <c r="B2250" s="6" t="str">
        <f aca="false">HYPERLINK("https://mncourtfraud.com/file/MCRO_27-CR-21-8227_Order-Evaluation for Competency to Proceed (Rule 20.01)_2024-02-21_20240430080726.pdf","MCRO_27-CR-21-8227_Order-Evaluation for Competency to Proceed (Rule 20.01)_2024-02-21_20240430080726.pdf")</f>
        <v>MCRO_27-CR-21-8227_Order-Evaluation for Competency to Proceed (Rule 20.01)_2024-02-21_20240430080726.pdf</v>
      </c>
      <c r="C2250" s="1" t="n">
        <v>5</v>
      </c>
      <c r="D2250" s="1" t="n">
        <v>1</v>
      </c>
      <c r="E2250" s="1" t="n">
        <v>1</v>
      </c>
      <c r="F2250" s="3" t="s">
        <v>20</v>
      </c>
      <c r="G2250" s="3" t="s">
        <v>9151</v>
      </c>
      <c r="H2250" s="1" t="s">
        <v>22</v>
      </c>
      <c r="I2250" s="1" t="n">
        <v>20240430080726</v>
      </c>
      <c r="J2250" s="3" t="s">
        <v>9152</v>
      </c>
      <c r="K2250" s="3" t="s">
        <v>9153</v>
      </c>
      <c r="L2250" s="3" t="s">
        <v>9154</v>
      </c>
      <c r="M2250" s="3" t="n">
        <v>762225</v>
      </c>
      <c r="N2250" s="3" t="s">
        <v>6055</v>
      </c>
      <c r="O2250" s="1" t="n">
        <v>745839</v>
      </c>
      <c r="P2250" s="1" t="n">
        <v>97.85</v>
      </c>
      <c r="Q2250" s="1" t="s">
        <v>20</v>
      </c>
      <c r="R2250" s="1" t="s">
        <v>27</v>
      </c>
      <c r="S2250" s="1" t="s">
        <v>28</v>
      </c>
      <c r="T2250" s="1" t="s">
        <v>29</v>
      </c>
    </row>
    <row r="2251" customFormat="false" ht="18.7" hidden="false" customHeight="true" outlineLevel="0" collapsed="false">
      <c r="A2251" s="1" t="n">
        <v>2250</v>
      </c>
      <c r="B2251" s="6" t="str">
        <f aca="false">HYPERLINK("https://mncourtfraud.com/file/MCRO_27-CR-21-8227_Order for Conditional Release_2021-07-28_20240430080747.pdf","MCRO_27-CR-21-8227_Order for Conditional Release_2021-07-28_20240430080747.pdf")</f>
        <v>MCRO_27-CR-21-8227_Order for Conditional Release_2021-07-28_20240430080747.pdf</v>
      </c>
      <c r="C2251" s="1" t="n">
        <v>4</v>
      </c>
      <c r="D2251" s="1" t="n">
        <v>1</v>
      </c>
      <c r="E2251" s="1" t="n">
        <v>1</v>
      </c>
      <c r="F2251" s="3" t="s">
        <v>20</v>
      </c>
      <c r="G2251" s="3" t="s">
        <v>9155</v>
      </c>
      <c r="H2251" s="1" t="s">
        <v>22</v>
      </c>
      <c r="I2251" s="1" t="n">
        <v>20240430080747</v>
      </c>
      <c r="J2251" s="3" t="s">
        <v>9156</v>
      </c>
      <c r="K2251" s="3" t="s">
        <v>9157</v>
      </c>
      <c r="L2251" s="3" t="s">
        <v>9158</v>
      </c>
      <c r="M2251" s="3" t="n">
        <v>132625</v>
      </c>
      <c r="N2251" s="3" t="s">
        <v>456</v>
      </c>
      <c r="O2251" s="1" t="n">
        <v>116239</v>
      </c>
      <c r="P2251" s="1" t="n">
        <v>87.64</v>
      </c>
      <c r="Q2251" s="1" t="s">
        <v>20</v>
      </c>
      <c r="R2251" s="1" t="s">
        <v>27</v>
      </c>
      <c r="S2251" s="1" t="s">
        <v>28</v>
      </c>
      <c r="T2251" s="1" t="s">
        <v>29</v>
      </c>
    </row>
    <row r="2252" customFormat="false" ht="18.7" hidden="false" customHeight="true" outlineLevel="0" collapsed="false">
      <c r="A2252" s="1" t="n">
        <v>2251</v>
      </c>
      <c r="B2252" s="6" t="str">
        <f aca="false">HYPERLINK("https://mncourtfraud.com/file/MCRO_27-CR-21-8227_Order for Conditional Release_2023-03-17_20240430080734.pdf","MCRO_27-CR-21-8227_Order for Conditional Release_2023-03-17_20240430080734.pdf")</f>
        <v>MCRO_27-CR-21-8227_Order for Conditional Release_2023-03-17_20240430080734.pdf</v>
      </c>
      <c r="C2252" s="1" t="n">
        <v>4</v>
      </c>
      <c r="D2252" s="1" t="n">
        <v>1</v>
      </c>
      <c r="E2252" s="1" t="n">
        <v>1</v>
      </c>
      <c r="F2252" s="3" t="s">
        <v>20</v>
      </c>
      <c r="G2252" s="3" t="s">
        <v>9159</v>
      </c>
      <c r="H2252" s="1" t="s">
        <v>22</v>
      </c>
      <c r="I2252" s="1" t="n">
        <v>20240430080734</v>
      </c>
      <c r="J2252" s="3" t="s">
        <v>9160</v>
      </c>
      <c r="K2252" s="3" t="s">
        <v>9161</v>
      </c>
      <c r="L2252" s="3" t="s">
        <v>9162</v>
      </c>
      <c r="M2252" s="3" t="n">
        <v>1009521</v>
      </c>
      <c r="N2252" s="3" t="s">
        <v>650</v>
      </c>
      <c r="O2252" s="1" t="n">
        <v>993135</v>
      </c>
      <c r="P2252" s="1" t="n">
        <v>98.38</v>
      </c>
      <c r="Q2252" s="1" t="s">
        <v>20</v>
      </c>
      <c r="R2252" s="1" t="s">
        <v>27</v>
      </c>
      <c r="S2252" s="1" t="s">
        <v>28</v>
      </c>
      <c r="T2252" s="1" t="s">
        <v>29</v>
      </c>
    </row>
    <row r="2253" customFormat="false" ht="18.7" hidden="false" customHeight="true" outlineLevel="0" collapsed="false">
      <c r="A2253" s="1" t="n">
        <v>2252</v>
      </c>
      <c r="B2253" s="6" t="str">
        <f aca="false">HYPERLINK("https://mncourtfraud.com/file/MCRO_27-CR-21-8227_Order for Conditional Release_2023-05-16_20240430080731.pdf","MCRO_27-CR-21-8227_Order for Conditional Release_2023-05-16_20240430080731.pdf")</f>
        <v>MCRO_27-CR-21-8227_Order for Conditional Release_2023-05-16_20240430080731.pdf</v>
      </c>
      <c r="C2253" s="1" t="n">
        <v>6</v>
      </c>
      <c r="D2253" s="1" t="n">
        <v>2</v>
      </c>
      <c r="E2253" s="1" t="n">
        <v>2</v>
      </c>
      <c r="F2253" s="3" t="s">
        <v>27</v>
      </c>
      <c r="G2253" s="3" t="s">
        <v>9163</v>
      </c>
      <c r="H2253" s="1" t="s">
        <v>22</v>
      </c>
      <c r="I2253" s="1" t="n">
        <v>20240430080731</v>
      </c>
      <c r="J2253" s="3" t="s">
        <v>9164</v>
      </c>
      <c r="K2253" s="3" t="s">
        <v>9165</v>
      </c>
      <c r="L2253" s="3" t="s">
        <v>9166</v>
      </c>
      <c r="M2253" s="3" t="n">
        <v>876650</v>
      </c>
      <c r="N2253" s="3" t="s">
        <v>69</v>
      </c>
      <c r="O2253" s="1" t="n">
        <v>860264</v>
      </c>
      <c r="P2253" s="1" t="n">
        <v>98.13</v>
      </c>
      <c r="Q2253" s="1" t="s">
        <v>20</v>
      </c>
      <c r="R2253" s="1" t="s">
        <v>27</v>
      </c>
      <c r="S2253" s="1" t="s">
        <v>28</v>
      </c>
      <c r="T2253" s="1" t="s">
        <v>29</v>
      </c>
    </row>
    <row r="2254" customFormat="false" ht="18.7" hidden="false" customHeight="true" outlineLevel="0" collapsed="false">
      <c r="A2254" s="1" t="n">
        <v>2253</v>
      </c>
      <c r="B2254" s="6" t="str">
        <f aca="false">HYPERLINK("https://mncourtfraud.com/file/MCRO_27-CR-21-8227_Returned Mail_2021-05-10_20240430080748.pdf","MCRO_27-CR-21-8227_Returned Mail_2021-05-10_20240430080748.pdf")</f>
        <v>MCRO_27-CR-21-8227_Returned Mail_2021-05-10_20240430080748.pdf</v>
      </c>
      <c r="C2254" s="1" t="n">
        <v>4</v>
      </c>
      <c r="D2254" s="1" t="n">
        <v>1</v>
      </c>
      <c r="E2254" s="1" t="n">
        <v>1</v>
      </c>
      <c r="F2254" s="3" t="s">
        <v>20</v>
      </c>
      <c r="G2254" s="3" t="s">
        <v>9167</v>
      </c>
      <c r="H2254" s="1" t="s">
        <v>22</v>
      </c>
      <c r="I2254" s="1" t="n">
        <v>20240430080748</v>
      </c>
      <c r="J2254" s="3" t="s">
        <v>9168</v>
      </c>
      <c r="K2254" s="3" t="s">
        <v>9169</v>
      </c>
      <c r="L2254" s="3" t="s">
        <v>9170</v>
      </c>
      <c r="M2254" s="3" t="n">
        <v>126218</v>
      </c>
      <c r="N2254" s="3" t="s">
        <v>1065</v>
      </c>
      <c r="O2254" s="1" t="n">
        <v>109832</v>
      </c>
      <c r="P2254" s="1" t="n">
        <v>87.02</v>
      </c>
      <c r="Q2254" s="1" t="s">
        <v>20</v>
      </c>
      <c r="R2254" s="1" t="s">
        <v>27</v>
      </c>
      <c r="S2254" s="1" t="s">
        <v>28</v>
      </c>
      <c r="T2254" s="1" t="s">
        <v>29</v>
      </c>
    </row>
    <row r="2255" customFormat="false" ht="18.7" hidden="false" customHeight="true" outlineLevel="0" collapsed="false">
      <c r="A2255" s="1" t="n">
        <v>2254</v>
      </c>
      <c r="B2255" s="6" t="str">
        <f aca="false">HYPERLINK("https://mncourtfraud.com/file/MCRO_27-CR-21-8228_Demand or Request for Discovery_2021-08-02_20240430080837.pdf","MCRO_27-CR-21-8228_Demand or Request for Discovery_2021-08-02_20240430080837.pdf")</f>
        <v>MCRO_27-CR-21-8228_Demand or Request for Discovery_2021-08-02_20240430080837.pdf</v>
      </c>
      <c r="C2255" s="1" t="n">
        <v>3</v>
      </c>
      <c r="D2255" s="1" t="n">
        <v>1</v>
      </c>
      <c r="E2255" s="1" t="n">
        <v>1</v>
      </c>
      <c r="F2255" s="3" t="s">
        <v>20</v>
      </c>
      <c r="G2255" s="3" t="s">
        <v>9171</v>
      </c>
      <c r="H2255" s="1" t="s">
        <v>22</v>
      </c>
      <c r="I2255" s="1" t="n">
        <v>20240430080837</v>
      </c>
      <c r="J2255" s="3" t="s">
        <v>9172</v>
      </c>
      <c r="K2255" s="3" t="s">
        <v>9173</v>
      </c>
      <c r="L2255" s="3" t="s">
        <v>9174</v>
      </c>
      <c r="M2255" s="3" t="n">
        <v>367951</v>
      </c>
      <c r="N2255" s="3" t="s">
        <v>9175</v>
      </c>
      <c r="O2255" s="1" t="n">
        <v>351565</v>
      </c>
      <c r="P2255" s="1" t="n">
        <v>95.55</v>
      </c>
      <c r="Q2255" s="1" t="s">
        <v>20</v>
      </c>
      <c r="R2255" s="1" t="s">
        <v>27</v>
      </c>
      <c r="S2255" s="1" t="s">
        <v>28</v>
      </c>
      <c r="T2255" s="1" t="s">
        <v>29</v>
      </c>
    </row>
    <row r="2256" customFormat="false" ht="18.7" hidden="false" customHeight="true" outlineLevel="0" collapsed="false">
      <c r="A2256" s="1" t="n">
        <v>2255</v>
      </c>
      <c r="B2256" s="6" t="str">
        <f aca="false">HYPERLINK("https://mncourtfraud.com/file/MCRO_27-CR-21-8228_E-filed Comp-Summons_2021-04-28_20240430080843.pdf","MCRO_27-CR-21-8228_E-filed Comp-Summons_2021-04-28_20240430080843.pdf")</f>
        <v>MCRO_27-CR-21-8228_E-filed Comp-Summons_2021-04-28_20240430080843.pdf</v>
      </c>
      <c r="C2256" s="1" t="n">
        <v>4</v>
      </c>
      <c r="D2256" s="1" t="n">
        <v>2</v>
      </c>
      <c r="E2256" s="1" t="n">
        <v>2</v>
      </c>
      <c r="F2256" s="3" t="s">
        <v>20</v>
      </c>
      <c r="G2256" s="3" t="s">
        <v>9176</v>
      </c>
      <c r="H2256" s="1" t="s">
        <v>22</v>
      </c>
      <c r="I2256" s="1" t="n">
        <v>20240430080843</v>
      </c>
      <c r="J2256" s="3" t="s">
        <v>9177</v>
      </c>
      <c r="K2256" s="3" t="s">
        <v>9178</v>
      </c>
      <c r="L2256" s="3" t="s">
        <v>9179</v>
      </c>
      <c r="M2256" s="3" t="n">
        <v>499423</v>
      </c>
      <c r="N2256" s="3" t="s">
        <v>5604</v>
      </c>
      <c r="O2256" s="1" t="n">
        <v>483037</v>
      </c>
      <c r="P2256" s="1" t="n">
        <v>96.72</v>
      </c>
      <c r="Q2256" s="1" t="s">
        <v>20</v>
      </c>
      <c r="R2256" s="1" t="s">
        <v>27</v>
      </c>
      <c r="S2256" s="1" t="s">
        <v>28</v>
      </c>
      <c r="T2256" s="1" t="s">
        <v>29</v>
      </c>
    </row>
    <row r="2257" customFormat="false" ht="18.7" hidden="false" customHeight="true" outlineLevel="0" collapsed="false">
      <c r="A2257" s="1" t="n">
        <v>2256</v>
      </c>
      <c r="B2257" s="6" t="str">
        <f aca="false">HYPERLINK("https://mncourtfraud.com/file/MCRO_27-CR-21-8228_Finding of Incompetency and Order_2023-05-02_20240430080825.pdf","MCRO_27-CR-21-8228_Finding of Incompetency and Order_2023-05-02_20240430080825.pdf")</f>
        <v>MCRO_27-CR-21-8228_Finding of Incompetency and Order_2023-05-02_20240430080825.pdf</v>
      </c>
      <c r="C2257" s="1" t="n">
        <v>9</v>
      </c>
      <c r="D2257" s="1" t="n">
        <v>3</v>
      </c>
      <c r="E2257" s="1" t="n">
        <v>3</v>
      </c>
      <c r="F2257" s="3" t="s">
        <v>27</v>
      </c>
      <c r="G2257" s="3" t="s">
        <v>9180</v>
      </c>
      <c r="H2257" s="1" t="s">
        <v>22</v>
      </c>
      <c r="I2257" s="1" t="n">
        <v>20240430080825</v>
      </c>
      <c r="J2257" s="3" t="s">
        <v>9181</v>
      </c>
      <c r="K2257" s="3" t="s">
        <v>9182</v>
      </c>
      <c r="L2257" s="3" t="s">
        <v>8994</v>
      </c>
      <c r="M2257" s="3" t="n">
        <v>951848</v>
      </c>
      <c r="N2257" s="3" t="s">
        <v>3264</v>
      </c>
      <c r="O2257" s="1" t="n">
        <v>935462</v>
      </c>
      <c r="P2257" s="1" t="n">
        <v>98.28</v>
      </c>
      <c r="Q2257" s="1" t="s">
        <v>20</v>
      </c>
      <c r="R2257" s="1" t="s">
        <v>27</v>
      </c>
      <c r="S2257" s="1" t="s">
        <v>28</v>
      </c>
      <c r="T2257" s="1" t="s">
        <v>29</v>
      </c>
    </row>
    <row r="2258" customFormat="false" ht="18.7" hidden="false" customHeight="true" outlineLevel="0" collapsed="false">
      <c r="A2258" s="1" t="n">
        <v>2257</v>
      </c>
      <c r="B2258" s="6" t="str">
        <f aca="false">HYPERLINK("https://mncourtfraud.com/file/MCRO_27-CR-21-8228_Finding of Incompetency and Order_2023-11-01_20240430080822.pdf","MCRO_27-CR-21-8228_Finding of Incompetency and Order_2023-11-01_20240430080822.pdf")</f>
        <v>MCRO_27-CR-21-8228_Finding of Incompetency and Order_2023-11-01_20240430080822.pdf</v>
      </c>
      <c r="C2258" s="1" t="n">
        <v>7</v>
      </c>
      <c r="D2258" s="1" t="n">
        <v>2</v>
      </c>
      <c r="E2258" s="1" t="n">
        <v>2</v>
      </c>
      <c r="F2258" s="3" t="s">
        <v>20</v>
      </c>
      <c r="G2258" s="3" t="s">
        <v>9183</v>
      </c>
      <c r="H2258" s="1" t="s">
        <v>22</v>
      </c>
      <c r="I2258" s="1" t="n">
        <v>20240430080822</v>
      </c>
      <c r="J2258" s="3" t="s">
        <v>9184</v>
      </c>
      <c r="K2258" s="3" t="s">
        <v>9185</v>
      </c>
      <c r="L2258" s="3" t="s">
        <v>9186</v>
      </c>
      <c r="M2258" s="3" t="n">
        <v>924945</v>
      </c>
      <c r="N2258" s="3" t="s">
        <v>4961</v>
      </c>
      <c r="O2258" s="1" t="n">
        <v>908559</v>
      </c>
      <c r="P2258" s="1" t="n">
        <v>98.23</v>
      </c>
      <c r="Q2258" s="1" t="s">
        <v>20</v>
      </c>
      <c r="R2258" s="1" t="s">
        <v>27</v>
      </c>
      <c r="S2258" s="1" t="s">
        <v>28</v>
      </c>
      <c r="T2258" s="1" t="s">
        <v>29</v>
      </c>
    </row>
    <row r="2259" customFormat="false" ht="18.7" hidden="false" customHeight="true" outlineLevel="0" collapsed="false">
      <c r="A2259" s="1" t="n">
        <v>2258</v>
      </c>
      <c r="B2259" s="6" t="str">
        <f aca="false">HYPERLINK("https://mncourtfraud.com/file/MCRO_27-CR-21-8228_Findings and Order_2022-06-14_20240430080831.pdf","MCRO_27-CR-21-8228_Findings and Order_2022-06-14_20240430080831.pdf")</f>
        <v>MCRO_27-CR-21-8228_Findings and Order_2022-06-14_20240430080831.pdf</v>
      </c>
      <c r="C2259" s="1" t="n">
        <v>4</v>
      </c>
      <c r="D2259" s="1" t="n">
        <v>2</v>
      </c>
      <c r="E2259" s="1" t="n">
        <v>2</v>
      </c>
      <c r="F2259" s="3" t="s">
        <v>20</v>
      </c>
      <c r="G2259" s="3" t="s">
        <v>9187</v>
      </c>
      <c r="H2259" s="1" t="s">
        <v>22</v>
      </c>
      <c r="I2259" s="1" t="n">
        <v>20240430080831</v>
      </c>
      <c r="J2259" s="3" t="s">
        <v>9188</v>
      </c>
      <c r="K2259" s="3" t="s">
        <v>9189</v>
      </c>
      <c r="L2259" s="3" t="s">
        <v>9190</v>
      </c>
      <c r="M2259" s="3" t="n">
        <v>302600</v>
      </c>
      <c r="N2259" s="3" t="s">
        <v>3832</v>
      </c>
      <c r="O2259" s="1" t="n">
        <v>286214</v>
      </c>
      <c r="P2259" s="1" t="n">
        <v>94.58</v>
      </c>
      <c r="Q2259" s="1" t="s">
        <v>20</v>
      </c>
      <c r="R2259" s="1" t="s">
        <v>27</v>
      </c>
      <c r="S2259" s="1" t="s">
        <v>28</v>
      </c>
      <c r="T2259" s="1" t="s">
        <v>29</v>
      </c>
    </row>
    <row r="2260" customFormat="false" ht="18.7" hidden="false" customHeight="true" outlineLevel="0" collapsed="false">
      <c r="A2260" s="1" t="n">
        <v>2259</v>
      </c>
      <c r="B2260" s="6" t="str">
        <f aca="false">HYPERLINK("https://mncourtfraud.com/file/MCRO_27-CR-21-8228_Law Enforcement Notice of Release and Appearance_2021-11-09_20240430080835.pdf","MCRO_27-CR-21-8228_Law Enforcement Notice of Release and Appearance_2021-11-09_20240430080835.pdf")</f>
        <v>MCRO_27-CR-21-8228_Law Enforcement Notice of Release and Appearance_2021-11-09_20240430080835.pdf</v>
      </c>
      <c r="C2260" s="1" t="n">
        <v>4</v>
      </c>
      <c r="D2260" s="1" t="n">
        <v>1</v>
      </c>
      <c r="E2260" s="1" t="n">
        <v>1</v>
      </c>
      <c r="F2260" s="3" t="s">
        <v>20</v>
      </c>
      <c r="G2260" s="3" t="s">
        <v>9191</v>
      </c>
      <c r="H2260" s="1" t="s">
        <v>22</v>
      </c>
      <c r="I2260" s="1" t="n">
        <v>20240430080835</v>
      </c>
      <c r="J2260" s="3" t="s">
        <v>9192</v>
      </c>
      <c r="K2260" s="3" t="s">
        <v>9193</v>
      </c>
      <c r="L2260" s="3" t="s">
        <v>9194</v>
      </c>
      <c r="M2260" s="3" t="n">
        <v>136841</v>
      </c>
      <c r="N2260" s="3" t="s">
        <v>456</v>
      </c>
      <c r="O2260" s="1" t="n">
        <v>120455</v>
      </c>
      <c r="P2260" s="1" t="n">
        <v>88.03</v>
      </c>
      <c r="Q2260" s="1" t="s">
        <v>20</v>
      </c>
      <c r="R2260" s="1" t="s">
        <v>27</v>
      </c>
      <c r="S2260" s="1" t="s">
        <v>28</v>
      </c>
      <c r="T2260" s="1" t="s">
        <v>29</v>
      </c>
    </row>
    <row r="2261" customFormat="false" ht="18.7" hidden="false" customHeight="true" outlineLevel="0" collapsed="false">
      <c r="A2261" s="1" t="n">
        <v>2260</v>
      </c>
      <c r="B2261" s="6" t="str">
        <f aca="false">HYPERLINK("https://mncourtfraud.com/file/MCRO_27-CR-21-8228_Notice of Case Reassignment_2022-04-01_20240430080832.pdf","MCRO_27-CR-21-8228_Notice of Case Reassignment_2022-04-01_20240430080832.pdf")</f>
        <v>MCRO_27-CR-21-8228_Notice of Case Reassignment_2022-04-01_20240430080832.pdf</v>
      </c>
      <c r="C2261" s="1" t="n">
        <v>4</v>
      </c>
      <c r="D2261" s="1" t="n">
        <v>1</v>
      </c>
      <c r="E2261" s="1" t="n">
        <v>1</v>
      </c>
      <c r="F2261" s="3" t="s">
        <v>20</v>
      </c>
      <c r="G2261" s="3" t="s">
        <v>9195</v>
      </c>
      <c r="H2261" s="1" t="s">
        <v>22</v>
      </c>
      <c r="I2261" s="1" t="n">
        <v>20240430080832</v>
      </c>
      <c r="J2261" s="3" t="s">
        <v>9196</v>
      </c>
      <c r="K2261" s="3" t="s">
        <v>9197</v>
      </c>
      <c r="L2261" s="3" t="s">
        <v>9198</v>
      </c>
      <c r="M2261" s="3" t="n">
        <v>96901</v>
      </c>
      <c r="N2261" s="3" t="s">
        <v>456</v>
      </c>
      <c r="O2261" s="1" t="n">
        <v>80515</v>
      </c>
      <c r="P2261" s="1" t="n">
        <v>83.09</v>
      </c>
      <c r="Q2261" s="1" t="s">
        <v>20</v>
      </c>
      <c r="R2261" s="1" t="s">
        <v>27</v>
      </c>
      <c r="S2261" s="1" t="s">
        <v>28</v>
      </c>
      <c r="T2261" s="1" t="s">
        <v>29</v>
      </c>
    </row>
    <row r="2262" customFormat="false" ht="18.7" hidden="false" customHeight="true" outlineLevel="0" collapsed="false">
      <c r="A2262" s="1" t="n">
        <v>2261</v>
      </c>
      <c r="B2262" s="6" t="str">
        <f aca="false">HYPERLINK("https://mncourtfraud.com/file/MCRO_27-CR-21-8228_Notice of Case Reassignment_2023-01-13_20240430080829.pdf","MCRO_27-CR-21-8228_Notice of Case Reassignment_2023-01-13_20240430080829.pdf")</f>
        <v>MCRO_27-CR-21-8228_Notice of Case Reassignment_2023-01-13_20240430080829.pdf</v>
      </c>
      <c r="C2262" s="1" t="n">
        <v>4</v>
      </c>
      <c r="D2262" s="1" t="n">
        <v>1</v>
      </c>
      <c r="E2262" s="1" t="n">
        <v>1</v>
      </c>
      <c r="F2262" s="3" t="s">
        <v>20</v>
      </c>
      <c r="G2262" s="3" t="s">
        <v>9199</v>
      </c>
      <c r="H2262" s="1" t="s">
        <v>22</v>
      </c>
      <c r="I2262" s="1" t="n">
        <v>20240430080829</v>
      </c>
      <c r="J2262" s="3" t="s">
        <v>9200</v>
      </c>
      <c r="K2262" s="3" t="s">
        <v>9201</v>
      </c>
      <c r="L2262" s="3" t="s">
        <v>9202</v>
      </c>
      <c r="M2262" s="3" t="n">
        <v>309277</v>
      </c>
      <c r="N2262" s="3" t="s">
        <v>158</v>
      </c>
      <c r="O2262" s="1" t="n">
        <v>292891</v>
      </c>
      <c r="P2262" s="1" t="n">
        <v>94.7</v>
      </c>
      <c r="Q2262" s="1" t="s">
        <v>20</v>
      </c>
      <c r="R2262" s="1" t="s">
        <v>27</v>
      </c>
      <c r="S2262" s="1" t="s">
        <v>28</v>
      </c>
      <c r="T2262" s="1" t="s">
        <v>29</v>
      </c>
    </row>
    <row r="2263" customFormat="false" ht="18.7" hidden="false" customHeight="true" outlineLevel="0" collapsed="false">
      <c r="A2263" s="1" t="n">
        <v>2262</v>
      </c>
      <c r="B2263" s="6" t="str">
        <f aca="false">HYPERLINK("https://mncourtfraud.com/file/MCRO_27-CR-21-8228_Notice of Case Reassignment_2024-01-12_20240430080819.pdf","MCRO_27-CR-21-8228_Notice of Case Reassignment_2024-01-12_20240430080819.pdf")</f>
        <v>MCRO_27-CR-21-8228_Notice of Case Reassignment_2024-01-12_20240430080819.pdf</v>
      </c>
      <c r="C2263" s="1" t="n">
        <v>4</v>
      </c>
      <c r="D2263" s="1" t="n">
        <v>1</v>
      </c>
      <c r="E2263" s="1" t="n">
        <v>1</v>
      </c>
      <c r="F2263" s="3" t="s">
        <v>20</v>
      </c>
      <c r="G2263" s="3" t="s">
        <v>9203</v>
      </c>
      <c r="H2263" s="1" t="s">
        <v>22</v>
      </c>
      <c r="I2263" s="1" t="n">
        <v>20240430080819</v>
      </c>
      <c r="J2263" s="3" t="s">
        <v>9204</v>
      </c>
      <c r="K2263" s="3" t="s">
        <v>9205</v>
      </c>
      <c r="L2263" s="3" t="s">
        <v>9206</v>
      </c>
      <c r="M2263" s="3" t="n">
        <v>297969</v>
      </c>
      <c r="N2263" s="3" t="s">
        <v>158</v>
      </c>
      <c r="O2263" s="1" t="n">
        <v>281583</v>
      </c>
      <c r="P2263" s="1" t="n">
        <v>94.5</v>
      </c>
      <c r="Q2263" s="1" t="s">
        <v>20</v>
      </c>
      <c r="R2263" s="1" t="s">
        <v>27</v>
      </c>
      <c r="S2263" s="1" t="s">
        <v>28</v>
      </c>
      <c r="T2263" s="1" t="s">
        <v>29</v>
      </c>
    </row>
    <row r="2264" customFormat="false" ht="18.7" hidden="false" customHeight="true" outlineLevel="0" collapsed="false">
      <c r="A2264" s="1" t="n">
        <v>2263</v>
      </c>
      <c r="B2264" s="6" t="str">
        <f aca="false">HYPERLINK("https://mncourtfraud.com/file/MCRO_27-CR-21-8228_Notice of Remote Hearing with Instructions_2021-04-28_20240430080842.pdf","MCRO_27-CR-21-8228_Notice of Remote Hearing with Instructions_2021-04-28_20240430080842.pdf")</f>
        <v>MCRO_27-CR-21-8228_Notice of Remote Hearing with Instructions_2021-04-28_20240430080842.pdf</v>
      </c>
      <c r="C2264" s="1" t="n">
        <v>5</v>
      </c>
      <c r="D2264" s="1" t="n">
        <v>1</v>
      </c>
      <c r="E2264" s="1" t="n">
        <v>1</v>
      </c>
      <c r="F2264" s="3" t="s">
        <v>20</v>
      </c>
      <c r="G2264" s="3" t="s">
        <v>9207</v>
      </c>
      <c r="H2264" s="1" t="s">
        <v>22</v>
      </c>
      <c r="I2264" s="1" t="n">
        <v>20240430080842</v>
      </c>
      <c r="J2264" s="3" t="s">
        <v>9208</v>
      </c>
      <c r="K2264" s="3" t="s">
        <v>9209</v>
      </c>
      <c r="L2264" s="3" t="s">
        <v>9210</v>
      </c>
      <c r="M2264" s="3" t="n">
        <v>1273917</v>
      </c>
      <c r="N2264" s="3" t="s">
        <v>1579</v>
      </c>
      <c r="O2264" s="1" t="n">
        <v>1257531</v>
      </c>
      <c r="P2264" s="1" t="n">
        <v>98.71</v>
      </c>
      <c r="Q2264" s="1" t="s">
        <v>20</v>
      </c>
      <c r="R2264" s="1" t="s">
        <v>27</v>
      </c>
      <c r="S2264" s="1" t="s">
        <v>28</v>
      </c>
      <c r="T2264" s="1" t="s">
        <v>29</v>
      </c>
    </row>
    <row r="2265" customFormat="false" ht="18.7" hidden="false" customHeight="true" outlineLevel="0" collapsed="false">
      <c r="A2265" s="1" t="n">
        <v>2264</v>
      </c>
      <c r="B2265" s="6" t="str">
        <f aca="false">HYPERLINK("https://mncourtfraud.com/file/MCRO_27-CR-21-8228_Notice of Remote Hearing with Instructions_2021-07-28_20240430080838.pdf","MCRO_27-CR-21-8228_Notice of Remote Hearing with Instructions_2021-07-28_20240430080838.pdf")</f>
        <v>MCRO_27-CR-21-8228_Notice of Remote Hearing with Instructions_2021-07-28_20240430080838.pdf</v>
      </c>
      <c r="C2265" s="1" t="n">
        <v>4</v>
      </c>
      <c r="D2265" s="1" t="n">
        <v>1</v>
      </c>
      <c r="E2265" s="1" t="n">
        <v>1</v>
      </c>
      <c r="F2265" s="3" t="s">
        <v>20</v>
      </c>
      <c r="G2265" s="3" t="s">
        <v>9211</v>
      </c>
      <c r="H2265" s="1" t="s">
        <v>22</v>
      </c>
      <c r="I2265" s="1" t="n">
        <v>20240430080838</v>
      </c>
      <c r="J2265" s="3" t="s">
        <v>9212</v>
      </c>
      <c r="K2265" s="3" t="s">
        <v>9213</v>
      </c>
      <c r="L2265" s="3" t="s">
        <v>9214</v>
      </c>
      <c r="M2265" s="3" t="n">
        <v>162015</v>
      </c>
      <c r="N2265" s="3" t="s">
        <v>1065</v>
      </c>
      <c r="O2265" s="1" t="n">
        <v>145629</v>
      </c>
      <c r="P2265" s="1" t="n">
        <v>89.89</v>
      </c>
      <c r="Q2265" s="1" t="s">
        <v>20</v>
      </c>
      <c r="R2265" s="1" t="s">
        <v>27</v>
      </c>
      <c r="S2265" s="1" t="s">
        <v>28</v>
      </c>
      <c r="T2265" s="1" t="s">
        <v>29</v>
      </c>
    </row>
    <row r="2266" customFormat="false" ht="18.7" hidden="false" customHeight="true" outlineLevel="0" collapsed="false">
      <c r="A2266" s="1" t="n">
        <v>2265</v>
      </c>
      <c r="B2266" s="6" t="str">
        <f aca="false">HYPERLINK("https://mncourtfraud.com/file/MCRO_27-CR-21-8228_Notice of Remote Hearing with Instructions_2021-11-09_20240430080836.pdf","MCRO_27-CR-21-8228_Notice of Remote Hearing with Instructions_2021-11-09_20240430080836.pdf")</f>
        <v>MCRO_27-CR-21-8228_Notice of Remote Hearing with Instructions_2021-11-09_20240430080836.pdf</v>
      </c>
      <c r="C2266" s="1" t="n">
        <v>5</v>
      </c>
      <c r="D2266" s="1" t="n">
        <v>1</v>
      </c>
      <c r="E2266" s="1" t="n">
        <v>1</v>
      </c>
      <c r="F2266" s="3" t="s">
        <v>20</v>
      </c>
      <c r="G2266" s="3" t="s">
        <v>9215</v>
      </c>
      <c r="H2266" s="1" t="s">
        <v>22</v>
      </c>
      <c r="I2266" s="1" t="n">
        <v>20240430080836</v>
      </c>
      <c r="J2266" s="3" t="s">
        <v>9216</v>
      </c>
      <c r="K2266" s="3" t="s">
        <v>9217</v>
      </c>
      <c r="L2266" s="3" t="s">
        <v>9218</v>
      </c>
      <c r="M2266" s="3" t="n">
        <v>908739</v>
      </c>
      <c r="N2266" s="3" t="s">
        <v>1239</v>
      </c>
      <c r="O2266" s="1" t="n">
        <v>892353</v>
      </c>
      <c r="P2266" s="1" t="n">
        <v>98.2</v>
      </c>
      <c r="Q2266" s="1" t="s">
        <v>20</v>
      </c>
      <c r="R2266" s="1" t="s">
        <v>27</v>
      </c>
      <c r="S2266" s="1" t="s">
        <v>28</v>
      </c>
      <c r="T2266" s="1" t="s">
        <v>29</v>
      </c>
    </row>
    <row r="2267" customFormat="false" ht="18.7" hidden="false" customHeight="true" outlineLevel="0" collapsed="false">
      <c r="A2267" s="1" t="n">
        <v>2266</v>
      </c>
      <c r="B2267" s="6" t="str">
        <f aca="false">HYPERLINK("https://mncourtfraud.com/file/MCRO_27-CR-21-8228_Notice of Remote Hearing with Instructions_2021-12-08_20240430080834.pdf","MCRO_27-CR-21-8228_Notice of Remote Hearing with Instructions_2021-12-08_20240430080834.pdf")</f>
        <v>MCRO_27-CR-21-8228_Notice of Remote Hearing with Instructions_2021-12-08_20240430080834.pdf</v>
      </c>
      <c r="C2267" s="1" t="n">
        <v>4</v>
      </c>
      <c r="D2267" s="1" t="n">
        <v>1</v>
      </c>
      <c r="E2267" s="1" t="n">
        <v>1</v>
      </c>
      <c r="F2267" s="3" t="s">
        <v>20</v>
      </c>
      <c r="G2267" s="3" t="s">
        <v>9219</v>
      </c>
      <c r="H2267" s="1" t="s">
        <v>22</v>
      </c>
      <c r="I2267" s="1" t="n">
        <v>20240430080834</v>
      </c>
      <c r="J2267" s="3" t="s">
        <v>9220</v>
      </c>
      <c r="K2267" s="3" t="s">
        <v>9221</v>
      </c>
      <c r="L2267" s="3" t="s">
        <v>9222</v>
      </c>
      <c r="M2267" s="3" t="n">
        <v>159789</v>
      </c>
      <c r="N2267" s="3" t="s">
        <v>1065</v>
      </c>
      <c r="O2267" s="1" t="n">
        <v>143403</v>
      </c>
      <c r="P2267" s="1" t="n">
        <v>89.75</v>
      </c>
      <c r="Q2267" s="1" t="s">
        <v>20</v>
      </c>
      <c r="R2267" s="1" t="s">
        <v>27</v>
      </c>
      <c r="S2267" s="1" t="s">
        <v>28</v>
      </c>
      <c r="T2267" s="1" t="s">
        <v>29</v>
      </c>
    </row>
    <row r="2268" customFormat="false" ht="18.7" hidden="false" customHeight="true" outlineLevel="0" collapsed="false">
      <c r="A2268" s="1" t="n">
        <v>2267</v>
      </c>
      <c r="B2268" s="6" t="str">
        <f aca="false">HYPERLINK("https://mncourtfraud.com/file/MCRO_27-CR-21-8228_Order-Evaluation for Competency to Proceed (Rule 20.01)_2022-03-23_20240430080833.pdf","MCRO_27-CR-21-8228_Order-Evaluation for Competency to Proceed (Rule 20.01)_2022-03-23_20240430080833.pdf")</f>
        <v>MCRO_27-CR-21-8228_Order-Evaluation for Competency to Proceed (Rule 20.01)_2022-03-23_20240430080833.pdf</v>
      </c>
      <c r="C2268" s="1" t="n">
        <v>3</v>
      </c>
      <c r="D2268" s="1" t="n">
        <v>1</v>
      </c>
      <c r="E2268" s="1" t="n">
        <v>1</v>
      </c>
      <c r="F2268" s="3" t="s">
        <v>20</v>
      </c>
      <c r="G2268" s="3" t="s">
        <v>9223</v>
      </c>
      <c r="H2268" s="1" t="s">
        <v>22</v>
      </c>
      <c r="I2268" s="1" t="n">
        <v>20240430080833</v>
      </c>
      <c r="J2268" s="3" t="s">
        <v>9224</v>
      </c>
      <c r="K2268" s="3" t="s">
        <v>9225</v>
      </c>
      <c r="L2268" s="3" t="s">
        <v>9226</v>
      </c>
      <c r="M2268" s="3" t="n">
        <v>252782</v>
      </c>
      <c r="N2268" s="3" t="s">
        <v>2818</v>
      </c>
      <c r="O2268" s="1" t="n">
        <v>236396</v>
      </c>
      <c r="P2268" s="1" t="n">
        <v>93.52</v>
      </c>
      <c r="Q2268" s="1" t="s">
        <v>20</v>
      </c>
      <c r="R2268" s="1" t="s">
        <v>27</v>
      </c>
      <c r="S2268" s="1" t="s">
        <v>28</v>
      </c>
      <c r="T2268" s="1" t="s">
        <v>29</v>
      </c>
    </row>
    <row r="2269" customFormat="false" ht="18.7" hidden="false" customHeight="true" outlineLevel="0" collapsed="false">
      <c r="A2269" s="1" t="n">
        <v>2268</v>
      </c>
      <c r="B2269" s="6" t="str">
        <f aca="false">HYPERLINK("https://mncourtfraud.com/file/MCRO_27-CR-21-8228_Order-Evaluation for Competency to Proceed (Rule 20.01)_2022-10-06_20240430080830.pdf","MCRO_27-CR-21-8228_Order-Evaluation for Competency to Proceed (Rule 20.01)_2022-10-06_20240430080830.pdf")</f>
        <v>MCRO_27-CR-21-8228_Order-Evaluation for Competency to Proceed (Rule 20.01)_2022-10-06_20240430080830.pdf</v>
      </c>
      <c r="C2269" s="1" t="n">
        <v>5</v>
      </c>
      <c r="D2269" s="1" t="n">
        <v>1</v>
      </c>
      <c r="E2269" s="1" t="n">
        <v>1</v>
      </c>
      <c r="F2269" s="3" t="s">
        <v>20</v>
      </c>
      <c r="G2269" s="3" t="s">
        <v>9227</v>
      </c>
      <c r="H2269" s="1" t="s">
        <v>22</v>
      </c>
      <c r="I2269" s="1" t="n">
        <v>20240430080830</v>
      </c>
      <c r="J2269" s="3" t="s">
        <v>9228</v>
      </c>
      <c r="K2269" s="3" t="s">
        <v>9229</v>
      </c>
      <c r="L2269" s="3" t="s">
        <v>9230</v>
      </c>
      <c r="M2269" s="3" t="n">
        <v>791755</v>
      </c>
      <c r="N2269" s="3" t="s">
        <v>5856</v>
      </c>
      <c r="O2269" s="1" t="n">
        <v>775369</v>
      </c>
      <c r="P2269" s="1" t="n">
        <v>97.93</v>
      </c>
      <c r="Q2269" s="1" t="s">
        <v>20</v>
      </c>
      <c r="R2269" s="1" t="s">
        <v>27</v>
      </c>
      <c r="S2269" s="1" t="s">
        <v>28</v>
      </c>
      <c r="T2269" s="1" t="s">
        <v>29</v>
      </c>
    </row>
    <row r="2270" customFormat="false" ht="18.7" hidden="false" customHeight="true" outlineLevel="0" collapsed="false">
      <c r="A2270" s="1" t="n">
        <v>2269</v>
      </c>
      <c r="B2270" s="6" t="str">
        <f aca="false">HYPERLINK("https://mncourtfraud.com/file/MCRO_27-CR-21-8228_Order-Evaluation for Competency to Proceed (Rule 20.01)_2023-02-21_20240430080828.pdf","MCRO_27-CR-21-8228_Order-Evaluation for Competency to Proceed (Rule 20.01)_2023-02-21_20240430080828.pdf")</f>
        <v>MCRO_27-CR-21-8228_Order-Evaluation for Competency to Proceed (Rule 20.01)_2023-02-21_20240430080828.pdf</v>
      </c>
      <c r="C2270" s="1" t="n">
        <v>3</v>
      </c>
      <c r="D2270" s="1" t="n">
        <v>1</v>
      </c>
      <c r="E2270" s="1" t="n">
        <v>1</v>
      </c>
      <c r="F2270" s="3" t="s">
        <v>20</v>
      </c>
      <c r="G2270" s="3" t="s">
        <v>9231</v>
      </c>
      <c r="H2270" s="1" t="s">
        <v>22</v>
      </c>
      <c r="I2270" s="1" t="n">
        <v>20240430080828</v>
      </c>
      <c r="J2270" s="3" t="s">
        <v>9232</v>
      </c>
      <c r="K2270" s="3" t="s">
        <v>9233</v>
      </c>
      <c r="L2270" s="3" t="s">
        <v>9234</v>
      </c>
      <c r="M2270" s="3" t="n">
        <v>192380</v>
      </c>
      <c r="N2270" s="3" t="s">
        <v>1266</v>
      </c>
      <c r="O2270" s="1" t="n">
        <v>175994</v>
      </c>
      <c r="P2270" s="1" t="n">
        <v>91.48</v>
      </c>
      <c r="Q2270" s="1" t="s">
        <v>20</v>
      </c>
      <c r="R2270" s="1" t="s">
        <v>27</v>
      </c>
      <c r="S2270" s="1" t="s">
        <v>28</v>
      </c>
      <c r="T2270" s="1" t="s">
        <v>29</v>
      </c>
    </row>
    <row r="2271" customFormat="false" ht="18.7" hidden="false" customHeight="true" outlineLevel="0" collapsed="false">
      <c r="A2271" s="1" t="n">
        <v>2270</v>
      </c>
      <c r="B2271" s="6" t="str">
        <f aca="false">HYPERLINK("https://mncourtfraud.com/file/MCRO_27-CR-21-8228_Order-Evaluation for Competency to Proceed (Rule 20.01)_2023-03-28_20240430080826.pdf","MCRO_27-CR-21-8228_Order-Evaluation for Competency to Proceed (Rule 20.01)_2023-03-28_20240430080826.pdf")</f>
        <v>MCRO_27-CR-21-8228_Order-Evaluation for Competency to Proceed (Rule 20.01)_2023-03-28_20240430080826.pdf</v>
      </c>
      <c r="C2271" s="1" t="n">
        <v>6</v>
      </c>
      <c r="D2271" s="1" t="n">
        <v>2</v>
      </c>
      <c r="E2271" s="1" t="n">
        <v>2</v>
      </c>
      <c r="F2271" s="3" t="s">
        <v>27</v>
      </c>
      <c r="G2271" s="3" t="s">
        <v>9235</v>
      </c>
      <c r="H2271" s="1" t="s">
        <v>22</v>
      </c>
      <c r="I2271" s="1" t="n">
        <v>20240430080826</v>
      </c>
      <c r="J2271" s="3" t="s">
        <v>9236</v>
      </c>
      <c r="K2271" s="3" t="s">
        <v>9237</v>
      </c>
      <c r="L2271" s="3" t="s">
        <v>9238</v>
      </c>
      <c r="M2271" s="3" t="n">
        <v>888436</v>
      </c>
      <c r="N2271" s="3" t="s">
        <v>559</v>
      </c>
      <c r="O2271" s="1" t="n">
        <v>872050</v>
      </c>
      <c r="P2271" s="1" t="n">
        <v>98.16</v>
      </c>
      <c r="Q2271" s="1" t="s">
        <v>20</v>
      </c>
      <c r="R2271" s="1" t="s">
        <v>27</v>
      </c>
      <c r="S2271" s="1" t="s">
        <v>28</v>
      </c>
      <c r="T2271" s="1" t="s">
        <v>29</v>
      </c>
    </row>
    <row r="2272" customFormat="false" ht="18.7" hidden="false" customHeight="true" outlineLevel="0" collapsed="false">
      <c r="A2272" s="1" t="n">
        <v>2271</v>
      </c>
      <c r="B2272" s="6" t="str">
        <f aca="false">HYPERLINK("https://mncourtfraud.com/file/MCRO_27-CR-21-8228_Order-Evaluation for Competency to Proceed (Rule 20.01)_2023-08-22_20240430080822.pdf","MCRO_27-CR-21-8228_Order-Evaluation for Competency to Proceed (Rule 20.01)_2023-08-22_20240430080822.pdf")</f>
        <v>MCRO_27-CR-21-8228_Order-Evaluation for Competency to Proceed (Rule 20.01)_2023-08-22_20240430080822.pdf</v>
      </c>
      <c r="C2272" s="1" t="n">
        <v>6</v>
      </c>
      <c r="D2272" s="1" t="n">
        <v>2</v>
      </c>
      <c r="E2272" s="1" t="n">
        <v>2</v>
      </c>
      <c r="F2272" s="3" t="s">
        <v>27</v>
      </c>
      <c r="G2272" s="3" t="s">
        <v>9239</v>
      </c>
      <c r="H2272" s="1" t="s">
        <v>22</v>
      </c>
      <c r="I2272" s="1" t="n">
        <v>20240430080822</v>
      </c>
      <c r="J2272" s="3" t="s">
        <v>9240</v>
      </c>
      <c r="K2272" s="3" t="s">
        <v>9241</v>
      </c>
      <c r="L2272" s="3" t="s">
        <v>9242</v>
      </c>
      <c r="M2272" s="3" t="n">
        <v>877453</v>
      </c>
      <c r="N2272" s="3" t="s">
        <v>554</v>
      </c>
      <c r="O2272" s="1" t="n">
        <v>861067</v>
      </c>
      <c r="P2272" s="1" t="n">
        <v>98.13</v>
      </c>
      <c r="Q2272" s="1" t="s">
        <v>20</v>
      </c>
      <c r="R2272" s="1" t="s">
        <v>27</v>
      </c>
      <c r="S2272" s="1" t="s">
        <v>28</v>
      </c>
      <c r="T2272" s="1" t="s">
        <v>29</v>
      </c>
    </row>
    <row r="2273" customFormat="false" ht="18.7" hidden="false" customHeight="true" outlineLevel="0" collapsed="false">
      <c r="A2273" s="1" t="n">
        <v>2272</v>
      </c>
      <c r="B2273" s="6" t="str">
        <f aca="false">HYPERLINK("https://mncourtfraud.com/file/MCRO_27-CR-21-8228_Order-Evaluation for Competency to Proceed (Rule 20.01)_2024-02-21_20240430080818.pdf","MCRO_27-CR-21-8228_Order-Evaluation for Competency to Proceed (Rule 20.01)_2024-02-21_20240430080818.pdf")</f>
        <v>MCRO_27-CR-21-8228_Order-Evaluation for Competency to Proceed (Rule 20.01)_2024-02-21_20240430080818.pdf</v>
      </c>
      <c r="C2273" s="1" t="n">
        <v>5</v>
      </c>
      <c r="D2273" s="1" t="n">
        <v>1</v>
      </c>
      <c r="E2273" s="1" t="n">
        <v>1</v>
      </c>
      <c r="F2273" s="3" t="s">
        <v>20</v>
      </c>
      <c r="G2273" s="3" t="s">
        <v>9243</v>
      </c>
      <c r="H2273" s="1" t="s">
        <v>22</v>
      </c>
      <c r="I2273" s="1" t="n">
        <v>20240430080818</v>
      </c>
      <c r="J2273" s="3" t="s">
        <v>9244</v>
      </c>
      <c r="K2273" s="3" t="s">
        <v>9245</v>
      </c>
      <c r="L2273" s="3" t="s">
        <v>9246</v>
      </c>
      <c r="M2273" s="3" t="n">
        <v>762226</v>
      </c>
      <c r="N2273" s="3" t="s">
        <v>6055</v>
      </c>
      <c r="O2273" s="1" t="n">
        <v>745840</v>
      </c>
      <c r="P2273" s="1" t="n">
        <v>97.85</v>
      </c>
      <c r="Q2273" s="1" t="s">
        <v>20</v>
      </c>
      <c r="R2273" s="1" t="s">
        <v>27</v>
      </c>
      <c r="S2273" s="1" t="s">
        <v>28</v>
      </c>
      <c r="T2273" s="1" t="s">
        <v>29</v>
      </c>
    </row>
    <row r="2274" customFormat="false" ht="18.7" hidden="false" customHeight="true" outlineLevel="0" collapsed="false">
      <c r="A2274" s="1" t="n">
        <v>2273</v>
      </c>
      <c r="B2274" s="6" t="str">
        <f aca="false">HYPERLINK("https://mncourtfraud.com/file/MCRO_27-CR-21-8228_Order for Conditional Release_2021-07-28_20240430080839.pdf","MCRO_27-CR-21-8228_Order for Conditional Release_2021-07-28_20240430080839.pdf")</f>
        <v>MCRO_27-CR-21-8228_Order for Conditional Release_2021-07-28_20240430080839.pdf</v>
      </c>
      <c r="C2274" s="1" t="n">
        <v>4</v>
      </c>
      <c r="D2274" s="1" t="n">
        <v>1</v>
      </c>
      <c r="E2274" s="1" t="n">
        <v>1</v>
      </c>
      <c r="F2274" s="3" t="s">
        <v>20</v>
      </c>
      <c r="G2274" s="3" t="s">
        <v>9247</v>
      </c>
      <c r="H2274" s="1" t="s">
        <v>22</v>
      </c>
      <c r="I2274" s="1" t="n">
        <v>20240430080839</v>
      </c>
      <c r="J2274" s="3" t="s">
        <v>9248</v>
      </c>
      <c r="K2274" s="3" t="s">
        <v>9249</v>
      </c>
      <c r="L2274" s="3" t="s">
        <v>9250</v>
      </c>
      <c r="M2274" s="3" t="n">
        <v>137063</v>
      </c>
      <c r="N2274" s="3" t="s">
        <v>456</v>
      </c>
      <c r="O2274" s="1" t="n">
        <v>120677</v>
      </c>
      <c r="P2274" s="1" t="n">
        <v>88.04</v>
      </c>
      <c r="Q2274" s="1" t="s">
        <v>20</v>
      </c>
      <c r="R2274" s="1" t="s">
        <v>27</v>
      </c>
      <c r="S2274" s="1" t="s">
        <v>28</v>
      </c>
      <c r="T2274" s="1" t="s">
        <v>29</v>
      </c>
    </row>
    <row r="2275" customFormat="false" ht="18.7" hidden="false" customHeight="true" outlineLevel="0" collapsed="false">
      <c r="A2275" s="1" t="n">
        <v>2274</v>
      </c>
      <c r="B2275" s="6" t="str">
        <f aca="false">HYPERLINK("https://mncourtfraud.com/file/MCRO_27-CR-21-8228_Order for Conditional Release_2023-03-17_20240430080827.pdf","MCRO_27-CR-21-8228_Order for Conditional Release_2023-03-17_20240430080827.pdf")</f>
        <v>MCRO_27-CR-21-8228_Order for Conditional Release_2023-03-17_20240430080827.pdf</v>
      </c>
      <c r="C2275" s="1" t="n">
        <v>4</v>
      </c>
      <c r="D2275" s="1" t="n">
        <v>1</v>
      </c>
      <c r="E2275" s="1" t="n">
        <v>1</v>
      </c>
      <c r="F2275" s="3" t="s">
        <v>20</v>
      </c>
      <c r="G2275" s="3" t="s">
        <v>9251</v>
      </c>
      <c r="H2275" s="1" t="s">
        <v>22</v>
      </c>
      <c r="I2275" s="1" t="n">
        <v>20240430080827</v>
      </c>
      <c r="J2275" s="3" t="s">
        <v>9252</v>
      </c>
      <c r="K2275" s="3" t="s">
        <v>9253</v>
      </c>
      <c r="L2275" s="3" t="s">
        <v>9254</v>
      </c>
      <c r="M2275" s="3" t="n">
        <v>1003975</v>
      </c>
      <c r="N2275" s="3" t="s">
        <v>650</v>
      </c>
      <c r="O2275" s="1" t="n">
        <v>987589</v>
      </c>
      <c r="P2275" s="1" t="n">
        <v>98.37</v>
      </c>
      <c r="Q2275" s="1" t="s">
        <v>20</v>
      </c>
      <c r="R2275" s="1" t="s">
        <v>27</v>
      </c>
      <c r="S2275" s="1" t="s">
        <v>28</v>
      </c>
      <c r="T2275" s="1" t="s">
        <v>29</v>
      </c>
    </row>
    <row r="2276" customFormat="false" ht="18.7" hidden="false" customHeight="true" outlineLevel="0" collapsed="false">
      <c r="A2276" s="1" t="n">
        <v>2275</v>
      </c>
      <c r="B2276" s="6" t="str">
        <f aca="false">HYPERLINK("https://mncourtfraud.com/file/MCRO_27-CR-21-8228_Order for Conditional Release_2023-05-16_20240430080824.pdf","MCRO_27-CR-21-8228_Order for Conditional Release_2023-05-16_20240430080824.pdf")</f>
        <v>MCRO_27-CR-21-8228_Order for Conditional Release_2023-05-16_20240430080824.pdf</v>
      </c>
      <c r="C2276" s="1" t="n">
        <v>6</v>
      </c>
      <c r="D2276" s="1" t="n">
        <v>2</v>
      </c>
      <c r="E2276" s="1" t="n">
        <v>2</v>
      </c>
      <c r="F2276" s="3" t="s">
        <v>27</v>
      </c>
      <c r="G2276" s="3" t="s">
        <v>9255</v>
      </c>
      <c r="H2276" s="1" t="s">
        <v>22</v>
      </c>
      <c r="I2276" s="1" t="n">
        <v>20240430080824</v>
      </c>
      <c r="J2276" s="3" t="s">
        <v>9181</v>
      </c>
      <c r="K2276" s="3" t="s">
        <v>9182</v>
      </c>
      <c r="L2276" s="3" t="s">
        <v>9256</v>
      </c>
      <c r="M2276" s="3" t="n">
        <v>876650</v>
      </c>
      <c r="N2276" s="3" t="s">
        <v>69</v>
      </c>
      <c r="O2276" s="1" t="n">
        <v>860264</v>
      </c>
      <c r="P2276" s="1" t="n">
        <v>98.13</v>
      </c>
      <c r="Q2276" s="1" t="s">
        <v>20</v>
      </c>
      <c r="R2276" s="1" t="s">
        <v>27</v>
      </c>
      <c r="S2276" s="1" t="s">
        <v>28</v>
      </c>
      <c r="T2276" s="1" t="s">
        <v>29</v>
      </c>
    </row>
    <row r="2277" customFormat="false" ht="18.7" hidden="false" customHeight="true" outlineLevel="0" collapsed="false">
      <c r="A2277" s="1" t="n">
        <v>2276</v>
      </c>
      <c r="B2277" s="6" t="str">
        <f aca="false">HYPERLINK("https://mncourtfraud.com/file/MCRO_27-CR-21-8228_Returned Mail_2021-05-12_20240430080840.pdf","MCRO_27-CR-21-8228_Returned Mail_2021-05-12_20240430080840.pdf")</f>
        <v>MCRO_27-CR-21-8228_Returned Mail_2021-05-12_20240430080840.pdf</v>
      </c>
      <c r="C2277" s="1" t="n">
        <v>4</v>
      </c>
      <c r="D2277" s="1" t="n">
        <v>1</v>
      </c>
      <c r="E2277" s="1" t="n">
        <v>1</v>
      </c>
      <c r="F2277" s="3" t="s">
        <v>20</v>
      </c>
      <c r="G2277" s="3" t="s">
        <v>9257</v>
      </c>
      <c r="H2277" s="1" t="s">
        <v>22</v>
      </c>
      <c r="I2277" s="1" t="n">
        <v>20240430080840</v>
      </c>
      <c r="J2277" s="3" t="s">
        <v>9258</v>
      </c>
      <c r="K2277" s="3" t="s">
        <v>9259</v>
      </c>
      <c r="L2277" s="3" t="s">
        <v>9260</v>
      </c>
      <c r="M2277" s="3" t="n">
        <v>99076</v>
      </c>
      <c r="N2277" s="3" t="s">
        <v>456</v>
      </c>
      <c r="O2277" s="1" t="n">
        <v>82690</v>
      </c>
      <c r="P2277" s="1" t="n">
        <v>83.46</v>
      </c>
      <c r="Q2277" s="1" t="s">
        <v>20</v>
      </c>
      <c r="R2277" s="1" t="s">
        <v>27</v>
      </c>
      <c r="S2277" s="1" t="s">
        <v>28</v>
      </c>
      <c r="T2277" s="1" t="s">
        <v>29</v>
      </c>
    </row>
    <row r="2278" customFormat="false" ht="18.7" hidden="false" customHeight="true" outlineLevel="0" collapsed="false">
      <c r="A2278" s="1" t="n">
        <v>2277</v>
      </c>
      <c r="B2278" s="6" t="str">
        <f aca="false">HYPERLINK("https://mncourtfraud.com/file/MCRO_27-CR-21-8229_Demand or Request for Discovery_2021-08-02_20240430081535.pdf","MCRO_27-CR-21-8229_Demand or Request for Discovery_2021-08-02_20240430081535.pdf")</f>
        <v>MCRO_27-CR-21-8229_Demand or Request for Discovery_2021-08-02_20240430081535.pdf</v>
      </c>
      <c r="C2278" s="1" t="n">
        <v>3</v>
      </c>
      <c r="D2278" s="1" t="n">
        <v>1</v>
      </c>
      <c r="E2278" s="1" t="n">
        <v>1</v>
      </c>
      <c r="F2278" s="3" t="s">
        <v>20</v>
      </c>
      <c r="G2278" s="3" t="s">
        <v>9261</v>
      </c>
      <c r="H2278" s="1" t="s">
        <v>22</v>
      </c>
      <c r="I2278" s="1" t="n">
        <v>20240430081535</v>
      </c>
      <c r="J2278" s="3" t="s">
        <v>9262</v>
      </c>
      <c r="K2278" s="3" t="s">
        <v>9263</v>
      </c>
      <c r="L2278" s="3" t="s">
        <v>9264</v>
      </c>
      <c r="M2278" s="3" t="n">
        <v>367950</v>
      </c>
      <c r="N2278" s="3" t="s">
        <v>9175</v>
      </c>
      <c r="O2278" s="1" t="n">
        <v>351564</v>
      </c>
      <c r="P2278" s="1" t="n">
        <v>95.55</v>
      </c>
      <c r="Q2278" s="1" t="s">
        <v>20</v>
      </c>
      <c r="R2278" s="1" t="s">
        <v>27</v>
      </c>
      <c r="S2278" s="1" t="s">
        <v>28</v>
      </c>
      <c r="T2278" s="1" t="s">
        <v>29</v>
      </c>
    </row>
    <row r="2279" customFormat="false" ht="18.7" hidden="false" customHeight="true" outlineLevel="0" collapsed="false">
      <c r="A2279" s="1" t="n">
        <v>2278</v>
      </c>
      <c r="B2279" s="6" t="str">
        <f aca="false">HYPERLINK("https://mncourtfraud.com/file/MCRO_27-CR-21-8229_E-filed Comp-Summons_2021-04-28_20240430081540.pdf","MCRO_27-CR-21-8229_E-filed Comp-Summons_2021-04-28_20240430081540.pdf")</f>
        <v>MCRO_27-CR-21-8229_E-filed Comp-Summons_2021-04-28_20240430081540.pdf</v>
      </c>
      <c r="C2279" s="1" t="n">
        <v>4</v>
      </c>
      <c r="D2279" s="1" t="n">
        <v>2</v>
      </c>
      <c r="E2279" s="1" t="n">
        <v>2</v>
      </c>
      <c r="F2279" s="3" t="s">
        <v>20</v>
      </c>
      <c r="G2279" s="3" t="s">
        <v>9265</v>
      </c>
      <c r="H2279" s="1" t="s">
        <v>22</v>
      </c>
      <c r="I2279" s="1" t="n">
        <v>20240430081540</v>
      </c>
      <c r="J2279" s="3" t="s">
        <v>9266</v>
      </c>
      <c r="K2279" s="3" t="s">
        <v>9267</v>
      </c>
      <c r="L2279" s="3" t="s">
        <v>9268</v>
      </c>
      <c r="M2279" s="3" t="n">
        <v>490029</v>
      </c>
      <c r="N2279" s="3" t="s">
        <v>4568</v>
      </c>
      <c r="O2279" s="1" t="n">
        <v>473643</v>
      </c>
      <c r="P2279" s="1" t="n">
        <v>96.66</v>
      </c>
      <c r="Q2279" s="1" t="s">
        <v>20</v>
      </c>
      <c r="R2279" s="1" t="s">
        <v>27</v>
      </c>
      <c r="S2279" s="1" t="s">
        <v>28</v>
      </c>
      <c r="T2279" s="1" t="s">
        <v>29</v>
      </c>
    </row>
    <row r="2280" customFormat="false" ht="18.7" hidden="false" customHeight="true" outlineLevel="0" collapsed="false">
      <c r="A2280" s="1" t="n">
        <v>2279</v>
      </c>
      <c r="B2280" s="6" t="str">
        <f aca="false">HYPERLINK("https://mncourtfraud.com/file/MCRO_27-CR-21-8229_Finding of Incompetency and Order_2023-05-02_20240430081522.pdf","MCRO_27-CR-21-8229_Finding of Incompetency and Order_2023-05-02_20240430081522.pdf")</f>
        <v>MCRO_27-CR-21-8229_Finding of Incompetency and Order_2023-05-02_20240430081522.pdf</v>
      </c>
      <c r="C2280" s="1" t="n">
        <v>9</v>
      </c>
      <c r="D2280" s="1" t="n">
        <v>3</v>
      </c>
      <c r="E2280" s="1" t="n">
        <v>3</v>
      </c>
      <c r="F2280" s="3" t="s">
        <v>27</v>
      </c>
      <c r="G2280" s="3" t="s">
        <v>9269</v>
      </c>
      <c r="H2280" s="1" t="s">
        <v>22</v>
      </c>
      <c r="I2280" s="1" t="n">
        <v>20240430081522</v>
      </c>
      <c r="J2280" s="3" t="s">
        <v>9270</v>
      </c>
      <c r="K2280" s="3" t="s">
        <v>9271</v>
      </c>
      <c r="L2280" s="3" t="s">
        <v>8994</v>
      </c>
      <c r="M2280" s="3" t="n">
        <v>951848</v>
      </c>
      <c r="N2280" s="3" t="s">
        <v>3264</v>
      </c>
      <c r="O2280" s="1" t="n">
        <v>935462</v>
      </c>
      <c r="P2280" s="1" t="n">
        <v>98.28</v>
      </c>
      <c r="Q2280" s="1" t="s">
        <v>20</v>
      </c>
      <c r="R2280" s="1" t="s">
        <v>27</v>
      </c>
      <c r="S2280" s="1" t="s">
        <v>28</v>
      </c>
      <c r="T2280" s="1" t="s">
        <v>29</v>
      </c>
    </row>
    <row r="2281" customFormat="false" ht="18.7" hidden="false" customHeight="true" outlineLevel="0" collapsed="false">
      <c r="A2281" s="1" t="n">
        <v>2280</v>
      </c>
      <c r="B2281" s="6" t="str">
        <f aca="false">HYPERLINK("https://mncourtfraud.com/file/MCRO_27-CR-21-8229_Finding of Incompetency and Order_2023-11-01_20240430081519.pdf","MCRO_27-CR-21-8229_Finding of Incompetency and Order_2023-11-01_20240430081519.pdf")</f>
        <v>MCRO_27-CR-21-8229_Finding of Incompetency and Order_2023-11-01_20240430081519.pdf</v>
      </c>
      <c r="C2281" s="1" t="n">
        <v>7</v>
      </c>
      <c r="D2281" s="1" t="n">
        <v>2</v>
      </c>
      <c r="E2281" s="1" t="n">
        <v>2</v>
      </c>
      <c r="F2281" s="3" t="s">
        <v>20</v>
      </c>
      <c r="G2281" s="3" t="s">
        <v>9272</v>
      </c>
      <c r="H2281" s="1" t="s">
        <v>22</v>
      </c>
      <c r="I2281" s="1" t="n">
        <v>20240430081519</v>
      </c>
      <c r="J2281" s="3" t="s">
        <v>9273</v>
      </c>
      <c r="K2281" s="3" t="s">
        <v>9274</v>
      </c>
      <c r="L2281" s="3" t="s">
        <v>9275</v>
      </c>
      <c r="M2281" s="3" t="n">
        <v>924943</v>
      </c>
      <c r="N2281" s="3" t="s">
        <v>4961</v>
      </c>
      <c r="O2281" s="1" t="n">
        <v>908557</v>
      </c>
      <c r="P2281" s="1" t="n">
        <v>98.23</v>
      </c>
      <c r="Q2281" s="1" t="s">
        <v>20</v>
      </c>
      <c r="R2281" s="1" t="s">
        <v>27</v>
      </c>
      <c r="S2281" s="1" t="s">
        <v>28</v>
      </c>
      <c r="T2281" s="1" t="s">
        <v>29</v>
      </c>
    </row>
    <row r="2282" customFormat="false" ht="18.7" hidden="false" customHeight="true" outlineLevel="0" collapsed="false">
      <c r="A2282" s="1" t="n">
        <v>2281</v>
      </c>
      <c r="B2282" s="6" t="str">
        <f aca="false">HYPERLINK("https://mncourtfraud.com/file/MCRO_27-CR-21-8229_Findings and Order_2022-06-14_20240430081529.pdf","MCRO_27-CR-21-8229_Findings and Order_2022-06-14_20240430081529.pdf")</f>
        <v>MCRO_27-CR-21-8229_Findings and Order_2022-06-14_20240430081529.pdf</v>
      </c>
      <c r="C2282" s="1" t="n">
        <v>4</v>
      </c>
      <c r="D2282" s="1" t="n">
        <v>2</v>
      </c>
      <c r="E2282" s="1" t="n">
        <v>2</v>
      </c>
      <c r="F2282" s="3" t="s">
        <v>20</v>
      </c>
      <c r="G2282" s="3" t="s">
        <v>9276</v>
      </c>
      <c r="H2282" s="1" t="s">
        <v>22</v>
      </c>
      <c r="I2282" s="1" t="n">
        <v>20240430081529</v>
      </c>
      <c r="J2282" s="3" t="s">
        <v>9277</v>
      </c>
      <c r="K2282" s="3" t="s">
        <v>9278</v>
      </c>
      <c r="L2282" s="3" t="s">
        <v>9279</v>
      </c>
      <c r="M2282" s="3" t="n">
        <v>302602</v>
      </c>
      <c r="N2282" s="3" t="s">
        <v>3832</v>
      </c>
      <c r="O2282" s="1" t="n">
        <v>286216</v>
      </c>
      <c r="P2282" s="1" t="n">
        <v>94.58</v>
      </c>
      <c r="Q2282" s="1" t="s">
        <v>20</v>
      </c>
      <c r="R2282" s="1" t="s">
        <v>27</v>
      </c>
      <c r="S2282" s="1" t="s">
        <v>28</v>
      </c>
      <c r="T2282" s="1" t="s">
        <v>29</v>
      </c>
    </row>
    <row r="2283" customFormat="false" ht="18.7" hidden="false" customHeight="true" outlineLevel="0" collapsed="false">
      <c r="A2283" s="1" t="n">
        <v>2282</v>
      </c>
      <c r="B2283" s="6" t="str">
        <f aca="false">HYPERLINK("https://mncourtfraud.com/file/MCRO_27-CR-21-8229_Law Enforcement Notice of Release and Appearance_2021-11-09_20240430081533.pdf","MCRO_27-CR-21-8229_Law Enforcement Notice of Release and Appearance_2021-11-09_20240430081533.pdf")</f>
        <v>MCRO_27-CR-21-8229_Law Enforcement Notice of Release and Appearance_2021-11-09_20240430081533.pdf</v>
      </c>
      <c r="C2283" s="1" t="n">
        <v>4</v>
      </c>
      <c r="D2283" s="1" t="n">
        <v>1</v>
      </c>
      <c r="E2283" s="1" t="n">
        <v>1</v>
      </c>
      <c r="F2283" s="3" t="s">
        <v>20</v>
      </c>
      <c r="G2283" s="3" t="s">
        <v>9280</v>
      </c>
      <c r="H2283" s="1" t="s">
        <v>22</v>
      </c>
      <c r="I2283" s="1" t="n">
        <v>20240430081533</v>
      </c>
      <c r="J2283" s="3" t="s">
        <v>9281</v>
      </c>
      <c r="K2283" s="3" t="s">
        <v>9282</v>
      </c>
      <c r="L2283" s="3" t="s">
        <v>9283</v>
      </c>
      <c r="M2283" s="3" t="n">
        <v>134898</v>
      </c>
      <c r="N2283" s="3" t="s">
        <v>456</v>
      </c>
      <c r="O2283" s="1" t="n">
        <v>118512</v>
      </c>
      <c r="P2283" s="1" t="n">
        <v>87.85</v>
      </c>
      <c r="Q2283" s="1" t="s">
        <v>20</v>
      </c>
      <c r="R2283" s="1" t="s">
        <v>27</v>
      </c>
      <c r="S2283" s="1" t="s">
        <v>28</v>
      </c>
      <c r="T2283" s="1" t="s">
        <v>29</v>
      </c>
    </row>
    <row r="2284" customFormat="false" ht="18.7" hidden="false" customHeight="true" outlineLevel="0" collapsed="false">
      <c r="A2284" s="1" t="n">
        <v>2283</v>
      </c>
      <c r="B2284" s="6" t="str">
        <f aca="false">HYPERLINK("https://mncourtfraud.com/file/MCRO_27-CR-21-8229_Notice of Case Reassignment_2022-04-01_20240430081529.pdf","MCRO_27-CR-21-8229_Notice of Case Reassignment_2022-04-01_20240430081529.pdf")</f>
        <v>MCRO_27-CR-21-8229_Notice of Case Reassignment_2022-04-01_20240430081529.pdf</v>
      </c>
      <c r="C2284" s="1" t="n">
        <v>4</v>
      </c>
      <c r="D2284" s="1" t="n">
        <v>1</v>
      </c>
      <c r="E2284" s="1" t="n">
        <v>1</v>
      </c>
      <c r="F2284" s="3" t="s">
        <v>20</v>
      </c>
      <c r="G2284" s="3" t="s">
        <v>9284</v>
      </c>
      <c r="H2284" s="1" t="s">
        <v>22</v>
      </c>
      <c r="I2284" s="1" t="n">
        <v>20240430081529</v>
      </c>
      <c r="J2284" s="3" t="s">
        <v>9285</v>
      </c>
      <c r="K2284" s="3" t="s">
        <v>9286</v>
      </c>
      <c r="L2284" s="3" t="s">
        <v>9287</v>
      </c>
      <c r="M2284" s="3" t="n">
        <v>97089</v>
      </c>
      <c r="N2284" s="3" t="s">
        <v>456</v>
      </c>
      <c r="O2284" s="1" t="n">
        <v>80703</v>
      </c>
      <c r="P2284" s="1" t="n">
        <v>83.12</v>
      </c>
      <c r="Q2284" s="1" t="s">
        <v>20</v>
      </c>
      <c r="R2284" s="1" t="s">
        <v>27</v>
      </c>
      <c r="S2284" s="1" t="s">
        <v>28</v>
      </c>
      <c r="T2284" s="1" t="s">
        <v>29</v>
      </c>
    </row>
    <row r="2285" customFormat="false" ht="18.7" hidden="false" customHeight="true" outlineLevel="0" collapsed="false">
      <c r="A2285" s="1" t="n">
        <v>2284</v>
      </c>
      <c r="B2285" s="6" t="str">
        <f aca="false">HYPERLINK("https://mncourtfraud.com/file/MCRO_27-CR-21-8229_Notice of Case Reassignment_2023-01-13_20240430081526.pdf","MCRO_27-CR-21-8229_Notice of Case Reassignment_2023-01-13_20240430081526.pdf")</f>
        <v>MCRO_27-CR-21-8229_Notice of Case Reassignment_2023-01-13_20240430081526.pdf</v>
      </c>
      <c r="C2285" s="1" t="n">
        <v>4</v>
      </c>
      <c r="D2285" s="1" t="n">
        <v>1</v>
      </c>
      <c r="E2285" s="1" t="n">
        <v>1</v>
      </c>
      <c r="F2285" s="3" t="s">
        <v>20</v>
      </c>
      <c r="G2285" s="3" t="s">
        <v>9288</v>
      </c>
      <c r="H2285" s="1" t="s">
        <v>22</v>
      </c>
      <c r="I2285" s="1" t="n">
        <v>20240430081526</v>
      </c>
      <c r="J2285" s="3" t="s">
        <v>9289</v>
      </c>
      <c r="K2285" s="3" t="s">
        <v>9290</v>
      </c>
      <c r="L2285" s="3" t="s">
        <v>9291</v>
      </c>
      <c r="M2285" s="3" t="n">
        <v>299225</v>
      </c>
      <c r="N2285" s="3" t="s">
        <v>158</v>
      </c>
      <c r="O2285" s="1" t="n">
        <v>282839</v>
      </c>
      <c r="P2285" s="1" t="n">
        <v>94.52</v>
      </c>
      <c r="Q2285" s="1" t="s">
        <v>20</v>
      </c>
      <c r="R2285" s="1" t="s">
        <v>27</v>
      </c>
      <c r="S2285" s="1" t="s">
        <v>28</v>
      </c>
      <c r="T2285" s="1" t="s">
        <v>29</v>
      </c>
    </row>
    <row r="2286" customFormat="false" ht="18.7" hidden="false" customHeight="true" outlineLevel="0" collapsed="false">
      <c r="A2286" s="1" t="n">
        <v>2285</v>
      </c>
      <c r="B2286" s="6" t="str">
        <f aca="false">HYPERLINK("https://mncourtfraud.com/file/MCRO_27-CR-21-8229_Notice of Case Reassignment_2024-01-12_20240430081518.pdf","MCRO_27-CR-21-8229_Notice of Case Reassignment_2024-01-12_20240430081518.pdf")</f>
        <v>MCRO_27-CR-21-8229_Notice of Case Reassignment_2024-01-12_20240430081518.pdf</v>
      </c>
      <c r="C2286" s="1" t="n">
        <v>4</v>
      </c>
      <c r="D2286" s="1" t="n">
        <v>1</v>
      </c>
      <c r="E2286" s="1" t="n">
        <v>1</v>
      </c>
      <c r="F2286" s="3" t="s">
        <v>20</v>
      </c>
      <c r="G2286" s="3" t="s">
        <v>9292</v>
      </c>
      <c r="H2286" s="1" t="s">
        <v>22</v>
      </c>
      <c r="I2286" s="1" t="n">
        <v>20240430081518</v>
      </c>
      <c r="J2286" s="3" t="s">
        <v>9293</v>
      </c>
      <c r="K2286" s="3" t="s">
        <v>9294</v>
      </c>
      <c r="L2286" s="3" t="s">
        <v>9295</v>
      </c>
      <c r="M2286" s="3" t="n">
        <v>299930</v>
      </c>
      <c r="N2286" s="3" t="s">
        <v>158</v>
      </c>
      <c r="O2286" s="1" t="n">
        <v>283544</v>
      </c>
      <c r="P2286" s="1" t="n">
        <v>94.54</v>
      </c>
      <c r="Q2286" s="1" t="s">
        <v>20</v>
      </c>
      <c r="R2286" s="1" t="s">
        <v>27</v>
      </c>
      <c r="S2286" s="1" t="s">
        <v>28</v>
      </c>
      <c r="T2286" s="1" t="s">
        <v>29</v>
      </c>
    </row>
    <row r="2287" customFormat="false" ht="18.7" hidden="false" customHeight="true" outlineLevel="0" collapsed="false">
      <c r="A2287" s="1" t="n">
        <v>2286</v>
      </c>
      <c r="B2287" s="6" t="str">
        <f aca="false">HYPERLINK("https://mncourtfraud.com/file/MCRO_27-CR-21-8229_Notice of Remote Hearing with Instructions_2021-04-28_20240430081540.pdf","MCRO_27-CR-21-8229_Notice of Remote Hearing with Instructions_2021-04-28_20240430081540.pdf")</f>
        <v>MCRO_27-CR-21-8229_Notice of Remote Hearing with Instructions_2021-04-28_20240430081540.pdf</v>
      </c>
      <c r="C2287" s="1" t="n">
        <v>5</v>
      </c>
      <c r="D2287" s="1" t="n">
        <v>1</v>
      </c>
      <c r="E2287" s="1" t="n">
        <v>1</v>
      </c>
      <c r="F2287" s="3" t="s">
        <v>20</v>
      </c>
      <c r="G2287" s="3" t="s">
        <v>9296</v>
      </c>
      <c r="H2287" s="1" t="s">
        <v>22</v>
      </c>
      <c r="I2287" s="1" t="n">
        <v>20240430081540</v>
      </c>
      <c r="J2287" s="3" t="s">
        <v>9297</v>
      </c>
      <c r="K2287" s="3" t="s">
        <v>9298</v>
      </c>
      <c r="L2287" s="3" t="s">
        <v>9299</v>
      </c>
      <c r="M2287" s="3" t="n">
        <v>1273856</v>
      </c>
      <c r="N2287" s="3" t="s">
        <v>1579</v>
      </c>
      <c r="O2287" s="1" t="n">
        <v>1257470</v>
      </c>
      <c r="P2287" s="1" t="n">
        <v>98.71</v>
      </c>
      <c r="Q2287" s="1" t="s">
        <v>20</v>
      </c>
      <c r="R2287" s="1" t="s">
        <v>27</v>
      </c>
      <c r="S2287" s="1" t="s">
        <v>28</v>
      </c>
      <c r="T2287" s="1" t="s">
        <v>29</v>
      </c>
    </row>
    <row r="2288" customFormat="false" ht="18.7" hidden="false" customHeight="true" outlineLevel="0" collapsed="false">
      <c r="A2288" s="1" t="n">
        <v>2287</v>
      </c>
      <c r="B2288" s="6" t="str">
        <f aca="false">HYPERLINK("https://mncourtfraud.com/file/MCRO_27-CR-21-8229_Notice of Remote Hearing with Instructions_2021-07-28_20240430081536.pdf","MCRO_27-CR-21-8229_Notice of Remote Hearing with Instructions_2021-07-28_20240430081536.pdf")</f>
        <v>MCRO_27-CR-21-8229_Notice of Remote Hearing with Instructions_2021-07-28_20240430081536.pdf</v>
      </c>
      <c r="C2288" s="1" t="n">
        <v>4</v>
      </c>
      <c r="D2288" s="1" t="n">
        <v>1</v>
      </c>
      <c r="E2288" s="1" t="n">
        <v>1</v>
      </c>
      <c r="F2288" s="3" t="s">
        <v>20</v>
      </c>
      <c r="G2288" s="3" t="s">
        <v>9300</v>
      </c>
      <c r="H2288" s="1" t="s">
        <v>22</v>
      </c>
      <c r="I2288" s="1" t="n">
        <v>20240430081536</v>
      </c>
      <c r="J2288" s="3" t="s">
        <v>9301</v>
      </c>
      <c r="K2288" s="3" t="s">
        <v>9302</v>
      </c>
      <c r="L2288" s="3" t="s">
        <v>9303</v>
      </c>
      <c r="M2288" s="3" t="n">
        <v>161525</v>
      </c>
      <c r="N2288" s="3" t="s">
        <v>1065</v>
      </c>
      <c r="O2288" s="1" t="n">
        <v>145139</v>
      </c>
      <c r="P2288" s="1" t="n">
        <v>89.86</v>
      </c>
      <c r="Q2288" s="1" t="s">
        <v>20</v>
      </c>
      <c r="R2288" s="1" t="s">
        <v>27</v>
      </c>
      <c r="S2288" s="1" t="s">
        <v>28</v>
      </c>
      <c r="T2288" s="1" t="s">
        <v>29</v>
      </c>
    </row>
    <row r="2289" customFormat="false" ht="18.7" hidden="false" customHeight="true" outlineLevel="0" collapsed="false">
      <c r="A2289" s="1" t="n">
        <v>2288</v>
      </c>
      <c r="B2289" s="6" t="str">
        <f aca="false">HYPERLINK("https://mncourtfraud.com/file/MCRO_27-CR-21-8229_Notice of Remote Hearing with Instructions_2021-11-09_20240430081534.pdf","MCRO_27-CR-21-8229_Notice of Remote Hearing with Instructions_2021-11-09_20240430081534.pdf")</f>
        <v>MCRO_27-CR-21-8229_Notice of Remote Hearing with Instructions_2021-11-09_20240430081534.pdf</v>
      </c>
      <c r="C2289" s="1" t="n">
        <v>5</v>
      </c>
      <c r="D2289" s="1" t="n">
        <v>1</v>
      </c>
      <c r="E2289" s="1" t="n">
        <v>1</v>
      </c>
      <c r="F2289" s="3" t="s">
        <v>20</v>
      </c>
      <c r="G2289" s="3" t="s">
        <v>9304</v>
      </c>
      <c r="H2289" s="1" t="s">
        <v>22</v>
      </c>
      <c r="I2289" s="1" t="n">
        <v>20240430081534</v>
      </c>
      <c r="J2289" s="3" t="s">
        <v>9305</v>
      </c>
      <c r="K2289" s="3" t="s">
        <v>9306</v>
      </c>
      <c r="L2289" s="3" t="s">
        <v>9127</v>
      </c>
      <c r="M2289" s="3" t="n">
        <v>908739</v>
      </c>
      <c r="N2289" s="3" t="s">
        <v>1239</v>
      </c>
      <c r="O2289" s="1" t="n">
        <v>892353</v>
      </c>
      <c r="P2289" s="1" t="n">
        <v>98.2</v>
      </c>
      <c r="Q2289" s="1" t="s">
        <v>20</v>
      </c>
      <c r="R2289" s="1" t="s">
        <v>27</v>
      </c>
      <c r="S2289" s="1" t="s">
        <v>28</v>
      </c>
      <c r="T2289" s="1" t="s">
        <v>29</v>
      </c>
    </row>
    <row r="2290" customFormat="false" ht="18.7" hidden="false" customHeight="true" outlineLevel="0" collapsed="false">
      <c r="A2290" s="1" t="n">
        <v>2289</v>
      </c>
      <c r="B2290" s="6" t="str">
        <f aca="false">HYPERLINK("https://mncourtfraud.com/file/MCRO_27-CR-21-8229_Notice of Remote Hearing with Instructions_2021-12-08_20240430081532.pdf","MCRO_27-CR-21-8229_Notice of Remote Hearing with Instructions_2021-12-08_20240430081532.pdf")</f>
        <v>MCRO_27-CR-21-8229_Notice of Remote Hearing with Instructions_2021-12-08_20240430081532.pdf</v>
      </c>
      <c r="C2290" s="1" t="n">
        <v>4</v>
      </c>
      <c r="D2290" s="1" t="n">
        <v>1</v>
      </c>
      <c r="E2290" s="1" t="n">
        <v>1</v>
      </c>
      <c r="F2290" s="3" t="s">
        <v>20</v>
      </c>
      <c r="G2290" s="3" t="s">
        <v>9307</v>
      </c>
      <c r="H2290" s="1" t="s">
        <v>22</v>
      </c>
      <c r="I2290" s="1" t="n">
        <v>20240430081532</v>
      </c>
      <c r="J2290" s="3" t="s">
        <v>9308</v>
      </c>
      <c r="K2290" s="3" t="s">
        <v>9309</v>
      </c>
      <c r="L2290" s="3" t="s">
        <v>9310</v>
      </c>
      <c r="M2290" s="3" t="n">
        <v>158790</v>
      </c>
      <c r="N2290" s="3" t="s">
        <v>1065</v>
      </c>
      <c r="O2290" s="1" t="n">
        <v>142404</v>
      </c>
      <c r="P2290" s="1" t="n">
        <v>89.68</v>
      </c>
      <c r="Q2290" s="1" t="s">
        <v>20</v>
      </c>
      <c r="R2290" s="1" t="s">
        <v>27</v>
      </c>
      <c r="S2290" s="1" t="s">
        <v>28</v>
      </c>
      <c r="T2290" s="1" t="s">
        <v>29</v>
      </c>
    </row>
    <row r="2291" customFormat="false" ht="18.7" hidden="false" customHeight="true" outlineLevel="0" collapsed="false">
      <c r="A2291" s="1" t="n">
        <v>2290</v>
      </c>
      <c r="B2291" s="6" t="str">
        <f aca="false">HYPERLINK("https://mncourtfraud.com/file/MCRO_27-CR-21-8229_Order-Evaluation for Competency to Proceed (Rule 20.01)_2022-03-23_20240430081531.pdf","MCRO_27-CR-21-8229_Order-Evaluation for Competency to Proceed (Rule 20.01)_2022-03-23_20240430081531.pdf")</f>
        <v>MCRO_27-CR-21-8229_Order-Evaluation for Competency to Proceed (Rule 20.01)_2022-03-23_20240430081531.pdf</v>
      </c>
      <c r="C2291" s="1" t="n">
        <v>3</v>
      </c>
      <c r="D2291" s="1" t="n">
        <v>1</v>
      </c>
      <c r="E2291" s="1" t="n">
        <v>1</v>
      </c>
      <c r="F2291" s="3" t="s">
        <v>20</v>
      </c>
      <c r="G2291" s="3" t="s">
        <v>9311</v>
      </c>
      <c r="H2291" s="1" t="s">
        <v>22</v>
      </c>
      <c r="I2291" s="1" t="n">
        <v>20240430081531</v>
      </c>
      <c r="J2291" s="3" t="s">
        <v>9312</v>
      </c>
      <c r="K2291" s="3" t="s">
        <v>9313</v>
      </c>
      <c r="L2291" s="3" t="s">
        <v>9135</v>
      </c>
      <c r="M2291" s="3" t="n">
        <v>252787</v>
      </c>
      <c r="N2291" s="3" t="s">
        <v>2818</v>
      </c>
      <c r="O2291" s="1" t="n">
        <v>236401</v>
      </c>
      <c r="P2291" s="1" t="n">
        <v>93.52</v>
      </c>
      <c r="Q2291" s="1" t="s">
        <v>20</v>
      </c>
      <c r="R2291" s="1" t="s">
        <v>27</v>
      </c>
      <c r="S2291" s="1" t="s">
        <v>28</v>
      </c>
      <c r="T2291" s="1" t="s">
        <v>29</v>
      </c>
    </row>
    <row r="2292" customFormat="false" ht="18.7" hidden="false" customHeight="true" outlineLevel="0" collapsed="false">
      <c r="A2292" s="1" t="n">
        <v>2291</v>
      </c>
      <c r="B2292" s="6" t="str">
        <f aca="false">HYPERLINK("https://mncourtfraud.com/file/MCRO_27-CR-21-8229_Order-Evaluation for Competency to Proceed (Rule 20.01)_2022-10-06_20240430081527.pdf","MCRO_27-CR-21-8229_Order-Evaluation for Competency to Proceed (Rule 20.01)_2022-10-06_20240430081527.pdf")</f>
        <v>MCRO_27-CR-21-8229_Order-Evaluation for Competency to Proceed (Rule 20.01)_2022-10-06_20240430081527.pdf</v>
      </c>
      <c r="C2292" s="1" t="n">
        <v>5</v>
      </c>
      <c r="D2292" s="1" t="n">
        <v>1</v>
      </c>
      <c r="E2292" s="1" t="n">
        <v>1</v>
      </c>
      <c r="F2292" s="3" t="s">
        <v>20</v>
      </c>
      <c r="G2292" s="3" t="s">
        <v>9314</v>
      </c>
      <c r="H2292" s="1" t="s">
        <v>22</v>
      </c>
      <c r="I2292" s="1" t="n">
        <v>20240430081527</v>
      </c>
      <c r="J2292" s="3" t="s">
        <v>9315</v>
      </c>
      <c r="K2292" s="3" t="s">
        <v>9316</v>
      </c>
      <c r="L2292" s="3" t="s">
        <v>9317</v>
      </c>
      <c r="M2292" s="3" t="n">
        <v>791756</v>
      </c>
      <c r="N2292" s="3" t="s">
        <v>5856</v>
      </c>
      <c r="O2292" s="1" t="n">
        <v>775370</v>
      </c>
      <c r="P2292" s="1" t="n">
        <v>97.93</v>
      </c>
      <c r="Q2292" s="1" t="s">
        <v>20</v>
      </c>
      <c r="R2292" s="1" t="s">
        <v>27</v>
      </c>
      <c r="S2292" s="1" t="s">
        <v>28</v>
      </c>
      <c r="T2292" s="1" t="s">
        <v>29</v>
      </c>
    </row>
    <row r="2293" customFormat="false" ht="18.7" hidden="false" customHeight="true" outlineLevel="0" collapsed="false">
      <c r="A2293" s="1" t="n">
        <v>2292</v>
      </c>
      <c r="B2293" s="6" t="str">
        <f aca="false">HYPERLINK("https://mncourtfraud.com/file/MCRO_27-CR-21-8229_Order-Evaluation for Competency to Proceed (Rule 20.01)_2023-02-21_20240430081525.pdf","MCRO_27-CR-21-8229_Order-Evaluation for Competency to Proceed (Rule 20.01)_2023-02-21_20240430081525.pdf")</f>
        <v>MCRO_27-CR-21-8229_Order-Evaluation for Competency to Proceed (Rule 20.01)_2023-02-21_20240430081525.pdf</v>
      </c>
      <c r="C2293" s="1" t="n">
        <v>3</v>
      </c>
      <c r="D2293" s="1" t="n">
        <v>1</v>
      </c>
      <c r="E2293" s="1" t="n">
        <v>1</v>
      </c>
      <c r="F2293" s="3" t="s">
        <v>20</v>
      </c>
      <c r="G2293" s="3" t="s">
        <v>9318</v>
      </c>
      <c r="H2293" s="1" t="s">
        <v>22</v>
      </c>
      <c r="I2293" s="1" t="n">
        <v>20240430081525</v>
      </c>
      <c r="J2293" s="3" t="s">
        <v>9319</v>
      </c>
      <c r="K2293" s="3" t="s">
        <v>9320</v>
      </c>
      <c r="L2293" s="3" t="s">
        <v>9234</v>
      </c>
      <c r="M2293" s="3" t="n">
        <v>192380</v>
      </c>
      <c r="N2293" s="3" t="s">
        <v>1266</v>
      </c>
      <c r="O2293" s="1" t="n">
        <v>175994</v>
      </c>
      <c r="P2293" s="1" t="n">
        <v>91.48</v>
      </c>
      <c r="Q2293" s="1" t="s">
        <v>20</v>
      </c>
      <c r="R2293" s="1" t="s">
        <v>27</v>
      </c>
      <c r="S2293" s="1" t="s">
        <v>28</v>
      </c>
      <c r="T2293" s="1" t="s">
        <v>29</v>
      </c>
    </row>
    <row r="2294" customFormat="false" ht="18.7" hidden="false" customHeight="true" outlineLevel="0" collapsed="false">
      <c r="A2294" s="1" t="n">
        <v>2293</v>
      </c>
      <c r="B2294" s="6" t="str">
        <f aca="false">HYPERLINK("https://mncourtfraud.com/file/MCRO_27-CR-21-8229_Order-Evaluation for Competency to Proceed (Rule 20.01)_2023-03-28_20240430081523.pdf","MCRO_27-CR-21-8229_Order-Evaluation for Competency to Proceed (Rule 20.01)_2023-03-28_20240430081523.pdf")</f>
        <v>MCRO_27-CR-21-8229_Order-Evaluation for Competency to Proceed (Rule 20.01)_2023-03-28_20240430081523.pdf</v>
      </c>
      <c r="C2294" s="1" t="n">
        <v>6</v>
      </c>
      <c r="D2294" s="1" t="n">
        <v>2</v>
      </c>
      <c r="E2294" s="1" t="n">
        <v>2</v>
      </c>
      <c r="F2294" s="3" t="s">
        <v>27</v>
      </c>
      <c r="G2294" s="3" t="s">
        <v>9321</v>
      </c>
      <c r="H2294" s="1" t="s">
        <v>22</v>
      </c>
      <c r="I2294" s="1" t="n">
        <v>20240430081523</v>
      </c>
      <c r="J2294" s="3" t="s">
        <v>9322</v>
      </c>
      <c r="K2294" s="3" t="s">
        <v>9323</v>
      </c>
      <c r="L2294" s="3" t="s">
        <v>9324</v>
      </c>
      <c r="M2294" s="3" t="n">
        <v>888433</v>
      </c>
      <c r="N2294" s="3" t="s">
        <v>559</v>
      </c>
      <c r="O2294" s="1" t="n">
        <v>872047</v>
      </c>
      <c r="P2294" s="1" t="n">
        <v>98.16</v>
      </c>
      <c r="Q2294" s="1" t="s">
        <v>20</v>
      </c>
      <c r="R2294" s="1" t="s">
        <v>27</v>
      </c>
      <c r="S2294" s="1" t="s">
        <v>28</v>
      </c>
      <c r="T2294" s="1" t="s">
        <v>29</v>
      </c>
    </row>
    <row r="2295" customFormat="false" ht="18.7" hidden="false" customHeight="true" outlineLevel="0" collapsed="false">
      <c r="A2295" s="1" t="n">
        <v>2294</v>
      </c>
      <c r="B2295" s="6" t="str">
        <f aca="false">HYPERLINK("https://mncourtfraud.com/file/MCRO_27-CR-21-8229_Order-Evaluation for Competency to Proceed (Rule 20.01)_2023-08-22_20240430081520.pdf","MCRO_27-CR-21-8229_Order-Evaluation for Competency to Proceed (Rule 20.01)_2023-08-22_20240430081520.pdf")</f>
        <v>MCRO_27-CR-21-8229_Order-Evaluation for Competency to Proceed (Rule 20.01)_2023-08-22_20240430081520.pdf</v>
      </c>
      <c r="C2295" s="1" t="n">
        <v>6</v>
      </c>
      <c r="D2295" s="1" t="n">
        <v>2</v>
      </c>
      <c r="E2295" s="1" t="n">
        <v>2</v>
      </c>
      <c r="F2295" s="3" t="s">
        <v>27</v>
      </c>
      <c r="G2295" s="3" t="s">
        <v>9325</v>
      </c>
      <c r="H2295" s="1" t="s">
        <v>22</v>
      </c>
      <c r="I2295" s="1" t="n">
        <v>20240430081520</v>
      </c>
      <c r="J2295" s="3" t="s">
        <v>9326</v>
      </c>
      <c r="K2295" s="3" t="s">
        <v>9327</v>
      </c>
      <c r="L2295" s="3" t="s">
        <v>9328</v>
      </c>
      <c r="M2295" s="3" t="n">
        <v>877450</v>
      </c>
      <c r="N2295" s="3" t="s">
        <v>554</v>
      </c>
      <c r="O2295" s="1" t="n">
        <v>861064</v>
      </c>
      <c r="P2295" s="1" t="n">
        <v>98.13</v>
      </c>
      <c r="Q2295" s="1" t="s">
        <v>20</v>
      </c>
      <c r="R2295" s="1" t="s">
        <v>27</v>
      </c>
      <c r="S2295" s="1" t="s">
        <v>28</v>
      </c>
      <c r="T2295" s="1" t="s">
        <v>29</v>
      </c>
    </row>
    <row r="2296" customFormat="false" ht="18.7" hidden="false" customHeight="true" outlineLevel="0" collapsed="false">
      <c r="A2296" s="1" t="n">
        <v>2295</v>
      </c>
      <c r="B2296" s="6" t="str">
        <f aca="false">HYPERLINK("https://mncourtfraud.com/file/MCRO_27-CR-21-8229_Order-Evaluation for Competency to Proceed (Rule 20.01)_2024-02-21_20240430081517.pdf","MCRO_27-CR-21-8229_Order-Evaluation for Competency to Proceed (Rule 20.01)_2024-02-21_20240430081517.pdf")</f>
        <v>MCRO_27-CR-21-8229_Order-Evaluation for Competency to Proceed (Rule 20.01)_2024-02-21_20240430081517.pdf</v>
      </c>
      <c r="C2296" s="1" t="n">
        <v>5</v>
      </c>
      <c r="D2296" s="1" t="n">
        <v>1</v>
      </c>
      <c r="E2296" s="1" t="n">
        <v>1</v>
      </c>
      <c r="F2296" s="3" t="s">
        <v>20</v>
      </c>
      <c r="G2296" s="3" t="s">
        <v>9329</v>
      </c>
      <c r="H2296" s="1" t="s">
        <v>22</v>
      </c>
      <c r="I2296" s="1" t="n">
        <v>20240430081517</v>
      </c>
      <c r="J2296" s="3" t="s">
        <v>9330</v>
      </c>
      <c r="K2296" s="3" t="s">
        <v>9331</v>
      </c>
      <c r="L2296" s="3" t="s">
        <v>9246</v>
      </c>
      <c r="M2296" s="3" t="n">
        <v>762226</v>
      </c>
      <c r="N2296" s="3" t="s">
        <v>6055</v>
      </c>
      <c r="O2296" s="1" t="n">
        <v>745840</v>
      </c>
      <c r="P2296" s="1" t="n">
        <v>97.85</v>
      </c>
      <c r="Q2296" s="1" t="s">
        <v>20</v>
      </c>
      <c r="R2296" s="1" t="s">
        <v>27</v>
      </c>
      <c r="S2296" s="1" t="s">
        <v>28</v>
      </c>
      <c r="T2296" s="1" t="s">
        <v>29</v>
      </c>
    </row>
    <row r="2297" customFormat="false" ht="18.7" hidden="false" customHeight="true" outlineLevel="0" collapsed="false">
      <c r="A2297" s="1" t="n">
        <v>2296</v>
      </c>
      <c r="B2297" s="6" t="str">
        <f aca="false">HYPERLINK("https://mncourtfraud.com/file/MCRO_27-CR-21-8229_Order for Conditional Release_2021-07-28_20240430081537.pdf","MCRO_27-CR-21-8229_Order for Conditional Release_2021-07-28_20240430081537.pdf")</f>
        <v>MCRO_27-CR-21-8229_Order for Conditional Release_2021-07-28_20240430081537.pdf</v>
      </c>
      <c r="C2297" s="1" t="n">
        <v>4</v>
      </c>
      <c r="D2297" s="1" t="n">
        <v>1</v>
      </c>
      <c r="E2297" s="1" t="n">
        <v>1</v>
      </c>
      <c r="F2297" s="3" t="s">
        <v>20</v>
      </c>
      <c r="G2297" s="3" t="s">
        <v>9332</v>
      </c>
      <c r="H2297" s="1" t="s">
        <v>22</v>
      </c>
      <c r="I2297" s="1" t="n">
        <v>20240430081537</v>
      </c>
      <c r="J2297" s="3" t="s">
        <v>9333</v>
      </c>
      <c r="K2297" s="3" t="s">
        <v>9334</v>
      </c>
      <c r="L2297" s="3" t="s">
        <v>9335</v>
      </c>
      <c r="M2297" s="3" t="n">
        <v>132581</v>
      </c>
      <c r="N2297" s="3" t="s">
        <v>456</v>
      </c>
      <c r="O2297" s="1" t="n">
        <v>116195</v>
      </c>
      <c r="P2297" s="1" t="n">
        <v>87.64</v>
      </c>
      <c r="Q2297" s="1" t="s">
        <v>20</v>
      </c>
      <c r="R2297" s="1" t="s">
        <v>27</v>
      </c>
      <c r="S2297" s="1" t="s">
        <v>28</v>
      </c>
      <c r="T2297" s="1" t="s">
        <v>29</v>
      </c>
    </row>
    <row r="2298" customFormat="false" ht="18.7" hidden="false" customHeight="true" outlineLevel="0" collapsed="false">
      <c r="A2298" s="1" t="n">
        <v>2297</v>
      </c>
      <c r="B2298" s="6" t="str">
        <f aca="false">HYPERLINK("https://mncourtfraud.com/file/MCRO_27-CR-21-8229_Order for Conditional Release_2023-03-17_20240430081524.pdf","MCRO_27-CR-21-8229_Order for Conditional Release_2023-03-17_20240430081524.pdf")</f>
        <v>MCRO_27-CR-21-8229_Order for Conditional Release_2023-03-17_20240430081524.pdf</v>
      </c>
      <c r="C2298" s="1" t="n">
        <v>4</v>
      </c>
      <c r="D2298" s="1" t="n">
        <v>1</v>
      </c>
      <c r="E2298" s="1" t="n">
        <v>1</v>
      </c>
      <c r="F2298" s="3" t="s">
        <v>20</v>
      </c>
      <c r="G2298" s="3" t="s">
        <v>9336</v>
      </c>
      <c r="H2298" s="1" t="s">
        <v>22</v>
      </c>
      <c r="I2298" s="1" t="n">
        <v>20240430081524</v>
      </c>
      <c r="J2298" s="3" t="s">
        <v>9337</v>
      </c>
      <c r="K2298" s="3" t="s">
        <v>9338</v>
      </c>
      <c r="L2298" s="3" t="s">
        <v>9339</v>
      </c>
      <c r="M2298" s="3" t="n">
        <v>1010324</v>
      </c>
      <c r="N2298" s="3" t="s">
        <v>650</v>
      </c>
      <c r="O2298" s="1" t="n">
        <v>993938</v>
      </c>
      <c r="P2298" s="1" t="n">
        <v>98.38</v>
      </c>
      <c r="Q2298" s="1" t="s">
        <v>20</v>
      </c>
      <c r="R2298" s="1" t="s">
        <v>27</v>
      </c>
      <c r="S2298" s="1" t="s">
        <v>28</v>
      </c>
      <c r="T2298" s="1" t="s">
        <v>29</v>
      </c>
    </row>
    <row r="2299" customFormat="false" ht="18.7" hidden="false" customHeight="true" outlineLevel="0" collapsed="false">
      <c r="A2299" s="1" t="n">
        <v>2298</v>
      </c>
      <c r="B2299" s="6" t="str">
        <f aca="false">HYPERLINK("https://mncourtfraud.com/file/MCRO_27-CR-21-8229_Order for Conditional Release_2023-05-16_20240430081521.pdf","MCRO_27-CR-21-8229_Order for Conditional Release_2023-05-16_20240430081521.pdf")</f>
        <v>MCRO_27-CR-21-8229_Order for Conditional Release_2023-05-16_20240430081521.pdf</v>
      </c>
      <c r="C2299" s="1" t="n">
        <v>6</v>
      </c>
      <c r="D2299" s="1" t="n">
        <v>2</v>
      </c>
      <c r="E2299" s="1" t="n">
        <v>2</v>
      </c>
      <c r="F2299" s="3" t="s">
        <v>27</v>
      </c>
      <c r="G2299" s="3" t="s">
        <v>9340</v>
      </c>
      <c r="H2299" s="1" t="s">
        <v>22</v>
      </c>
      <c r="I2299" s="1" t="n">
        <v>20240430081521</v>
      </c>
      <c r="J2299" s="3" t="s">
        <v>9341</v>
      </c>
      <c r="K2299" s="3" t="s">
        <v>9342</v>
      </c>
      <c r="L2299" s="3" t="s">
        <v>9166</v>
      </c>
      <c r="M2299" s="3" t="n">
        <v>876650</v>
      </c>
      <c r="N2299" s="3" t="s">
        <v>69</v>
      </c>
      <c r="O2299" s="1" t="n">
        <v>860264</v>
      </c>
      <c r="P2299" s="1" t="n">
        <v>98.13</v>
      </c>
      <c r="Q2299" s="1" t="s">
        <v>20</v>
      </c>
      <c r="R2299" s="1" t="s">
        <v>27</v>
      </c>
      <c r="S2299" s="1" t="s">
        <v>28</v>
      </c>
      <c r="T2299" s="1" t="s">
        <v>29</v>
      </c>
    </row>
    <row r="2300" customFormat="false" ht="18.7" hidden="false" customHeight="true" outlineLevel="0" collapsed="false">
      <c r="A2300" s="1" t="n">
        <v>2299</v>
      </c>
      <c r="B2300" s="6" t="str">
        <f aca="false">HYPERLINK("https://mncourtfraud.com/file/MCRO_27-CR-21-8229_Returned Mail_2021-05-12_20240430081538.pdf","MCRO_27-CR-21-8229_Returned Mail_2021-05-12_20240430081538.pdf")</f>
        <v>MCRO_27-CR-21-8229_Returned Mail_2021-05-12_20240430081538.pdf</v>
      </c>
      <c r="C2300" s="1" t="n">
        <v>4</v>
      </c>
      <c r="D2300" s="1" t="n">
        <v>1</v>
      </c>
      <c r="E2300" s="1" t="n">
        <v>1</v>
      </c>
      <c r="F2300" s="3" t="s">
        <v>20</v>
      </c>
      <c r="G2300" s="3" t="s">
        <v>9343</v>
      </c>
      <c r="H2300" s="1" t="s">
        <v>22</v>
      </c>
      <c r="I2300" s="1" t="n">
        <v>20240430081538</v>
      </c>
      <c r="J2300" s="3" t="s">
        <v>9344</v>
      </c>
      <c r="K2300" s="3" t="s">
        <v>9345</v>
      </c>
      <c r="L2300" s="3" t="s">
        <v>9346</v>
      </c>
      <c r="M2300" s="3" t="n">
        <v>98528</v>
      </c>
      <c r="N2300" s="3" t="s">
        <v>456</v>
      </c>
      <c r="O2300" s="1" t="n">
        <v>82142</v>
      </c>
      <c r="P2300" s="1" t="n">
        <v>83.37</v>
      </c>
      <c r="Q2300" s="1" t="s">
        <v>20</v>
      </c>
      <c r="R2300" s="1" t="s">
        <v>27</v>
      </c>
      <c r="S2300" s="1" t="s">
        <v>28</v>
      </c>
      <c r="T2300" s="1" t="s">
        <v>29</v>
      </c>
    </row>
    <row r="2301" customFormat="false" ht="18.7" hidden="false" customHeight="true" outlineLevel="0" collapsed="false">
      <c r="A2301" s="1" t="n">
        <v>2300</v>
      </c>
      <c r="B2301" s="6" t="str">
        <f aca="false">HYPERLINK("https://mncourtfraud.com/file/MCRO_27-CR-21-8230_Demand or Request for Discovery_2021-08-02_20240430081652.pdf","MCRO_27-CR-21-8230_Demand or Request for Discovery_2021-08-02_20240430081652.pdf")</f>
        <v>MCRO_27-CR-21-8230_Demand or Request for Discovery_2021-08-02_20240430081652.pdf</v>
      </c>
      <c r="C2301" s="1" t="n">
        <v>3</v>
      </c>
      <c r="D2301" s="1" t="n">
        <v>1</v>
      </c>
      <c r="E2301" s="1" t="n">
        <v>1</v>
      </c>
      <c r="F2301" s="3" t="s">
        <v>20</v>
      </c>
      <c r="G2301" s="3" t="s">
        <v>9347</v>
      </c>
      <c r="H2301" s="1" t="s">
        <v>22</v>
      </c>
      <c r="I2301" s="1" t="n">
        <v>20240430081652</v>
      </c>
      <c r="J2301" s="3" t="s">
        <v>9348</v>
      </c>
      <c r="K2301" s="3" t="s">
        <v>9349</v>
      </c>
      <c r="L2301" s="3" t="s">
        <v>9350</v>
      </c>
      <c r="M2301" s="3" t="n">
        <v>367966</v>
      </c>
      <c r="N2301" s="3" t="s">
        <v>9175</v>
      </c>
      <c r="O2301" s="1" t="n">
        <v>351580</v>
      </c>
      <c r="P2301" s="1" t="n">
        <v>95.55</v>
      </c>
      <c r="Q2301" s="1" t="s">
        <v>20</v>
      </c>
      <c r="R2301" s="1" t="s">
        <v>27</v>
      </c>
      <c r="S2301" s="1" t="s">
        <v>28</v>
      </c>
      <c r="T2301" s="1" t="s">
        <v>29</v>
      </c>
    </row>
    <row r="2302" customFormat="false" ht="18.7" hidden="false" customHeight="true" outlineLevel="0" collapsed="false">
      <c r="A2302" s="1" t="n">
        <v>2301</v>
      </c>
      <c r="B2302" s="6" t="str">
        <f aca="false">HYPERLINK("https://mncourtfraud.com/file/MCRO_27-CR-21-8230_E-filed Comp-Summons_2021-04-28_20240430081658.pdf","MCRO_27-CR-21-8230_E-filed Comp-Summons_2021-04-28_20240430081658.pdf")</f>
        <v>MCRO_27-CR-21-8230_E-filed Comp-Summons_2021-04-28_20240430081658.pdf</v>
      </c>
      <c r="C2302" s="1" t="n">
        <v>4</v>
      </c>
      <c r="D2302" s="1" t="n">
        <v>2</v>
      </c>
      <c r="E2302" s="1" t="n">
        <v>2</v>
      </c>
      <c r="F2302" s="3" t="s">
        <v>20</v>
      </c>
      <c r="G2302" s="3" t="s">
        <v>9351</v>
      </c>
      <c r="H2302" s="1" t="s">
        <v>22</v>
      </c>
      <c r="I2302" s="1" t="n">
        <v>20240430081658</v>
      </c>
      <c r="J2302" s="3" t="s">
        <v>9352</v>
      </c>
      <c r="K2302" s="3" t="s">
        <v>9353</v>
      </c>
      <c r="L2302" s="3" t="s">
        <v>9354</v>
      </c>
      <c r="M2302" s="3" t="n">
        <v>500893</v>
      </c>
      <c r="N2302" s="3" t="s">
        <v>5604</v>
      </c>
      <c r="O2302" s="1" t="n">
        <v>484507</v>
      </c>
      <c r="P2302" s="1" t="n">
        <v>96.73</v>
      </c>
      <c r="Q2302" s="1" t="s">
        <v>20</v>
      </c>
      <c r="R2302" s="1" t="s">
        <v>27</v>
      </c>
      <c r="S2302" s="1" t="s">
        <v>28</v>
      </c>
      <c r="T2302" s="1" t="s">
        <v>29</v>
      </c>
    </row>
    <row r="2303" customFormat="false" ht="18.7" hidden="false" customHeight="true" outlineLevel="0" collapsed="false">
      <c r="A2303" s="1" t="n">
        <v>2302</v>
      </c>
      <c r="B2303" s="6" t="str">
        <f aca="false">HYPERLINK("https://mncourtfraud.com/file/MCRO_27-CR-21-8230_Finding of Incompetency and Order_2023-05-02_20240430081640.pdf","MCRO_27-CR-21-8230_Finding of Incompetency and Order_2023-05-02_20240430081640.pdf")</f>
        <v>MCRO_27-CR-21-8230_Finding of Incompetency and Order_2023-05-02_20240430081640.pdf</v>
      </c>
      <c r="C2303" s="1" t="n">
        <v>9</v>
      </c>
      <c r="D2303" s="1" t="n">
        <v>3</v>
      </c>
      <c r="E2303" s="1" t="n">
        <v>3</v>
      </c>
      <c r="F2303" s="3" t="s">
        <v>27</v>
      </c>
      <c r="G2303" s="3" t="s">
        <v>9355</v>
      </c>
      <c r="H2303" s="1" t="s">
        <v>22</v>
      </c>
      <c r="I2303" s="1" t="n">
        <v>20240430081640</v>
      </c>
      <c r="J2303" s="3" t="s">
        <v>9356</v>
      </c>
      <c r="K2303" s="3" t="s">
        <v>9357</v>
      </c>
      <c r="L2303" s="3" t="s">
        <v>9358</v>
      </c>
      <c r="M2303" s="3" t="n">
        <v>951851</v>
      </c>
      <c r="N2303" s="3" t="s">
        <v>3264</v>
      </c>
      <c r="O2303" s="1" t="n">
        <v>935465</v>
      </c>
      <c r="P2303" s="1" t="n">
        <v>98.28</v>
      </c>
      <c r="Q2303" s="1" t="s">
        <v>20</v>
      </c>
      <c r="R2303" s="1" t="s">
        <v>27</v>
      </c>
      <c r="S2303" s="1" t="s">
        <v>28</v>
      </c>
      <c r="T2303" s="1" t="s">
        <v>29</v>
      </c>
    </row>
    <row r="2304" customFormat="false" ht="18.7" hidden="false" customHeight="true" outlineLevel="0" collapsed="false">
      <c r="A2304" s="1" t="n">
        <v>2303</v>
      </c>
      <c r="B2304" s="6" t="str">
        <f aca="false">HYPERLINK("https://mncourtfraud.com/file/MCRO_27-CR-21-8230_Finding of Incompetency and Order_2023-11-01_20240430081637.pdf","MCRO_27-CR-21-8230_Finding of Incompetency and Order_2023-11-01_20240430081637.pdf")</f>
        <v>MCRO_27-CR-21-8230_Finding of Incompetency and Order_2023-11-01_20240430081637.pdf</v>
      </c>
      <c r="C2304" s="1" t="n">
        <v>7</v>
      </c>
      <c r="D2304" s="1" t="n">
        <v>2</v>
      </c>
      <c r="E2304" s="1" t="n">
        <v>2</v>
      </c>
      <c r="F2304" s="3" t="s">
        <v>20</v>
      </c>
      <c r="G2304" s="3" t="s">
        <v>9359</v>
      </c>
      <c r="H2304" s="1" t="s">
        <v>22</v>
      </c>
      <c r="I2304" s="1" t="n">
        <v>20240430081637</v>
      </c>
      <c r="J2304" s="3" t="s">
        <v>9360</v>
      </c>
      <c r="K2304" s="3" t="s">
        <v>9361</v>
      </c>
      <c r="L2304" s="3" t="s">
        <v>9362</v>
      </c>
      <c r="M2304" s="3" t="n">
        <v>924950</v>
      </c>
      <c r="N2304" s="3" t="s">
        <v>4961</v>
      </c>
      <c r="O2304" s="1" t="n">
        <v>908564</v>
      </c>
      <c r="P2304" s="1" t="n">
        <v>98.23</v>
      </c>
      <c r="Q2304" s="1" t="s">
        <v>20</v>
      </c>
      <c r="R2304" s="1" t="s">
        <v>27</v>
      </c>
      <c r="S2304" s="1" t="s">
        <v>28</v>
      </c>
      <c r="T2304" s="1" t="s">
        <v>29</v>
      </c>
    </row>
    <row r="2305" customFormat="false" ht="18.7" hidden="false" customHeight="true" outlineLevel="0" collapsed="false">
      <c r="A2305" s="1" t="n">
        <v>2304</v>
      </c>
      <c r="B2305" s="6" t="str">
        <f aca="false">HYPERLINK("https://mncourtfraud.com/file/MCRO_27-CR-21-8230_Findings and Order_2022-06-14_20240430081646.pdf","MCRO_27-CR-21-8230_Findings and Order_2022-06-14_20240430081646.pdf")</f>
        <v>MCRO_27-CR-21-8230_Findings and Order_2022-06-14_20240430081646.pdf</v>
      </c>
      <c r="C2305" s="1" t="n">
        <v>4</v>
      </c>
      <c r="D2305" s="1" t="n">
        <v>2</v>
      </c>
      <c r="E2305" s="1" t="n">
        <v>2</v>
      </c>
      <c r="F2305" s="3" t="s">
        <v>20</v>
      </c>
      <c r="G2305" s="3" t="s">
        <v>9363</v>
      </c>
      <c r="H2305" s="1" t="s">
        <v>22</v>
      </c>
      <c r="I2305" s="1" t="n">
        <v>20240430081646</v>
      </c>
      <c r="J2305" s="3" t="s">
        <v>9364</v>
      </c>
      <c r="K2305" s="3" t="s">
        <v>9365</v>
      </c>
      <c r="L2305" s="3" t="s">
        <v>9002</v>
      </c>
      <c r="M2305" s="3" t="n">
        <v>302599</v>
      </c>
      <c r="N2305" s="3" t="s">
        <v>3832</v>
      </c>
      <c r="O2305" s="1" t="n">
        <v>286213</v>
      </c>
      <c r="P2305" s="1" t="n">
        <v>94.58</v>
      </c>
      <c r="Q2305" s="1" t="s">
        <v>20</v>
      </c>
      <c r="R2305" s="1" t="s">
        <v>27</v>
      </c>
      <c r="S2305" s="1" t="s">
        <v>28</v>
      </c>
      <c r="T2305" s="1" t="s">
        <v>29</v>
      </c>
    </row>
    <row r="2306" customFormat="false" ht="18.7" hidden="false" customHeight="true" outlineLevel="0" collapsed="false">
      <c r="A2306" s="1" t="n">
        <v>2305</v>
      </c>
      <c r="B2306" s="6" t="str">
        <f aca="false">HYPERLINK("https://mncourtfraud.com/file/MCRO_27-CR-21-8230_Law Enforcement Notice of Release and Appearance_2021-11-09_20240430081650.pdf","MCRO_27-CR-21-8230_Law Enforcement Notice of Release and Appearance_2021-11-09_20240430081650.pdf")</f>
        <v>MCRO_27-CR-21-8230_Law Enforcement Notice of Release and Appearance_2021-11-09_20240430081650.pdf</v>
      </c>
      <c r="C2306" s="1" t="n">
        <v>4</v>
      </c>
      <c r="D2306" s="1" t="n">
        <v>1</v>
      </c>
      <c r="E2306" s="1" t="n">
        <v>1</v>
      </c>
      <c r="F2306" s="3" t="s">
        <v>20</v>
      </c>
      <c r="G2306" s="3" t="s">
        <v>9366</v>
      </c>
      <c r="H2306" s="1" t="s">
        <v>22</v>
      </c>
      <c r="I2306" s="1" t="n">
        <v>20240430081650</v>
      </c>
      <c r="J2306" s="3" t="s">
        <v>9367</v>
      </c>
      <c r="K2306" s="3" t="s">
        <v>9368</v>
      </c>
      <c r="L2306" s="3" t="s">
        <v>9369</v>
      </c>
      <c r="M2306" s="3" t="n">
        <v>135606</v>
      </c>
      <c r="N2306" s="3" t="s">
        <v>456</v>
      </c>
      <c r="O2306" s="1" t="n">
        <v>119220</v>
      </c>
      <c r="P2306" s="1" t="n">
        <v>87.92</v>
      </c>
      <c r="Q2306" s="1" t="s">
        <v>20</v>
      </c>
      <c r="R2306" s="1" t="s">
        <v>27</v>
      </c>
      <c r="S2306" s="1" t="s">
        <v>28</v>
      </c>
      <c r="T2306" s="1" t="s">
        <v>29</v>
      </c>
    </row>
    <row r="2307" customFormat="false" ht="18.7" hidden="false" customHeight="true" outlineLevel="0" collapsed="false">
      <c r="A2307" s="1" t="n">
        <v>2306</v>
      </c>
      <c r="B2307" s="6" t="str">
        <f aca="false">HYPERLINK("https://mncourtfraud.com/file/MCRO_27-CR-21-8230_Notice of Case Reassignment_2022-04-01_20240430081647.pdf","MCRO_27-CR-21-8230_Notice of Case Reassignment_2022-04-01_20240430081647.pdf")</f>
        <v>MCRO_27-CR-21-8230_Notice of Case Reassignment_2022-04-01_20240430081647.pdf</v>
      </c>
      <c r="C2307" s="1" t="n">
        <v>4</v>
      </c>
      <c r="D2307" s="1" t="n">
        <v>1</v>
      </c>
      <c r="E2307" s="1" t="n">
        <v>1</v>
      </c>
      <c r="F2307" s="3" t="s">
        <v>20</v>
      </c>
      <c r="G2307" s="3" t="s">
        <v>9370</v>
      </c>
      <c r="H2307" s="1" t="s">
        <v>22</v>
      </c>
      <c r="I2307" s="1" t="n">
        <v>20240430081647</v>
      </c>
      <c r="J2307" s="3" t="s">
        <v>9371</v>
      </c>
      <c r="K2307" s="3" t="s">
        <v>9372</v>
      </c>
      <c r="L2307" s="3" t="s">
        <v>9373</v>
      </c>
      <c r="M2307" s="3" t="n">
        <v>97524</v>
      </c>
      <c r="N2307" s="3" t="s">
        <v>456</v>
      </c>
      <c r="O2307" s="1" t="n">
        <v>81138</v>
      </c>
      <c r="P2307" s="1" t="n">
        <v>83.2</v>
      </c>
      <c r="Q2307" s="1" t="s">
        <v>20</v>
      </c>
      <c r="R2307" s="1" t="s">
        <v>27</v>
      </c>
      <c r="S2307" s="1" t="s">
        <v>28</v>
      </c>
      <c r="T2307" s="1" t="s">
        <v>29</v>
      </c>
    </row>
    <row r="2308" customFormat="false" ht="18.7" hidden="false" customHeight="true" outlineLevel="0" collapsed="false">
      <c r="A2308" s="1" t="n">
        <v>2307</v>
      </c>
      <c r="B2308" s="6" t="str">
        <f aca="false">HYPERLINK("https://mncourtfraud.com/file/MCRO_27-CR-21-8230_Notice of Case Reassignment_2023-01-13_20240430081644.pdf","MCRO_27-CR-21-8230_Notice of Case Reassignment_2023-01-13_20240430081644.pdf")</f>
        <v>MCRO_27-CR-21-8230_Notice of Case Reassignment_2023-01-13_20240430081644.pdf</v>
      </c>
      <c r="C2308" s="1" t="n">
        <v>4</v>
      </c>
      <c r="D2308" s="1" t="n">
        <v>1</v>
      </c>
      <c r="E2308" s="1" t="n">
        <v>1</v>
      </c>
      <c r="F2308" s="3" t="s">
        <v>20</v>
      </c>
      <c r="G2308" s="3" t="s">
        <v>9374</v>
      </c>
      <c r="H2308" s="1" t="s">
        <v>22</v>
      </c>
      <c r="I2308" s="1" t="n">
        <v>20240430081644</v>
      </c>
      <c r="J2308" s="3" t="s">
        <v>9375</v>
      </c>
      <c r="K2308" s="3" t="s">
        <v>9376</v>
      </c>
      <c r="L2308" s="3" t="s">
        <v>9377</v>
      </c>
      <c r="M2308" s="3" t="n">
        <v>306228</v>
      </c>
      <c r="N2308" s="3" t="s">
        <v>158</v>
      </c>
      <c r="O2308" s="1" t="n">
        <v>289842</v>
      </c>
      <c r="P2308" s="1" t="n">
        <v>94.65</v>
      </c>
      <c r="Q2308" s="1" t="s">
        <v>20</v>
      </c>
      <c r="R2308" s="1" t="s">
        <v>27</v>
      </c>
      <c r="S2308" s="1" t="s">
        <v>28</v>
      </c>
      <c r="T2308" s="1" t="s">
        <v>29</v>
      </c>
    </row>
    <row r="2309" customFormat="false" ht="18.7" hidden="false" customHeight="true" outlineLevel="0" collapsed="false">
      <c r="A2309" s="1" t="n">
        <v>2308</v>
      </c>
      <c r="B2309" s="6" t="str">
        <f aca="false">HYPERLINK("https://mncourtfraud.com/file/MCRO_27-CR-21-8230_Notice of Case Reassignment_2024-01-12_20240430081635.pdf","MCRO_27-CR-21-8230_Notice of Case Reassignment_2024-01-12_20240430081635.pdf")</f>
        <v>MCRO_27-CR-21-8230_Notice of Case Reassignment_2024-01-12_20240430081635.pdf</v>
      </c>
      <c r="C2309" s="1" t="n">
        <v>4</v>
      </c>
      <c r="D2309" s="1" t="n">
        <v>1</v>
      </c>
      <c r="E2309" s="1" t="n">
        <v>1</v>
      </c>
      <c r="F2309" s="3" t="s">
        <v>20</v>
      </c>
      <c r="G2309" s="3" t="s">
        <v>9378</v>
      </c>
      <c r="H2309" s="1" t="s">
        <v>22</v>
      </c>
      <c r="I2309" s="1" t="n">
        <v>20240430081635</v>
      </c>
      <c r="J2309" s="3" t="s">
        <v>9379</v>
      </c>
      <c r="K2309" s="3" t="s">
        <v>9380</v>
      </c>
      <c r="L2309" s="3" t="s">
        <v>9381</v>
      </c>
      <c r="M2309" s="3" t="n">
        <v>300244</v>
      </c>
      <c r="N2309" s="3" t="s">
        <v>158</v>
      </c>
      <c r="O2309" s="1" t="n">
        <v>283858</v>
      </c>
      <c r="P2309" s="1" t="n">
        <v>94.54</v>
      </c>
      <c r="Q2309" s="1" t="s">
        <v>20</v>
      </c>
      <c r="R2309" s="1" t="s">
        <v>27</v>
      </c>
      <c r="S2309" s="1" t="s">
        <v>28</v>
      </c>
      <c r="T2309" s="1" t="s">
        <v>29</v>
      </c>
    </row>
    <row r="2310" customFormat="false" ht="18.7" hidden="false" customHeight="true" outlineLevel="0" collapsed="false">
      <c r="A2310" s="1" t="n">
        <v>2309</v>
      </c>
      <c r="B2310" s="6" t="str">
        <f aca="false">HYPERLINK("https://mncourtfraud.com/file/MCRO_27-CR-21-8230_Notice of Remote Hearing with Instructions_2021-04-28_20240430081657.pdf","MCRO_27-CR-21-8230_Notice of Remote Hearing with Instructions_2021-04-28_20240430081657.pdf")</f>
        <v>MCRO_27-CR-21-8230_Notice of Remote Hearing with Instructions_2021-04-28_20240430081657.pdf</v>
      </c>
      <c r="C2310" s="1" t="n">
        <v>5</v>
      </c>
      <c r="D2310" s="1" t="n">
        <v>1</v>
      </c>
      <c r="E2310" s="1" t="n">
        <v>1</v>
      </c>
      <c r="F2310" s="3" t="s">
        <v>20</v>
      </c>
      <c r="G2310" s="3" t="s">
        <v>9382</v>
      </c>
      <c r="H2310" s="1" t="s">
        <v>22</v>
      </c>
      <c r="I2310" s="1" t="n">
        <v>20240430081657</v>
      </c>
      <c r="J2310" s="3" t="s">
        <v>9383</v>
      </c>
      <c r="K2310" s="3" t="s">
        <v>9384</v>
      </c>
      <c r="L2310" s="3" t="s">
        <v>9385</v>
      </c>
      <c r="M2310" s="3" t="n">
        <v>1273916</v>
      </c>
      <c r="N2310" s="3" t="s">
        <v>1579</v>
      </c>
      <c r="O2310" s="1" t="n">
        <v>1257530</v>
      </c>
      <c r="P2310" s="1" t="n">
        <v>98.71</v>
      </c>
      <c r="Q2310" s="1" t="s">
        <v>20</v>
      </c>
      <c r="R2310" s="1" t="s">
        <v>27</v>
      </c>
      <c r="S2310" s="1" t="s">
        <v>28</v>
      </c>
      <c r="T2310" s="1" t="s">
        <v>29</v>
      </c>
    </row>
    <row r="2311" customFormat="false" ht="18.7" hidden="false" customHeight="true" outlineLevel="0" collapsed="false">
      <c r="A2311" s="1" t="n">
        <v>2310</v>
      </c>
      <c r="B2311" s="6" t="str">
        <f aca="false">HYPERLINK("https://mncourtfraud.com/file/MCRO_27-CR-21-8230_Notice of Remote Hearing with Instructions_2021-07-28_20240430081653.pdf","MCRO_27-CR-21-8230_Notice of Remote Hearing with Instructions_2021-07-28_20240430081653.pdf")</f>
        <v>MCRO_27-CR-21-8230_Notice of Remote Hearing with Instructions_2021-07-28_20240430081653.pdf</v>
      </c>
      <c r="C2311" s="1" t="n">
        <v>4</v>
      </c>
      <c r="D2311" s="1" t="n">
        <v>1</v>
      </c>
      <c r="E2311" s="1" t="n">
        <v>1</v>
      </c>
      <c r="F2311" s="3" t="s">
        <v>20</v>
      </c>
      <c r="G2311" s="3" t="s">
        <v>9386</v>
      </c>
      <c r="H2311" s="1" t="s">
        <v>22</v>
      </c>
      <c r="I2311" s="1" t="n">
        <v>20240430081653</v>
      </c>
      <c r="J2311" s="3" t="s">
        <v>9387</v>
      </c>
      <c r="K2311" s="3" t="s">
        <v>9388</v>
      </c>
      <c r="L2311" s="3" t="s">
        <v>9389</v>
      </c>
      <c r="M2311" s="3" t="n">
        <v>163145</v>
      </c>
      <c r="N2311" s="3" t="s">
        <v>1065</v>
      </c>
      <c r="O2311" s="1" t="n">
        <v>146759</v>
      </c>
      <c r="P2311" s="1" t="n">
        <v>89.96</v>
      </c>
      <c r="Q2311" s="1" t="s">
        <v>20</v>
      </c>
      <c r="R2311" s="1" t="s">
        <v>27</v>
      </c>
      <c r="S2311" s="1" t="s">
        <v>28</v>
      </c>
      <c r="T2311" s="1" t="s">
        <v>29</v>
      </c>
    </row>
    <row r="2312" customFormat="false" ht="18.7" hidden="false" customHeight="true" outlineLevel="0" collapsed="false">
      <c r="A2312" s="1" t="n">
        <v>2311</v>
      </c>
      <c r="B2312" s="6" t="str">
        <f aca="false">HYPERLINK("https://mncourtfraud.com/file/MCRO_27-CR-21-8230_Notice of Remote Hearing with Instructions_2021-11-09_20240430081651.pdf","MCRO_27-CR-21-8230_Notice of Remote Hearing with Instructions_2021-11-09_20240430081651.pdf")</f>
        <v>MCRO_27-CR-21-8230_Notice of Remote Hearing with Instructions_2021-11-09_20240430081651.pdf</v>
      </c>
      <c r="C2312" s="1" t="n">
        <v>5</v>
      </c>
      <c r="D2312" s="1" t="n">
        <v>1</v>
      </c>
      <c r="E2312" s="1" t="n">
        <v>1</v>
      </c>
      <c r="F2312" s="3" t="s">
        <v>20</v>
      </c>
      <c r="G2312" s="3" t="s">
        <v>9390</v>
      </c>
      <c r="H2312" s="1" t="s">
        <v>22</v>
      </c>
      <c r="I2312" s="1" t="n">
        <v>20240430081651</v>
      </c>
      <c r="J2312" s="3" t="s">
        <v>9391</v>
      </c>
      <c r="K2312" s="3" t="s">
        <v>9392</v>
      </c>
      <c r="L2312" s="3" t="s">
        <v>9393</v>
      </c>
      <c r="M2312" s="3" t="n">
        <v>908741</v>
      </c>
      <c r="N2312" s="3" t="s">
        <v>1239</v>
      </c>
      <c r="O2312" s="1" t="n">
        <v>892355</v>
      </c>
      <c r="P2312" s="1" t="n">
        <v>98.2</v>
      </c>
      <c r="Q2312" s="1" t="s">
        <v>20</v>
      </c>
      <c r="R2312" s="1" t="s">
        <v>27</v>
      </c>
      <c r="S2312" s="1" t="s">
        <v>28</v>
      </c>
      <c r="T2312" s="1" t="s">
        <v>29</v>
      </c>
    </row>
    <row r="2313" customFormat="false" ht="18.7" hidden="false" customHeight="true" outlineLevel="0" collapsed="false">
      <c r="A2313" s="1" t="n">
        <v>2312</v>
      </c>
      <c r="B2313" s="6" t="str">
        <f aca="false">HYPERLINK("https://mncourtfraud.com/file/MCRO_27-CR-21-8230_Notice of Remote Hearing with Instructions_2021-12-08_20240430081649.pdf","MCRO_27-CR-21-8230_Notice of Remote Hearing with Instructions_2021-12-08_20240430081649.pdf")</f>
        <v>MCRO_27-CR-21-8230_Notice of Remote Hearing with Instructions_2021-12-08_20240430081649.pdf</v>
      </c>
      <c r="C2313" s="1" t="n">
        <v>4</v>
      </c>
      <c r="D2313" s="1" t="n">
        <v>1</v>
      </c>
      <c r="E2313" s="1" t="n">
        <v>1</v>
      </c>
      <c r="F2313" s="3" t="s">
        <v>20</v>
      </c>
      <c r="G2313" s="3" t="s">
        <v>9394</v>
      </c>
      <c r="H2313" s="1" t="s">
        <v>22</v>
      </c>
      <c r="I2313" s="1" t="n">
        <v>20240430081649</v>
      </c>
      <c r="J2313" s="3" t="s">
        <v>9395</v>
      </c>
      <c r="K2313" s="3" t="s">
        <v>9396</v>
      </c>
      <c r="L2313" s="3" t="s">
        <v>9397</v>
      </c>
      <c r="M2313" s="3" t="n">
        <v>159410</v>
      </c>
      <c r="N2313" s="3" t="s">
        <v>1065</v>
      </c>
      <c r="O2313" s="1" t="n">
        <v>143024</v>
      </c>
      <c r="P2313" s="1" t="n">
        <v>89.72</v>
      </c>
      <c r="Q2313" s="1" t="s">
        <v>20</v>
      </c>
      <c r="R2313" s="1" t="s">
        <v>27</v>
      </c>
      <c r="S2313" s="1" t="s">
        <v>28</v>
      </c>
      <c r="T2313" s="1" t="s">
        <v>29</v>
      </c>
    </row>
    <row r="2314" customFormat="false" ht="18.7" hidden="false" customHeight="true" outlineLevel="0" collapsed="false">
      <c r="A2314" s="1" t="n">
        <v>2313</v>
      </c>
      <c r="B2314" s="6" t="str">
        <f aca="false">HYPERLINK("https://mncourtfraud.com/file/MCRO_27-CR-21-8230_Order-Evaluation for Competency to Proceed (Rule 20.01)_2022-03-23_20240430081648.pdf","MCRO_27-CR-21-8230_Order-Evaluation for Competency to Proceed (Rule 20.01)_2022-03-23_20240430081648.pdf")</f>
        <v>MCRO_27-CR-21-8230_Order-Evaluation for Competency to Proceed (Rule 20.01)_2022-03-23_20240430081648.pdf</v>
      </c>
      <c r="C2314" s="1" t="n">
        <v>3</v>
      </c>
      <c r="D2314" s="1" t="n">
        <v>1</v>
      </c>
      <c r="E2314" s="1" t="n">
        <v>1</v>
      </c>
      <c r="F2314" s="3" t="s">
        <v>20</v>
      </c>
      <c r="G2314" s="3" t="s">
        <v>9398</v>
      </c>
      <c r="H2314" s="1" t="s">
        <v>22</v>
      </c>
      <c r="I2314" s="1" t="n">
        <v>20240430081648</v>
      </c>
      <c r="J2314" s="3" t="s">
        <v>9399</v>
      </c>
      <c r="K2314" s="3" t="s">
        <v>9400</v>
      </c>
      <c r="L2314" s="3" t="s">
        <v>9044</v>
      </c>
      <c r="M2314" s="3" t="n">
        <v>252785</v>
      </c>
      <c r="N2314" s="3" t="s">
        <v>2818</v>
      </c>
      <c r="O2314" s="1" t="n">
        <v>236399</v>
      </c>
      <c r="P2314" s="1" t="n">
        <v>93.52</v>
      </c>
      <c r="Q2314" s="1" t="s">
        <v>20</v>
      </c>
      <c r="R2314" s="1" t="s">
        <v>27</v>
      </c>
      <c r="S2314" s="1" t="s">
        <v>28</v>
      </c>
      <c r="T2314" s="1" t="s">
        <v>29</v>
      </c>
    </row>
    <row r="2315" customFormat="false" ht="18.7" hidden="false" customHeight="true" outlineLevel="0" collapsed="false">
      <c r="A2315" s="1" t="n">
        <v>2314</v>
      </c>
      <c r="B2315" s="6" t="str">
        <f aca="false">HYPERLINK("https://mncourtfraud.com/file/MCRO_27-CR-21-8230_Order-Evaluation for Competency to Proceed (Rule 20.01)_2022-10-06_20240430081645.pdf","MCRO_27-CR-21-8230_Order-Evaluation for Competency to Proceed (Rule 20.01)_2022-10-06_20240430081645.pdf")</f>
        <v>MCRO_27-CR-21-8230_Order-Evaluation for Competency to Proceed (Rule 20.01)_2022-10-06_20240430081645.pdf</v>
      </c>
      <c r="C2315" s="1" t="n">
        <v>5</v>
      </c>
      <c r="D2315" s="1" t="n">
        <v>1</v>
      </c>
      <c r="E2315" s="1" t="n">
        <v>1</v>
      </c>
      <c r="F2315" s="3" t="s">
        <v>20</v>
      </c>
      <c r="G2315" s="3" t="s">
        <v>9401</v>
      </c>
      <c r="H2315" s="1" t="s">
        <v>22</v>
      </c>
      <c r="I2315" s="1" t="n">
        <v>20240430081645</v>
      </c>
      <c r="J2315" s="3" t="s">
        <v>9402</v>
      </c>
      <c r="K2315" s="3" t="s">
        <v>9403</v>
      </c>
      <c r="L2315" s="3" t="s">
        <v>9317</v>
      </c>
      <c r="M2315" s="3" t="n">
        <v>791756</v>
      </c>
      <c r="N2315" s="3" t="s">
        <v>5856</v>
      </c>
      <c r="O2315" s="1" t="n">
        <v>775370</v>
      </c>
      <c r="P2315" s="1" t="n">
        <v>97.93</v>
      </c>
      <c r="Q2315" s="1" t="s">
        <v>20</v>
      </c>
      <c r="R2315" s="1" t="s">
        <v>27</v>
      </c>
      <c r="S2315" s="1" t="s">
        <v>28</v>
      </c>
      <c r="T2315" s="1" t="s">
        <v>29</v>
      </c>
    </row>
    <row r="2316" customFormat="false" ht="18.7" hidden="false" customHeight="true" outlineLevel="0" collapsed="false">
      <c r="A2316" s="1" t="n">
        <v>2315</v>
      </c>
      <c r="B2316" s="6" t="str">
        <f aca="false">HYPERLINK("https://mncourtfraud.com/file/MCRO_27-CR-21-8230_Order-Evaluation for Competency to Proceed (Rule 20.01)_2023-02-21_20240430081643.pdf","MCRO_27-CR-21-8230_Order-Evaluation for Competency to Proceed (Rule 20.01)_2023-02-21_20240430081643.pdf")</f>
        <v>MCRO_27-CR-21-8230_Order-Evaluation for Competency to Proceed (Rule 20.01)_2023-02-21_20240430081643.pdf</v>
      </c>
      <c r="C2316" s="1" t="n">
        <v>3</v>
      </c>
      <c r="D2316" s="1" t="n">
        <v>1</v>
      </c>
      <c r="E2316" s="1" t="n">
        <v>1</v>
      </c>
      <c r="F2316" s="3" t="s">
        <v>20</v>
      </c>
      <c r="G2316" s="3" t="s">
        <v>9404</v>
      </c>
      <c r="H2316" s="1" t="s">
        <v>22</v>
      </c>
      <c r="I2316" s="1" t="n">
        <v>20240430081643</v>
      </c>
      <c r="J2316" s="3" t="s">
        <v>9405</v>
      </c>
      <c r="K2316" s="3" t="s">
        <v>9406</v>
      </c>
      <c r="L2316" s="3" t="s">
        <v>9407</v>
      </c>
      <c r="M2316" s="3" t="n">
        <v>192380</v>
      </c>
      <c r="N2316" s="3" t="s">
        <v>1266</v>
      </c>
      <c r="O2316" s="1" t="n">
        <v>175994</v>
      </c>
      <c r="P2316" s="1" t="n">
        <v>91.48</v>
      </c>
      <c r="Q2316" s="1" t="s">
        <v>20</v>
      </c>
      <c r="R2316" s="1" t="s">
        <v>27</v>
      </c>
      <c r="S2316" s="1" t="s">
        <v>28</v>
      </c>
      <c r="T2316" s="1" t="s">
        <v>29</v>
      </c>
    </row>
    <row r="2317" customFormat="false" ht="18.7" hidden="false" customHeight="true" outlineLevel="0" collapsed="false">
      <c r="A2317" s="1" t="n">
        <v>2316</v>
      </c>
      <c r="B2317" s="6" t="str">
        <f aca="false">HYPERLINK("https://mncourtfraud.com/file/MCRO_27-CR-21-8230_Order-Evaluation for Competency to Proceed (Rule 20.01)_2023-03-28_20240430081641.pdf","MCRO_27-CR-21-8230_Order-Evaluation for Competency to Proceed (Rule 20.01)_2023-03-28_20240430081641.pdf")</f>
        <v>MCRO_27-CR-21-8230_Order-Evaluation for Competency to Proceed (Rule 20.01)_2023-03-28_20240430081641.pdf</v>
      </c>
      <c r="C2317" s="1" t="n">
        <v>6</v>
      </c>
      <c r="D2317" s="1" t="n">
        <v>2</v>
      </c>
      <c r="E2317" s="1" t="n">
        <v>2</v>
      </c>
      <c r="F2317" s="3" t="s">
        <v>27</v>
      </c>
      <c r="G2317" s="3" t="s">
        <v>9408</v>
      </c>
      <c r="H2317" s="1" t="s">
        <v>22</v>
      </c>
      <c r="I2317" s="1" t="n">
        <v>20240430081641</v>
      </c>
      <c r="J2317" s="3" t="s">
        <v>9409</v>
      </c>
      <c r="K2317" s="3" t="s">
        <v>9410</v>
      </c>
      <c r="L2317" s="3" t="s">
        <v>9411</v>
      </c>
      <c r="M2317" s="3" t="n">
        <v>888437</v>
      </c>
      <c r="N2317" s="3" t="s">
        <v>559</v>
      </c>
      <c r="O2317" s="1" t="n">
        <v>872051</v>
      </c>
      <c r="P2317" s="1" t="n">
        <v>98.16</v>
      </c>
      <c r="Q2317" s="1" t="s">
        <v>20</v>
      </c>
      <c r="R2317" s="1" t="s">
        <v>27</v>
      </c>
      <c r="S2317" s="1" t="s">
        <v>28</v>
      </c>
      <c r="T2317" s="1" t="s">
        <v>29</v>
      </c>
    </row>
    <row r="2318" customFormat="false" ht="18.7" hidden="false" customHeight="true" outlineLevel="0" collapsed="false">
      <c r="A2318" s="1" t="n">
        <v>2317</v>
      </c>
      <c r="B2318" s="6" t="str">
        <f aca="false">HYPERLINK("https://mncourtfraud.com/file/MCRO_27-CR-21-8230_Order-Evaluation for Competency to Proceed (Rule 20.01)_2023-08-22_20240430081638.pdf","MCRO_27-CR-21-8230_Order-Evaluation for Competency to Proceed (Rule 20.01)_2023-08-22_20240430081638.pdf")</f>
        <v>MCRO_27-CR-21-8230_Order-Evaluation for Competency to Proceed (Rule 20.01)_2023-08-22_20240430081638.pdf</v>
      </c>
      <c r="C2318" s="1" t="n">
        <v>6</v>
      </c>
      <c r="D2318" s="1" t="n">
        <v>2</v>
      </c>
      <c r="E2318" s="1" t="n">
        <v>2</v>
      </c>
      <c r="F2318" s="3" t="s">
        <v>27</v>
      </c>
      <c r="G2318" s="3" t="s">
        <v>9412</v>
      </c>
      <c r="H2318" s="1" t="s">
        <v>22</v>
      </c>
      <c r="I2318" s="1" t="n">
        <v>20240430081638</v>
      </c>
      <c r="J2318" s="3" t="s">
        <v>9413</v>
      </c>
      <c r="K2318" s="3" t="s">
        <v>9414</v>
      </c>
      <c r="L2318" s="3" t="s">
        <v>9415</v>
      </c>
      <c r="M2318" s="3" t="n">
        <v>877449</v>
      </c>
      <c r="N2318" s="3" t="s">
        <v>554</v>
      </c>
      <c r="O2318" s="1" t="n">
        <v>861063</v>
      </c>
      <c r="P2318" s="1" t="n">
        <v>98.13</v>
      </c>
      <c r="Q2318" s="1" t="s">
        <v>20</v>
      </c>
      <c r="R2318" s="1" t="s">
        <v>27</v>
      </c>
      <c r="S2318" s="1" t="s">
        <v>28</v>
      </c>
      <c r="T2318" s="1" t="s">
        <v>29</v>
      </c>
    </row>
    <row r="2319" customFormat="false" ht="18.7" hidden="false" customHeight="true" outlineLevel="0" collapsed="false">
      <c r="A2319" s="1" t="n">
        <v>2318</v>
      </c>
      <c r="B2319" s="6" t="str">
        <f aca="false">HYPERLINK("https://mncourtfraud.com/file/MCRO_27-CR-21-8230_Order-Evaluation for Competency to Proceed (Rule 20.01)_2024-02-21_20240430081634.pdf","MCRO_27-CR-21-8230_Order-Evaluation for Competency to Proceed (Rule 20.01)_2024-02-21_20240430081634.pdf")</f>
        <v>MCRO_27-CR-21-8230_Order-Evaluation for Competency to Proceed (Rule 20.01)_2024-02-21_20240430081634.pdf</v>
      </c>
      <c r="C2319" s="1" t="n">
        <v>5</v>
      </c>
      <c r="D2319" s="1" t="n">
        <v>1</v>
      </c>
      <c r="E2319" s="1" t="n">
        <v>1</v>
      </c>
      <c r="F2319" s="3" t="s">
        <v>20</v>
      </c>
      <c r="G2319" s="3" t="s">
        <v>9416</v>
      </c>
      <c r="H2319" s="1" t="s">
        <v>22</v>
      </c>
      <c r="I2319" s="1" t="n">
        <v>20240430081634</v>
      </c>
      <c r="J2319" s="3" t="s">
        <v>9417</v>
      </c>
      <c r="K2319" s="3" t="s">
        <v>9418</v>
      </c>
      <c r="L2319" s="3" t="s">
        <v>9246</v>
      </c>
      <c r="M2319" s="3" t="n">
        <v>762226</v>
      </c>
      <c r="N2319" s="3" t="s">
        <v>6055</v>
      </c>
      <c r="O2319" s="1" t="n">
        <v>745840</v>
      </c>
      <c r="P2319" s="1" t="n">
        <v>97.85</v>
      </c>
      <c r="Q2319" s="1" t="s">
        <v>20</v>
      </c>
      <c r="R2319" s="1" t="s">
        <v>27</v>
      </c>
      <c r="S2319" s="1" t="s">
        <v>28</v>
      </c>
      <c r="T2319" s="1" t="s">
        <v>29</v>
      </c>
    </row>
    <row r="2320" customFormat="false" ht="18.7" hidden="false" customHeight="true" outlineLevel="0" collapsed="false">
      <c r="A2320" s="1" t="n">
        <v>2319</v>
      </c>
      <c r="B2320" s="6" t="str">
        <f aca="false">HYPERLINK("https://mncourtfraud.com/file/MCRO_27-CR-21-8230_Order for Conditional Release_2021-07-28_20240430081654.pdf","MCRO_27-CR-21-8230_Order for Conditional Release_2021-07-28_20240430081654.pdf")</f>
        <v>MCRO_27-CR-21-8230_Order for Conditional Release_2021-07-28_20240430081654.pdf</v>
      </c>
      <c r="C2320" s="1" t="n">
        <v>4</v>
      </c>
      <c r="D2320" s="1" t="n">
        <v>1</v>
      </c>
      <c r="E2320" s="1" t="n">
        <v>1</v>
      </c>
      <c r="F2320" s="3" t="s">
        <v>20</v>
      </c>
      <c r="G2320" s="3" t="s">
        <v>9419</v>
      </c>
      <c r="H2320" s="1" t="s">
        <v>22</v>
      </c>
      <c r="I2320" s="1" t="n">
        <v>20240430081654</v>
      </c>
      <c r="J2320" s="3" t="s">
        <v>9420</v>
      </c>
      <c r="K2320" s="3" t="s">
        <v>9421</v>
      </c>
      <c r="L2320" s="3" t="s">
        <v>9422</v>
      </c>
      <c r="M2320" s="3" t="n">
        <v>132574</v>
      </c>
      <c r="N2320" s="3" t="s">
        <v>456</v>
      </c>
      <c r="O2320" s="1" t="n">
        <v>116188</v>
      </c>
      <c r="P2320" s="1" t="n">
        <v>87.64</v>
      </c>
      <c r="Q2320" s="1" t="s">
        <v>20</v>
      </c>
      <c r="R2320" s="1" t="s">
        <v>27</v>
      </c>
      <c r="S2320" s="1" t="s">
        <v>28</v>
      </c>
      <c r="T2320" s="1" t="s">
        <v>29</v>
      </c>
    </row>
    <row r="2321" customFormat="false" ht="18.7" hidden="false" customHeight="true" outlineLevel="0" collapsed="false">
      <c r="A2321" s="1" t="n">
        <v>2320</v>
      </c>
      <c r="B2321" s="6" t="str">
        <f aca="false">HYPERLINK("https://mncourtfraud.com/file/MCRO_27-CR-21-8230_Order for Conditional Release_2023-03-17_20240430081642.pdf","MCRO_27-CR-21-8230_Order for Conditional Release_2023-03-17_20240430081642.pdf")</f>
        <v>MCRO_27-CR-21-8230_Order for Conditional Release_2023-03-17_20240430081642.pdf</v>
      </c>
      <c r="C2321" s="1" t="n">
        <v>4</v>
      </c>
      <c r="D2321" s="1" t="n">
        <v>1</v>
      </c>
      <c r="E2321" s="1" t="n">
        <v>1</v>
      </c>
      <c r="F2321" s="3" t="s">
        <v>20</v>
      </c>
      <c r="G2321" s="3" t="s">
        <v>9423</v>
      </c>
      <c r="H2321" s="1" t="s">
        <v>22</v>
      </c>
      <c r="I2321" s="1" t="n">
        <v>20240430081642</v>
      </c>
      <c r="J2321" s="3" t="s">
        <v>9424</v>
      </c>
      <c r="K2321" s="3" t="s">
        <v>9425</v>
      </c>
      <c r="L2321" s="3" t="s">
        <v>9426</v>
      </c>
      <c r="M2321" s="3" t="n">
        <v>1011642</v>
      </c>
      <c r="N2321" s="3" t="s">
        <v>650</v>
      </c>
      <c r="O2321" s="1" t="n">
        <v>995256</v>
      </c>
      <c r="P2321" s="1" t="n">
        <v>98.38</v>
      </c>
      <c r="Q2321" s="1" t="s">
        <v>20</v>
      </c>
      <c r="R2321" s="1" t="s">
        <v>27</v>
      </c>
      <c r="S2321" s="1" t="s">
        <v>28</v>
      </c>
      <c r="T2321" s="1" t="s">
        <v>29</v>
      </c>
    </row>
    <row r="2322" customFormat="false" ht="18.7" hidden="false" customHeight="true" outlineLevel="0" collapsed="false">
      <c r="A2322" s="1" t="n">
        <v>2321</v>
      </c>
      <c r="B2322" s="6" t="str">
        <f aca="false">HYPERLINK("https://mncourtfraud.com/file/MCRO_27-CR-21-8230_Order for Conditional Release_2023-05-16_20240430081639.pdf","MCRO_27-CR-21-8230_Order for Conditional Release_2023-05-16_20240430081639.pdf")</f>
        <v>MCRO_27-CR-21-8230_Order for Conditional Release_2023-05-16_20240430081639.pdf</v>
      </c>
      <c r="C2322" s="1" t="n">
        <v>6</v>
      </c>
      <c r="D2322" s="1" t="n">
        <v>2</v>
      </c>
      <c r="E2322" s="1" t="n">
        <v>2</v>
      </c>
      <c r="F2322" s="3" t="s">
        <v>27</v>
      </c>
      <c r="G2322" s="3" t="s">
        <v>9427</v>
      </c>
      <c r="H2322" s="1" t="s">
        <v>22</v>
      </c>
      <c r="I2322" s="1" t="n">
        <v>20240430081639</v>
      </c>
      <c r="J2322" s="3" t="s">
        <v>9428</v>
      </c>
      <c r="K2322" s="3" t="s">
        <v>9429</v>
      </c>
      <c r="L2322" s="3" t="s">
        <v>9072</v>
      </c>
      <c r="M2322" s="3" t="n">
        <v>876648</v>
      </c>
      <c r="N2322" s="3" t="s">
        <v>69</v>
      </c>
      <c r="O2322" s="1" t="n">
        <v>860262</v>
      </c>
      <c r="P2322" s="1" t="n">
        <v>98.13</v>
      </c>
      <c r="Q2322" s="1" t="s">
        <v>20</v>
      </c>
      <c r="R2322" s="1" t="s">
        <v>27</v>
      </c>
      <c r="S2322" s="1" t="s">
        <v>28</v>
      </c>
      <c r="T2322" s="1" t="s">
        <v>29</v>
      </c>
    </row>
    <row r="2323" customFormat="false" ht="18.7" hidden="false" customHeight="true" outlineLevel="0" collapsed="false">
      <c r="A2323" s="1" t="n">
        <v>2322</v>
      </c>
      <c r="B2323" s="6" t="str">
        <f aca="false">HYPERLINK("https://mncourtfraud.com/file/MCRO_27-CR-21-8230_Returned Mail_2021-05-12_20240430081655.pdf","MCRO_27-CR-21-8230_Returned Mail_2021-05-12_20240430081655.pdf")</f>
        <v>MCRO_27-CR-21-8230_Returned Mail_2021-05-12_20240430081655.pdf</v>
      </c>
      <c r="C2323" s="1" t="n">
        <v>4</v>
      </c>
      <c r="D2323" s="1" t="n">
        <v>1</v>
      </c>
      <c r="E2323" s="1" t="n">
        <v>1</v>
      </c>
      <c r="F2323" s="3" t="s">
        <v>20</v>
      </c>
      <c r="G2323" s="3" t="s">
        <v>9430</v>
      </c>
      <c r="H2323" s="1" t="s">
        <v>22</v>
      </c>
      <c r="I2323" s="1" t="n">
        <v>20240430081655</v>
      </c>
      <c r="J2323" s="3" t="s">
        <v>9431</v>
      </c>
      <c r="K2323" s="3" t="s">
        <v>9432</v>
      </c>
      <c r="L2323" s="3" t="s">
        <v>9433</v>
      </c>
      <c r="M2323" s="3" t="n">
        <v>100666</v>
      </c>
      <c r="N2323" s="3" t="s">
        <v>456</v>
      </c>
      <c r="O2323" s="1" t="n">
        <v>84280</v>
      </c>
      <c r="P2323" s="1" t="n">
        <v>83.72</v>
      </c>
      <c r="Q2323" s="1" t="s">
        <v>20</v>
      </c>
      <c r="R2323" s="1" t="s">
        <v>27</v>
      </c>
      <c r="S2323" s="1" t="s">
        <v>28</v>
      </c>
      <c r="T2323" s="1" t="s">
        <v>29</v>
      </c>
    </row>
    <row r="2324" customFormat="false" ht="18.7" hidden="false" customHeight="true" outlineLevel="0" collapsed="false">
      <c r="A2324" s="1" t="n">
        <v>2323</v>
      </c>
      <c r="B2324" s="6" t="str">
        <f aca="false">HYPERLINK("https://mncourtfraud.com/file/MCRO_27-CR-21-8412_Demand or Request for Discovery_2021-05-03_20240430081807.pdf","MCRO_27-CR-21-8412_Demand or Request for Discovery_2021-05-03_20240430081807.pdf")</f>
        <v>MCRO_27-CR-21-8412_Demand or Request for Discovery_2021-05-03_20240430081807.pdf</v>
      </c>
      <c r="C2324" s="1" t="n">
        <v>3</v>
      </c>
      <c r="D2324" s="1" t="n">
        <v>1</v>
      </c>
      <c r="E2324" s="1" t="n">
        <v>1</v>
      </c>
      <c r="F2324" s="3" t="s">
        <v>20</v>
      </c>
      <c r="G2324" s="3" t="s">
        <v>9434</v>
      </c>
      <c r="H2324" s="1" t="s">
        <v>22</v>
      </c>
      <c r="I2324" s="1" t="n">
        <v>20240430081807</v>
      </c>
      <c r="J2324" s="3" t="s">
        <v>9435</v>
      </c>
      <c r="K2324" s="3" t="s">
        <v>9436</v>
      </c>
      <c r="L2324" s="3" t="s">
        <v>9437</v>
      </c>
      <c r="M2324" s="3" t="n">
        <v>314370</v>
      </c>
      <c r="N2324" s="3" t="s">
        <v>9438</v>
      </c>
      <c r="O2324" s="1" t="n">
        <v>297984</v>
      </c>
      <c r="P2324" s="1" t="n">
        <v>94.79</v>
      </c>
      <c r="Q2324" s="1" t="s">
        <v>20</v>
      </c>
      <c r="R2324" s="1" t="s">
        <v>27</v>
      </c>
      <c r="S2324" s="1" t="s">
        <v>28</v>
      </c>
      <c r="T2324" s="1" t="s">
        <v>29</v>
      </c>
    </row>
    <row r="2325" customFormat="false" ht="18.7" hidden="false" customHeight="true" outlineLevel="0" collapsed="false">
      <c r="A2325" s="1" t="n">
        <v>2324</v>
      </c>
      <c r="B2325" s="6" t="str">
        <f aca="false">HYPERLINK("https://mncourtfraud.com/file/MCRO_27-CR-21-8412_Demand or Request for Discovery_2021-05-05_20240430081803.pdf","MCRO_27-CR-21-8412_Demand or Request for Discovery_2021-05-05_20240430081803.pdf")</f>
        <v>MCRO_27-CR-21-8412_Demand or Request for Discovery_2021-05-05_20240430081803.pdf</v>
      </c>
      <c r="C2325" s="1" t="n">
        <v>3</v>
      </c>
      <c r="D2325" s="1" t="n">
        <v>1</v>
      </c>
      <c r="E2325" s="1" t="n">
        <v>1</v>
      </c>
      <c r="F2325" s="3" t="s">
        <v>20</v>
      </c>
      <c r="G2325" s="3" t="s">
        <v>9439</v>
      </c>
      <c r="H2325" s="1" t="s">
        <v>22</v>
      </c>
      <c r="I2325" s="1" t="n">
        <v>20240430081803</v>
      </c>
      <c r="J2325" s="3" t="s">
        <v>9440</v>
      </c>
      <c r="K2325" s="3" t="s">
        <v>9441</v>
      </c>
      <c r="L2325" s="3" t="s">
        <v>9442</v>
      </c>
      <c r="M2325" s="3" t="n">
        <v>367033</v>
      </c>
      <c r="N2325" s="3" t="s">
        <v>655</v>
      </c>
      <c r="O2325" s="1" t="n">
        <v>350647</v>
      </c>
      <c r="P2325" s="1" t="n">
        <v>95.54</v>
      </c>
      <c r="Q2325" s="1" t="s">
        <v>20</v>
      </c>
      <c r="R2325" s="1" t="s">
        <v>27</v>
      </c>
      <c r="S2325" s="1" t="s">
        <v>28</v>
      </c>
      <c r="T2325" s="1" t="s">
        <v>29</v>
      </c>
    </row>
    <row r="2326" customFormat="false" ht="18.7" hidden="false" customHeight="true" outlineLevel="0" collapsed="false">
      <c r="A2326" s="1" t="n">
        <v>2325</v>
      </c>
      <c r="B2326" s="6" t="str">
        <f aca="false">HYPERLINK("https://mncourtfraud.com/file/MCRO_27-CR-21-8412_E-filed Comp-Order for Detention_2021-04-30_20240430081811.pdf","MCRO_27-CR-21-8412_E-filed Comp-Order for Detention_2021-04-30_20240430081811.pdf")</f>
        <v>MCRO_27-CR-21-8412_E-filed Comp-Order for Detention_2021-04-30_20240430081811.pdf</v>
      </c>
      <c r="C2326" s="1" t="n">
        <v>4</v>
      </c>
      <c r="D2326" s="1" t="n">
        <v>2</v>
      </c>
      <c r="E2326" s="1" t="n">
        <v>2</v>
      </c>
      <c r="F2326" s="3" t="s">
        <v>20</v>
      </c>
      <c r="G2326" s="3" t="s">
        <v>9443</v>
      </c>
      <c r="H2326" s="1" t="s">
        <v>22</v>
      </c>
      <c r="I2326" s="1" t="n">
        <v>20240430081811</v>
      </c>
      <c r="J2326" s="3" t="s">
        <v>9444</v>
      </c>
      <c r="K2326" s="3" t="s">
        <v>9445</v>
      </c>
      <c r="L2326" s="3" t="s">
        <v>9446</v>
      </c>
      <c r="M2326" s="3" t="n">
        <v>512140</v>
      </c>
      <c r="N2326" s="3" t="s">
        <v>4934</v>
      </c>
      <c r="O2326" s="1" t="n">
        <v>495754</v>
      </c>
      <c r="P2326" s="1" t="n">
        <v>96.8</v>
      </c>
      <c r="Q2326" s="1" t="s">
        <v>20</v>
      </c>
      <c r="R2326" s="1" t="s">
        <v>27</v>
      </c>
      <c r="S2326" s="1" t="s">
        <v>28</v>
      </c>
      <c r="T2326" s="1" t="s">
        <v>29</v>
      </c>
    </row>
    <row r="2327" customFormat="false" ht="18.7" hidden="false" customHeight="true" outlineLevel="0" collapsed="false">
      <c r="A2327" s="1" t="n">
        <v>2326</v>
      </c>
      <c r="B2327" s="6" t="str">
        <f aca="false">HYPERLINK("https://mncourtfraud.com/file/MCRO_27-CR-21-8412_Finding of Incompetency and Order_2023-08-08_20240430081737.pdf","MCRO_27-CR-21-8412_Finding of Incompetency and Order_2023-08-08_20240430081737.pdf")</f>
        <v>MCRO_27-CR-21-8412_Finding of Incompetency and Order_2023-08-08_20240430081737.pdf</v>
      </c>
      <c r="C2327" s="1" t="n">
        <v>5</v>
      </c>
      <c r="D2327" s="1" t="n">
        <v>1</v>
      </c>
      <c r="E2327" s="1" t="n">
        <v>1</v>
      </c>
      <c r="F2327" s="3" t="s">
        <v>20</v>
      </c>
      <c r="G2327" s="3" t="s">
        <v>9447</v>
      </c>
      <c r="H2327" s="1" t="s">
        <v>22</v>
      </c>
      <c r="I2327" s="1" t="n">
        <v>20240430081737</v>
      </c>
      <c r="J2327" s="3" t="s">
        <v>9448</v>
      </c>
      <c r="K2327" s="3" t="s">
        <v>9449</v>
      </c>
      <c r="L2327" s="3" t="s">
        <v>9450</v>
      </c>
      <c r="M2327" s="3" t="n">
        <v>829028</v>
      </c>
      <c r="N2327" s="3" t="s">
        <v>6055</v>
      </c>
      <c r="O2327" s="1" t="n">
        <v>812642</v>
      </c>
      <c r="P2327" s="1" t="n">
        <v>98.02</v>
      </c>
      <c r="Q2327" s="1" t="s">
        <v>20</v>
      </c>
      <c r="R2327" s="1" t="s">
        <v>27</v>
      </c>
      <c r="S2327" s="1" t="s">
        <v>28</v>
      </c>
      <c r="T2327" s="1" t="s">
        <v>29</v>
      </c>
    </row>
    <row r="2328" customFormat="false" ht="18.7" hidden="false" customHeight="true" outlineLevel="0" collapsed="false">
      <c r="A2328" s="1" t="n">
        <v>2327</v>
      </c>
      <c r="B2328" s="6" t="str">
        <f aca="false">HYPERLINK("https://mncourtfraud.com/file/MCRO_27-CR-21-8412_Findings and Order_2021-08-31_20240430081759.pdf","MCRO_27-CR-21-8412_Findings and Order_2021-08-31_20240430081759.pdf")</f>
        <v>MCRO_27-CR-21-8412_Findings and Order_2021-08-31_20240430081759.pdf</v>
      </c>
      <c r="C2328" s="1" t="n">
        <v>5</v>
      </c>
      <c r="D2328" s="1" t="n">
        <v>2</v>
      </c>
      <c r="E2328" s="1" t="n">
        <v>2</v>
      </c>
      <c r="F2328" s="3" t="s">
        <v>27</v>
      </c>
      <c r="G2328" s="3" t="s">
        <v>9451</v>
      </c>
      <c r="H2328" s="1" t="s">
        <v>22</v>
      </c>
      <c r="I2328" s="1" t="n">
        <v>20240430081759</v>
      </c>
      <c r="J2328" s="3" t="s">
        <v>9452</v>
      </c>
      <c r="K2328" s="3" t="s">
        <v>9453</v>
      </c>
      <c r="L2328" s="3" t="s">
        <v>9454</v>
      </c>
      <c r="M2328" s="3" t="n">
        <v>300021</v>
      </c>
      <c r="N2328" s="3" t="s">
        <v>2987</v>
      </c>
      <c r="O2328" s="1" t="n">
        <v>283635</v>
      </c>
      <c r="P2328" s="1" t="n">
        <v>94.54</v>
      </c>
      <c r="Q2328" s="1" t="s">
        <v>20</v>
      </c>
      <c r="R2328" s="1" t="s">
        <v>27</v>
      </c>
      <c r="S2328" s="1" t="s">
        <v>28</v>
      </c>
      <c r="T2328" s="1" t="s">
        <v>29</v>
      </c>
    </row>
    <row r="2329" customFormat="false" ht="18.7" hidden="false" customHeight="true" outlineLevel="0" collapsed="false">
      <c r="A2329" s="1" t="n">
        <v>2328</v>
      </c>
      <c r="B2329" s="6" t="str">
        <f aca="false">HYPERLINK("https://mncourtfraud.com/file/MCRO_27-CR-21-8412_Findings and Order_2022-03-01_20240430081755.pdf","MCRO_27-CR-21-8412_Findings and Order_2022-03-01_20240430081755.pdf")</f>
        <v>MCRO_27-CR-21-8412_Findings and Order_2022-03-01_20240430081755.pdf</v>
      </c>
      <c r="C2329" s="1" t="n">
        <v>4</v>
      </c>
      <c r="D2329" s="1" t="n">
        <v>2</v>
      </c>
      <c r="E2329" s="1" t="n">
        <v>2</v>
      </c>
      <c r="F2329" s="3" t="s">
        <v>20</v>
      </c>
      <c r="G2329" s="3" t="s">
        <v>9455</v>
      </c>
      <c r="H2329" s="1" t="s">
        <v>22</v>
      </c>
      <c r="I2329" s="1" t="n">
        <v>20240430081755</v>
      </c>
      <c r="J2329" s="3" t="s">
        <v>9456</v>
      </c>
      <c r="K2329" s="3" t="s">
        <v>9457</v>
      </c>
      <c r="L2329" s="3" t="s">
        <v>9458</v>
      </c>
      <c r="M2329" s="3" t="n">
        <v>289299</v>
      </c>
      <c r="N2329" s="3" t="s">
        <v>9459</v>
      </c>
      <c r="O2329" s="1" t="n">
        <v>272913</v>
      </c>
      <c r="P2329" s="1" t="n">
        <v>94.34</v>
      </c>
      <c r="Q2329" s="1" t="s">
        <v>20</v>
      </c>
      <c r="R2329" s="1" t="s">
        <v>27</v>
      </c>
      <c r="S2329" s="1" t="s">
        <v>28</v>
      </c>
      <c r="T2329" s="1" t="s">
        <v>29</v>
      </c>
    </row>
    <row r="2330" customFormat="false" ht="18.7" hidden="false" customHeight="true" outlineLevel="0" collapsed="false">
      <c r="A2330" s="1" t="n">
        <v>2329</v>
      </c>
      <c r="B2330" s="6" t="str">
        <f aca="false">HYPERLINK("https://mncourtfraud.com/file/MCRO_27-CR-21-8412_Law Enforcement Notice of Release and Appearance_2021-05-05_20240430081805.pdf","MCRO_27-CR-21-8412_Law Enforcement Notice of Release and Appearance_2021-05-05_20240430081805.pdf")</f>
        <v>MCRO_27-CR-21-8412_Law Enforcement Notice of Release and Appearance_2021-05-05_20240430081805.pdf</v>
      </c>
      <c r="C2330" s="1" t="n">
        <v>4</v>
      </c>
      <c r="D2330" s="1" t="n">
        <v>1</v>
      </c>
      <c r="E2330" s="1" t="n">
        <v>1</v>
      </c>
      <c r="F2330" s="3" t="s">
        <v>20</v>
      </c>
      <c r="G2330" s="3" t="s">
        <v>9460</v>
      </c>
      <c r="H2330" s="1" t="s">
        <v>22</v>
      </c>
      <c r="I2330" s="1" t="n">
        <v>20240430081805</v>
      </c>
      <c r="J2330" s="3" t="s">
        <v>9461</v>
      </c>
      <c r="K2330" s="3" t="s">
        <v>9462</v>
      </c>
      <c r="L2330" s="3" t="s">
        <v>9463</v>
      </c>
      <c r="M2330" s="3" t="n">
        <v>103390</v>
      </c>
      <c r="N2330" s="3" t="s">
        <v>456</v>
      </c>
      <c r="O2330" s="1" t="n">
        <v>87004</v>
      </c>
      <c r="P2330" s="1" t="n">
        <v>84.15</v>
      </c>
      <c r="Q2330" s="1" t="s">
        <v>20</v>
      </c>
      <c r="R2330" s="1" t="s">
        <v>27</v>
      </c>
      <c r="S2330" s="1" t="s">
        <v>28</v>
      </c>
      <c r="T2330" s="1" t="s">
        <v>29</v>
      </c>
    </row>
    <row r="2331" customFormat="false" ht="18.7" hidden="false" customHeight="true" outlineLevel="0" collapsed="false">
      <c r="A2331" s="1" t="n">
        <v>2330</v>
      </c>
      <c r="B2331" s="6" t="str">
        <f aca="false">HYPERLINK("https://mncourtfraud.com/file/MCRO_27-CR-21-8412_Non-Cash Bond Posted_2021-05-04_20240430081806.pdf","MCRO_27-CR-21-8412_Non-Cash Bond Posted_2021-05-04_20240430081806.pdf")</f>
        <v>MCRO_27-CR-21-8412_Non-Cash Bond Posted_2021-05-04_20240430081806.pdf</v>
      </c>
      <c r="C2331" s="1" t="n">
        <v>4</v>
      </c>
      <c r="D2331" s="1" t="n">
        <v>1</v>
      </c>
      <c r="E2331" s="1" t="n">
        <v>1</v>
      </c>
      <c r="F2331" s="3" t="s">
        <v>20</v>
      </c>
      <c r="G2331" s="3" t="s">
        <v>9464</v>
      </c>
      <c r="H2331" s="1" t="s">
        <v>22</v>
      </c>
      <c r="I2331" s="1" t="n">
        <v>20240430081806</v>
      </c>
      <c r="J2331" s="3" t="s">
        <v>9465</v>
      </c>
      <c r="K2331" s="3" t="s">
        <v>9466</v>
      </c>
      <c r="L2331" s="3" t="s">
        <v>9467</v>
      </c>
      <c r="M2331" s="3" t="n">
        <v>1136592</v>
      </c>
      <c r="N2331" s="3" t="s">
        <v>1128</v>
      </c>
      <c r="O2331" s="1" t="n">
        <v>1120206</v>
      </c>
      <c r="P2331" s="1" t="n">
        <v>98.56</v>
      </c>
      <c r="Q2331" s="1" t="s">
        <v>20</v>
      </c>
      <c r="R2331" s="1" t="s">
        <v>27</v>
      </c>
      <c r="S2331" s="1" t="s">
        <v>28</v>
      </c>
      <c r="T2331" s="1" t="s">
        <v>29</v>
      </c>
    </row>
    <row r="2332" customFormat="false" ht="18.7" hidden="false" customHeight="true" outlineLevel="0" collapsed="false">
      <c r="A2332" s="1" t="n">
        <v>2331</v>
      </c>
      <c r="B2332" s="6" t="str">
        <f aca="false">HYPERLINK("https://mncourtfraud.com/file/MCRO_27-CR-21-8412_Notice of Bond Forfeiture_2022-10-27_20240430081748.pdf","MCRO_27-CR-21-8412_Notice of Bond Forfeiture_2022-10-27_20240430081748.pdf")</f>
        <v>MCRO_27-CR-21-8412_Notice of Bond Forfeiture_2022-10-27_20240430081748.pdf</v>
      </c>
      <c r="C2332" s="1" t="n">
        <v>5</v>
      </c>
      <c r="D2332" s="1" t="n">
        <v>1</v>
      </c>
      <c r="E2332" s="1" t="n">
        <v>1</v>
      </c>
      <c r="F2332" s="3" t="s">
        <v>20</v>
      </c>
      <c r="G2332" s="3" t="s">
        <v>9468</v>
      </c>
      <c r="H2332" s="1" t="s">
        <v>22</v>
      </c>
      <c r="I2332" s="1" t="n">
        <v>20240430081748</v>
      </c>
      <c r="J2332" s="3" t="s">
        <v>9469</v>
      </c>
      <c r="K2332" s="3" t="s">
        <v>9470</v>
      </c>
      <c r="L2332" s="3" t="s">
        <v>9471</v>
      </c>
      <c r="M2332" s="3" t="n">
        <v>766221</v>
      </c>
      <c r="N2332" s="3" t="s">
        <v>3917</v>
      </c>
      <c r="O2332" s="1" t="n">
        <v>749835</v>
      </c>
      <c r="P2332" s="1" t="n">
        <v>97.86</v>
      </c>
      <c r="Q2332" s="1" t="s">
        <v>20</v>
      </c>
      <c r="R2332" s="1" t="s">
        <v>27</v>
      </c>
      <c r="S2332" s="1" t="s">
        <v>28</v>
      </c>
      <c r="T2332" s="1" t="s">
        <v>29</v>
      </c>
    </row>
    <row r="2333" customFormat="false" ht="18.7" hidden="false" customHeight="true" outlineLevel="0" collapsed="false">
      <c r="A2333" s="1" t="n">
        <v>2332</v>
      </c>
      <c r="B2333" s="6" t="str">
        <f aca="false">HYPERLINK("https://mncourtfraud.com/file/MCRO_27-CR-21-8412_Notice of Case Reassignment_2022-12-14_20240430081746.pdf","MCRO_27-CR-21-8412_Notice of Case Reassignment_2022-12-14_20240430081746.pdf")</f>
        <v>MCRO_27-CR-21-8412_Notice of Case Reassignment_2022-12-14_20240430081746.pdf</v>
      </c>
      <c r="C2333" s="1" t="n">
        <v>3</v>
      </c>
      <c r="D2333" s="1" t="n">
        <v>1</v>
      </c>
      <c r="E2333" s="1" t="n">
        <v>1</v>
      </c>
      <c r="F2333" s="3" t="s">
        <v>20</v>
      </c>
      <c r="G2333" s="3" t="s">
        <v>9472</v>
      </c>
      <c r="H2333" s="1" t="s">
        <v>22</v>
      </c>
      <c r="I2333" s="1" t="n">
        <v>20240430081746</v>
      </c>
      <c r="J2333" s="3" t="s">
        <v>9473</v>
      </c>
      <c r="K2333" s="3" t="s">
        <v>9474</v>
      </c>
      <c r="L2333" s="3" t="s">
        <v>9475</v>
      </c>
      <c r="M2333" s="3" t="n">
        <v>111658</v>
      </c>
      <c r="N2333" s="3" t="s">
        <v>614</v>
      </c>
      <c r="O2333" s="1" t="n">
        <v>95272</v>
      </c>
      <c r="P2333" s="1" t="n">
        <v>85.32</v>
      </c>
      <c r="Q2333" s="1" t="s">
        <v>20</v>
      </c>
      <c r="R2333" s="1" t="s">
        <v>27</v>
      </c>
      <c r="S2333" s="1" t="s">
        <v>28</v>
      </c>
      <c r="T2333" s="1" t="s">
        <v>29</v>
      </c>
    </row>
    <row r="2334" customFormat="false" ht="18.7" hidden="false" customHeight="true" outlineLevel="0" collapsed="false">
      <c r="A2334" s="1" t="n">
        <v>2333</v>
      </c>
      <c r="B2334" s="6" t="str">
        <f aca="false">HYPERLINK("https://mncourtfraud.com/file/MCRO_27-CR-21-8412_Notice of Hearing_2021-09-01_20240430081757.pdf","MCRO_27-CR-21-8412_Notice of Hearing_2021-09-01_20240430081757.pdf")</f>
        <v>MCRO_27-CR-21-8412_Notice of Hearing_2021-09-01_20240430081757.pdf</v>
      </c>
      <c r="C2334" s="1" t="n">
        <v>4</v>
      </c>
      <c r="D2334" s="1" t="n">
        <v>1</v>
      </c>
      <c r="E2334" s="1" t="n">
        <v>1</v>
      </c>
      <c r="F2334" s="3" t="s">
        <v>20</v>
      </c>
      <c r="G2334" s="3" t="s">
        <v>9476</v>
      </c>
      <c r="H2334" s="1" t="s">
        <v>22</v>
      </c>
      <c r="I2334" s="1" t="n">
        <v>20240430081757</v>
      </c>
      <c r="J2334" s="3" t="s">
        <v>9477</v>
      </c>
      <c r="K2334" s="3" t="s">
        <v>9478</v>
      </c>
      <c r="L2334" s="3" t="s">
        <v>9479</v>
      </c>
      <c r="M2334" s="3" t="n">
        <v>96860</v>
      </c>
      <c r="N2334" s="3" t="s">
        <v>456</v>
      </c>
      <c r="O2334" s="1" t="n">
        <v>80474</v>
      </c>
      <c r="P2334" s="1" t="n">
        <v>83.08</v>
      </c>
      <c r="Q2334" s="1" t="s">
        <v>20</v>
      </c>
      <c r="R2334" s="1" t="s">
        <v>27</v>
      </c>
      <c r="S2334" s="1" t="s">
        <v>28</v>
      </c>
      <c r="T2334" s="1" t="s">
        <v>29</v>
      </c>
    </row>
    <row r="2335" customFormat="false" ht="18.7" hidden="false" customHeight="true" outlineLevel="0" collapsed="false">
      <c r="A2335" s="1" t="n">
        <v>2334</v>
      </c>
      <c r="B2335" s="6" t="str">
        <f aca="false">HYPERLINK("https://mncourtfraud.com/file/MCRO_27-CR-21-8412_Notice of Remote Hearing with Instructions_2021-05-05_20240430081804.pdf","MCRO_27-CR-21-8412_Notice of Remote Hearing with Instructions_2021-05-05_20240430081804.pdf")</f>
        <v>MCRO_27-CR-21-8412_Notice of Remote Hearing with Instructions_2021-05-05_20240430081804.pdf</v>
      </c>
      <c r="C2335" s="1" t="n">
        <v>4</v>
      </c>
      <c r="D2335" s="1" t="n">
        <v>1</v>
      </c>
      <c r="E2335" s="1" t="n">
        <v>1</v>
      </c>
      <c r="F2335" s="3" t="s">
        <v>20</v>
      </c>
      <c r="G2335" s="3" t="s">
        <v>9480</v>
      </c>
      <c r="H2335" s="1" t="s">
        <v>22</v>
      </c>
      <c r="I2335" s="1" t="n">
        <v>20240430081804</v>
      </c>
      <c r="J2335" s="3" t="s">
        <v>9481</v>
      </c>
      <c r="K2335" s="3" t="s">
        <v>9482</v>
      </c>
      <c r="L2335" s="3" t="s">
        <v>9483</v>
      </c>
      <c r="M2335" s="3" t="n">
        <v>140693</v>
      </c>
      <c r="N2335" s="3" t="s">
        <v>1065</v>
      </c>
      <c r="O2335" s="1" t="n">
        <v>124307</v>
      </c>
      <c r="P2335" s="1" t="n">
        <v>88.35</v>
      </c>
      <c r="Q2335" s="1" t="s">
        <v>20</v>
      </c>
      <c r="R2335" s="1" t="s">
        <v>27</v>
      </c>
      <c r="S2335" s="1" t="s">
        <v>28</v>
      </c>
      <c r="T2335" s="1" t="s">
        <v>29</v>
      </c>
    </row>
    <row r="2336" customFormat="false" ht="18.7" hidden="false" customHeight="true" outlineLevel="0" collapsed="false">
      <c r="A2336" s="1" t="n">
        <v>2335</v>
      </c>
      <c r="B2336" s="6" t="str">
        <f aca="false">HYPERLINK("https://mncourtfraud.com/file/MCRO_27-CR-21-8412_Notice of Remote Hearing with Instructions_2021-08-04_20240430081800.pdf","MCRO_27-CR-21-8412_Notice of Remote Hearing with Instructions_2021-08-04_20240430081800.pdf")</f>
        <v>MCRO_27-CR-21-8412_Notice of Remote Hearing with Instructions_2021-08-04_20240430081800.pdf</v>
      </c>
      <c r="C2336" s="1" t="n">
        <v>4</v>
      </c>
      <c r="D2336" s="1" t="n">
        <v>1</v>
      </c>
      <c r="E2336" s="1" t="n">
        <v>1</v>
      </c>
      <c r="F2336" s="3" t="s">
        <v>20</v>
      </c>
      <c r="G2336" s="3" t="s">
        <v>9484</v>
      </c>
      <c r="H2336" s="1" t="s">
        <v>22</v>
      </c>
      <c r="I2336" s="1" t="n">
        <v>20240430081800</v>
      </c>
      <c r="J2336" s="3" t="s">
        <v>9485</v>
      </c>
      <c r="K2336" s="3" t="s">
        <v>9486</v>
      </c>
      <c r="L2336" s="3" t="s">
        <v>9487</v>
      </c>
      <c r="M2336" s="3" t="n">
        <v>151328</v>
      </c>
      <c r="N2336" s="3" t="s">
        <v>347</v>
      </c>
      <c r="O2336" s="1" t="n">
        <v>134942</v>
      </c>
      <c r="P2336" s="1" t="n">
        <v>89.17</v>
      </c>
      <c r="Q2336" s="1" t="s">
        <v>20</v>
      </c>
      <c r="R2336" s="1" t="s">
        <v>27</v>
      </c>
      <c r="S2336" s="1" t="s">
        <v>28</v>
      </c>
      <c r="T2336" s="1" t="s">
        <v>29</v>
      </c>
    </row>
    <row r="2337" customFormat="false" ht="18.7" hidden="false" customHeight="true" outlineLevel="0" collapsed="false">
      <c r="A2337" s="1" t="n">
        <v>2336</v>
      </c>
      <c r="B2337" s="6" t="str">
        <f aca="false">HYPERLINK("https://mncourtfraud.com/file/MCRO_27-CR-21-8412_Notice of Remote Hearing with Instructions_2022-03-01_20240430081754.pdf","MCRO_27-CR-21-8412_Notice of Remote Hearing with Instructions_2022-03-01_20240430081754.pdf")</f>
        <v>MCRO_27-CR-21-8412_Notice of Remote Hearing with Instructions_2022-03-01_20240430081754.pdf</v>
      </c>
      <c r="C2337" s="1" t="n">
        <v>5</v>
      </c>
      <c r="D2337" s="1" t="n">
        <v>1</v>
      </c>
      <c r="E2337" s="1" t="n">
        <v>1</v>
      </c>
      <c r="F2337" s="3" t="s">
        <v>20</v>
      </c>
      <c r="G2337" s="3" t="s">
        <v>9488</v>
      </c>
      <c r="H2337" s="1" t="s">
        <v>22</v>
      </c>
      <c r="I2337" s="1" t="n">
        <v>20240430081754</v>
      </c>
      <c r="J2337" s="3" t="s">
        <v>9489</v>
      </c>
      <c r="K2337" s="3" t="s">
        <v>9490</v>
      </c>
      <c r="L2337" s="3" t="s">
        <v>9491</v>
      </c>
      <c r="M2337" s="3" t="n">
        <v>307936</v>
      </c>
      <c r="N2337" s="3" t="s">
        <v>1574</v>
      </c>
      <c r="O2337" s="1" t="n">
        <v>291550</v>
      </c>
      <c r="P2337" s="1" t="n">
        <v>94.68</v>
      </c>
      <c r="Q2337" s="1" t="s">
        <v>20</v>
      </c>
      <c r="R2337" s="1" t="s">
        <v>27</v>
      </c>
      <c r="S2337" s="1" t="s">
        <v>28</v>
      </c>
      <c r="T2337" s="1" t="s">
        <v>29</v>
      </c>
    </row>
    <row r="2338" customFormat="false" ht="18.7" hidden="false" customHeight="true" outlineLevel="0" collapsed="false">
      <c r="A2338" s="1" t="n">
        <v>2337</v>
      </c>
      <c r="B2338" s="6" t="str">
        <f aca="false">HYPERLINK("https://mncourtfraud.com/file/MCRO_27-CR-21-8412_Notice of Remote Hearing with Instructions_2022-09-02_20240430081751.pdf","MCRO_27-CR-21-8412_Notice of Remote Hearing with Instructions_2022-09-02_20240430081751.pdf")</f>
        <v>MCRO_27-CR-21-8412_Notice of Remote Hearing with Instructions_2022-09-02_20240430081751.pdf</v>
      </c>
      <c r="C2338" s="1" t="n">
        <v>3</v>
      </c>
      <c r="D2338" s="1" t="n">
        <v>1</v>
      </c>
      <c r="E2338" s="1" t="n">
        <v>1</v>
      </c>
      <c r="F2338" s="3" t="s">
        <v>20</v>
      </c>
      <c r="G2338" s="3" t="s">
        <v>9492</v>
      </c>
      <c r="H2338" s="1" t="s">
        <v>22</v>
      </c>
      <c r="I2338" s="1" t="n">
        <v>20240430081751</v>
      </c>
      <c r="J2338" s="3" t="s">
        <v>9493</v>
      </c>
      <c r="K2338" s="3" t="s">
        <v>9494</v>
      </c>
      <c r="L2338" s="3" t="s">
        <v>9495</v>
      </c>
      <c r="M2338" s="3" t="n">
        <v>282497</v>
      </c>
      <c r="N2338" s="3" t="s">
        <v>751</v>
      </c>
      <c r="O2338" s="1" t="n">
        <v>266111</v>
      </c>
      <c r="P2338" s="1" t="n">
        <v>94.2</v>
      </c>
      <c r="Q2338" s="1" t="s">
        <v>20</v>
      </c>
      <c r="R2338" s="1" t="s">
        <v>27</v>
      </c>
      <c r="S2338" s="1" t="s">
        <v>28</v>
      </c>
      <c r="T2338" s="1" t="s">
        <v>29</v>
      </c>
    </row>
    <row r="2339" customFormat="false" ht="18.7" hidden="false" customHeight="true" outlineLevel="0" collapsed="false">
      <c r="A2339" s="1" t="n">
        <v>2338</v>
      </c>
      <c r="B2339" s="6" t="str">
        <f aca="false">HYPERLINK("https://mncourtfraud.com/file/MCRO_27-CR-21-8412_Notice of Remote Hearing with Instructions_2022-09-02_20240430081752.pdf","MCRO_27-CR-21-8412_Notice of Remote Hearing with Instructions_2022-09-02_20240430081752.pdf")</f>
        <v>MCRO_27-CR-21-8412_Notice of Remote Hearing with Instructions_2022-09-02_20240430081752.pdf</v>
      </c>
      <c r="C2339" s="1" t="n">
        <v>3</v>
      </c>
      <c r="D2339" s="1" t="n">
        <v>1</v>
      </c>
      <c r="E2339" s="1" t="n">
        <v>1</v>
      </c>
      <c r="F2339" s="3" t="s">
        <v>20</v>
      </c>
      <c r="G2339" s="3" t="s">
        <v>9496</v>
      </c>
      <c r="H2339" s="1" t="s">
        <v>22</v>
      </c>
      <c r="I2339" s="1" t="n">
        <v>20240430081752</v>
      </c>
      <c r="J2339" s="3" t="s">
        <v>9497</v>
      </c>
      <c r="K2339" s="3" t="s">
        <v>9498</v>
      </c>
      <c r="L2339" s="3" t="s">
        <v>9495</v>
      </c>
      <c r="M2339" s="3" t="n">
        <v>282497</v>
      </c>
      <c r="N2339" s="3" t="s">
        <v>751</v>
      </c>
      <c r="O2339" s="1" t="n">
        <v>266111</v>
      </c>
      <c r="P2339" s="1" t="n">
        <v>94.2</v>
      </c>
      <c r="Q2339" s="1" t="s">
        <v>20</v>
      </c>
      <c r="R2339" s="1" t="s">
        <v>27</v>
      </c>
      <c r="S2339" s="1" t="s">
        <v>28</v>
      </c>
      <c r="T2339" s="1" t="s">
        <v>29</v>
      </c>
    </row>
    <row r="2340" customFormat="false" ht="18.7" hidden="false" customHeight="true" outlineLevel="0" collapsed="false">
      <c r="A2340" s="1" t="n">
        <v>2339</v>
      </c>
      <c r="B2340" s="6" t="str">
        <f aca="false">HYPERLINK("https://mncourtfraud.com/file/MCRO_27-CR-21-8412_Notice of Remote Hearing with Instructions_2024-02-06_20240430081734.pdf","MCRO_27-CR-21-8412_Notice of Remote Hearing with Instructions_2024-02-06_20240430081734.pdf")</f>
        <v>MCRO_27-CR-21-8412_Notice of Remote Hearing with Instructions_2024-02-06_20240430081734.pdf</v>
      </c>
      <c r="C2340" s="1" t="n">
        <v>4</v>
      </c>
      <c r="D2340" s="1" t="n">
        <v>1</v>
      </c>
      <c r="E2340" s="1" t="n">
        <v>1</v>
      </c>
      <c r="F2340" s="3" t="s">
        <v>20</v>
      </c>
      <c r="G2340" s="3" t="s">
        <v>9499</v>
      </c>
      <c r="H2340" s="1" t="s">
        <v>22</v>
      </c>
      <c r="I2340" s="1" t="n">
        <v>20240430081734</v>
      </c>
      <c r="J2340" s="3" t="s">
        <v>9500</v>
      </c>
      <c r="K2340" s="3" t="s">
        <v>9501</v>
      </c>
      <c r="L2340" s="3" t="s">
        <v>9502</v>
      </c>
      <c r="M2340" s="3" t="n">
        <v>255891</v>
      </c>
      <c r="N2340" s="3" t="s">
        <v>74</v>
      </c>
      <c r="O2340" s="1" t="n">
        <v>239505</v>
      </c>
      <c r="P2340" s="1" t="n">
        <v>93.6</v>
      </c>
      <c r="Q2340" s="1" t="s">
        <v>20</v>
      </c>
      <c r="R2340" s="1" t="s">
        <v>27</v>
      </c>
      <c r="S2340" s="1" t="s">
        <v>28</v>
      </c>
      <c r="T2340" s="1" t="s">
        <v>29</v>
      </c>
    </row>
    <row r="2341" customFormat="false" ht="18.7" hidden="false" customHeight="true" outlineLevel="0" collapsed="false">
      <c r="A2341" s="1" t="n">
        <v>2340</v>
      </c>
      <c r="B2341" s="6" t="str">
        <f aca="false">HYPERLINK("https://mncourtfraud.com/file/MCRO_27-CR-21-8412_Notice of Remote Hearing with Instructions_2024-04-02_20240430081733.pdf","MCRO_27-CR-21-8412_Notice of Remote Hearing with Instructions_2024-04-02_20240430081733.pdf")</f>
        <v>MCRO_27-CR-21-8412_Notice of Remote Hearing with Instructions_2024-04-02_20240430081733.pdf</v>
      </c>
      <c r="C2341" s="1" t="n">
        <v>4</v>
      </c>
      <c r="D2341" s="1" t="n">
        <v>1</v>
      </c>
      <c r="E2341" s="1" t="n">
        <v>1</v>
      </c>
      <c r="F2341" s="3" t="s">
        <v>20</v>
      </c>
      <c r="G2341" s="3" t="s">
        <v>9503</v>
      </c>
      <c r="H2341" s="1" t="s">
        <v>22</v>
      </c>
      <c r="I2341" s="1" t="n">
        <v>20240430081733</v>
      </c>
      <c r="J2341" s="3" t="s">
        <v>9504</v>
      </c>
      <c r="K2341" s="3" t="s">
        <v>9505</v>
      </c>
      <c r="L2341" s="3" t="s">
        <v>9506</v>
      </c>
      <c r="M2341" s="3" t="n">
        <v>255899</v>
      </c>
      <c r="N2341" s="3" t="s">
        <v>74</v>
      </c>
      <c r="O2341" s="1" t="n">
        <v>239513</v>
      </c>
      <c r="P2341" s="1" t="n">
        <v>93.6</v>
      </c>
      <c r="Q2341" s="1" t="s">
        <v>20</v>
      </c>
      <c r="R2341" s="1" t="s">
        <v>27</v>
      </c>
      <c r="S2341" s="1" t="s">
        <v>28</v>
      </c>
      <c r="T2341" s="1" t="s">
        <v>29</v>
      </c>
    </row>
    <row r="2342" customFormat="false" ht="18.7" hidden="false" customHeight="true" outlineLevel="0" collapsed="false">
      <c r="A2342" s="1" t="n">
        <v>2341</v>
      </c>
      <c r="B2342" s="6" t="str">
        <f aca="false">HYPERLINK("https://mncourtfraud.com/file/MCRO_27-CR-21-8412_Notice of Remote Hearing with Instructions_2024-04-16_20240430081732.pdf","MCRO_27-CR-21-8412_Notice of Remote Hearing with Instructions_2024-04-16_20240430081732.pdf")</f>
        <v>MCRO_27-CR-21-8412_Notice of Remote Hearing with Instructions_2024-04-16_20240430081732.pdf</v>
      </c>
      <c r="C2342" s="1" t="n">
        <v>4</v>
      </c>
      <c r="D2342" s="1" t="n">
        <v>1</v>
      </c>
      <c r="E2342" s="1" t="n">
        <v>1</v>
      </c>
      <c r="F2342" s="3" t="s">
        <v>20</v>
      </c>
      <c r="G2342" s="3" t="s">
        <v>9507</v>
      </c>
      <c r="H2342" s="1" t="s">
        <v>22</v>
      </c>
      <c r="I2342" s="1" t="n">
        <v>20240430081732</v>
      </c>
      <c r="J2342" s="3" t="s">
        <v>9508</v>
      </c>
      <c r="K2342" s="3" t="s">
        <v>9509</v>
      </c>
      <c r="L2342" s="3" t="s">
        <v>9510</v>
      </c>
      <c r="M2342" s="3" t="n">
        <v>256084</v>
      </c>
      <c r="N2342" s="3" t="s">
        <v>74</v>
      </c>
      <c r="O2342" s="1" t="n">
        <v>239698</v>
      </c>
      <c r="P2342" s="1" t="n">
        <v>93.6</v>
      </c>
      <c r="Q2342" s="1" t="s">
        <v>20</v>
      </c>
      <c r="R2342" s="1" t="s">
        <v>27</v>
      </c>
      <c r="S2342" s="1" t="s">
        <v>28</v>
      </c>
      <c r="T2342" s="1" t="s">
        <v>29</v>
      </c>
    </row>
    <row r="2343" customFormat="false" ht="18.7" hidden="false" customHeight="true" outlineLevel="0" collapsed="false">
      <c r="A2343" s="1" t="n">
        <v>2342</v>
      </c>
      <c r="B2343" s="6" t="str">
        <f aca="false">HYPERLINK("https://mncourtfraud.com/file/MCRO_27-CR-21-8412_Order-Eval for Mental Illness or Cognitive Impairment 20.02_2022-12-07_20240430081747.pdf","MCRO_27-CR-21-8412_Order-Eval for Mental Illness or Cognitive Impairment 20.02_2022-12-07_20240430081747.pdf")</f>
        <v>MCRO_27-CR-21-8412_Order-Eval for Mental Illness or Cognitive Impairment 20.02_2022-12-07_20240430081747.pdf</v>
      </c>
      <c r="C2343" s="1" t="n">
        <v>5</v>
      </c>
      <c r="D2343" s="1" t="n">
        <v>2</v>
      </c>
      <c r="E2343" s="1" t="n">
        <v>2</v>
      </c>
      <c r="F2343" s="3" t="s">
        <v>20</v>
      </c>
      <c r="G2343" s="3" t="s">
        <v>9511</v>
      </c>
      <c r="H2343" s="1" t="s">
        <v>22</v>
      </c>
      <c r="I2343" s="1" t="n">
        <v>20240430081747</v>
      </c>
      <c r="J2343" s="3" t="s">
        <v>9512</v>
      </c>
      <c r="K2343" s="3" t="s">
        <v>9513</v>
      </c>
      <c r="L2343" s="3" t="s">
        <v>9514</v>
      </c>
      <c r="M2343" s="3" t="n">
        <v>1078001</v>
      </c>
      <c r="N2343" s="3" t="s">
        <v>9515</v>
      </c>
      <c r="O2343" s="1" t="n">
        <v>1061615</v>
      </c>
      <c r="P2343" s="1" t="n">
        <v>98.48</v>
      </c>
      <c r="Q2343" s="1" t="s">
        <v>20</v>
      </c>
      <c r="R2343" s="1" t="s">
        <v>27</v>
      </c>
      <c r="S2343" s="1" t="s">
        <v>28</v>
      </c>
      <c r="T2343" s="1" t="s">
        <v>29</v>
      </c>
    </row>
    <row r="2344" customFormat="false" ht="18.7" hidden="false" customHeight="true" outlineLevel="0" collapsed="false">
      <c r="A2344" s="1" t="n">
        <v>2343</v>
      </c>
      <c r="B2344" s="6" t="str">
        <f aca="false">HYPERLINK("https://mncourtfraud.com/file/MCRO_27-CR-21-8412_Order-Evaluation for Competency to Proceed (Rule 20.01)_2021-05-27_20240430081801.pdf","MCRO_27-CR-21-8412_Order-Evaluation for Competency to Proceed (Rule 20.01)_2021-05-27_20240430081801.pdf")</f>
        <v>MCRO_27-CR-21-8412_Order-Evaluation for Competency to Proceed (Rule 20.01)_2021-05-27_20240430081801.pdf</v>
      </c>
      <c r="C2344" s="1" t="n">
        <v>5</v>
      </c>
      <c r="D2344" s="1" t="n">
        <v>2</v>
      </c>
      <c r="E2344" s="1" t="n">
        <v>2</v>
      </c>
      <c r="F2344" s="3" t="s">
        <v>20</v>
      </c>
      <c r="G2344" s="3" t="s">
        <v>9516</v>
      </c>
      <c r="H2344" s="1" t="s">
        <v>22</v>
      </c>
      <c r="I2344" s="1" t="n">
        <v>20240430081801</v>
      </c>
      <c r="J2344" s="3" t="s">
        <v>9517</v>
      </c>
      <c r="K2344" s="3" t="s">
        <v>9518</v>
      </c>
      <c r="L2344" s="3" t="s">
        <v>9519</v>
      </c>
      <c r="M2344" s="3" t="n">
        <v>1583216</v>
      </c>
      <c r="N2344" s="3" t="s">
        <v>4297</v>
      </c>
      <c r="O2344" s="1" t="n">
        <v>1566830</v>
      </c>
      <c r="P2344" s="1" t="n">
        <v>98.97</v>
      </c>
      <c r="Q2344" s="1" t="s">
        <v>20</v>
      </c>
      <c r="R2344" s="1" t="s">
        <v>27</v>
      </c>
      <c r="S2344" s="1" t="s">
        <v>28</v>
      </c>
      <c r="T2344" s="1" t="s">
        <v>29</v>
      </c>
    </row>
    <row r="2345" customFormat="false" ht="18.7" hidden="false" customHeight="true" outlineLevel="0" collapsed="false">
      <c r="A2345" s="1" t="n">
        <v>2344</v>
      </c>
      <c r="B2345" s="6" t="str">
        <f aca="false">HYPERLINK("https://mncourtfraud.com/file/MCRO_27-CR-21-8412_Order-Evaluation for Competency to Proceed (Rule 20.01)_2021-12-13_20240430081756.pdf","MCRO_27-CR-21-8412_Order-Evaluation for Competency to Proceed (Rule 20.01)_2021-12-13_20240430081756.pdf")</f>
        <v>MCRO_27-CR-21-8412_Order-Evaluation for Competency to Proceed (Rule 20.01)_2021-12-13_20240430081756.pdf</v>
      </c>
      <c r="C2345" s="1" t="n">
        <v>3</v>
      </c>
      <c r="D2345" s="1" t="n">
        <v>1</v>
      </c>
      <c r="E2345" s="1" t="n">
        <v>1</v>
      </c>
      <c r="F2345" s="3" t="s">
        <v>20</v>
      </c>
      <c r="G2345" s="3" t="s">
        <v>9520</v>
      </c>
      <c r="H2345" s="1" t="s">
        <v>22</v>
      </c>
      <c r="I2345" s="1" t="n">
        <v>20240430081756</v>
      </c>
      <c r="J2345" s="3" t="s">
        <v>9521</v>
      </c>
      <c r="K2345" s="3" t="s">
        <v>9522</v>
      </c>
      <c r="L2345" s="3" t="s">
        <v>9523</v>
      </c>
      <c r="M2345" s="3" t="n">
        <v>233135</v>
      </c>
      <c r="N2345" s="3" t="s">
        <v>559</v>
      </c>
      <c r="O2345" s="1" t="n">
        <v>216749</v>
      </c>
      <c r="P2345" s="1" t="n">
        <v>92.97</v>
      </c>
      <c r="Q2345" s="1" t="s">
        <v>20</v>
      </c>
      <c r="R2345" s="1" t="s">
        <v>27</v>
      </c>
      <c r="S2345" s="1" t="s">
        <v>28</v>
      </c>
      <c r="T2345" s="1" t="s">
        <v>29</v>
      </c>
    </row>
    <row r="2346" customFormat="false" ht="18.7" hidden="false" customHeight="true" outlineLevel="0" collapsed="false">
      <c r="A2346" s="1" t="n">
        <v>2345</v>
      </c>
      <c r="B2346" s="6" t="str">
        <f aca="false">HYPERLINK("https://mncourtfraud.com/file/MCRO_27-CR-21-8412_Order-Evaluation for Competency to Proceed (Rule 20.01)_2022-06-07_20240430081753.pdf","MCRO_27-CR-21-8412_Order-Evaluation for Competency to Proceed (Rule 20.01)_2022-06-07_20240430081753.pdf")</f>
        <v>MCRO_27-CR-21-8412_Order-Evaluation for Competency to Proceed (Rule 20.01)_2022-06-07_20240430081753.pdf</v>
      </c>
      <c r="C2346" s="1" t="n">
        <v>6</v>
      </c>
      <c r="D2346" s="1" t="n">
        <v>1</v>
      </c>
      <c r="E2346" s="1" t="n">
        <v>1</v>
      </c>
      <c r="F2346" s="3" t="s">
        <v>20</v>
      </c>
      <c r="G2346" s="3" t="s">
        <v>9524</v>
      </c>
      <c r="H2346" s="1" t="s">
        <v>22</v>
      </c>
      <c r="I2346" s="1" t="n">
        <v>20240430081753</v>
      </c>
      <c r="J2346" s="3" t="s">
        <v>9525</v>
      </c>
      <c r="K2346" s="3" t="s">
        <v>9526</v>
      </c>
      <c r="L2346" s="3" t="s">
        <v>9527</v>
      </c>
      <c r="M2346" s="3" t="n">
        <v>827562</v>
      </c>
      <c r="N2346" s="3" t="s">
        <v>1614</v>
      </c>
      <c r="O2346" s="1" t="n">
        <v>811176</v>
      </c>
      <c r="P2346" s="1" t="n">
        <v>98.02</v>
      </c>
      <c r="Q2346" s="1" t="s">
        <v>20</v>
      </c>
      <c r="R2346" s="1" t="s">
        <v>27</v>
      </c>
      <c r="S2346" s="1" t="s">
        <v>28</v>
      </c>
      <c r="T2346" s="1" t="s">
        <v>29</v>
      </c>
    </row>
    <row r="2347" customFormat="false" ht="18.7" hidden="false" customHeight="true" outlineLevel="0" collapsed="false">
      <c r="A2347" s="1" t="n">
        <v>2346</v>
      </c>
      <c r="B2347" s="6" t="str">
        <f aca="false">HYPERLINK("https://mncourtfraud.com/file/MCRO_27-CR-21-8412_Order-Evaluation for Competency to Proceed (Rule 20.01)_2023-07-11_20240430081740.pdf","MCRO_27-CR-21-8412_Order-Evaluation for Competency to Proceed (Rule 20.01)_2023-07-11_20240430081740.pdf")</f>
        <v>MCRO_27-CR-21-8412_Order-Evaluation for Competency to Proceed (Rule 20.01)_2023-07-11_20240430081740.pdf</v>
      </c>
      <c r="C2347" s="1" t="n">
        <v>6</v>
      </c>
      <c r="D2347" s="1" t="n">
        <v>2</v>
      </c>
      <c r="E2347" s="1" t="n">
        <v>2</v>
      </c>
      <c r="F2347" s="3" t="s">
        <v>27</v>
      </c>
      <c r="G2347" s="3" t="s">
        <v>9528</v>
      </c>
      <c r="H2347" s="1" t="s">
        <v>22</v>
      </c>
      <c r="I2347" s="1" t="n">
        <v>20240430081740</v>
      </c>
      <c r="J2347" s="3" t="s">
        <v>9529</v>
      </c>
      <c r="K2347" s="3" t="s">
        <v>9530</v>
      </c>
      <c r="L2347" s="3" t="s">
        <v>9531</v>
      </c>
      <c r="M2347" s="3" t="n">
        <v>992142</v>
      </c>
      <c r="N2347" s="3" t="s">
        <v>4934</v>
      </c>
      <c r="O2347" s="1" t="n">
        <v>975756</v>
      </c>
      <c r="P2347" s="1" t="n">
        <v>98.35</v>
      </c>
      <c r="Q2347" s="1" t="s">
        <v>20</v>
      </c>
      <c r="R2347" s="1" t="s">
        <v>27</v>
      </c>
      <c r="S2347" s="1" t="s">
        <v>28</v>
      </c>
      <c r="T2347" s="1" t="s">
        <v>29</v>
      </c>
    </row>
    <row r="2348" customFormat="false" ht="18.7" hidden="false" customHeight="true" outlineLevel="0" collapsed="false">
      <c r="A2348" s="1" t="n">
        <v>2347</v>
      </c>
      <c r="B2348" s="6" t="str">
        <f aca="false">HYPERLINK("https://mncourtfraud.com/file/MCRO_27-CR-21-8412_Order-Evaluation for Competency to Proceed (Rule 20.01)_2023-11-30_20240430081735.pdf","MCRO_27-CR-21-8412_Order-Evaluation for Competency to Proceed (Rule 20.01)_2023-11-30_20240430081735.pdf")</f>
        <v>MCRO_27-CR-21-8412_Order-Evaluation for Competency to Proceed (Rule 20.01)_2023-11-30_20240430081735.pdf</v>
      </c>
      <c r="C2348" s="1" t="n">
        <v>6</v>
      </c>
      <c r="D2348" s="1" t="n">
        <v>2</v>
      </c>
      <c r="E2348" s="1" t="n">
        <v>2</v>
      </c>
      <c r="F2348" s="3" t="s">
        <v>20</v>
      </c>
      <c r="G2348" s="3" t="s">
        <v>9532</v>
      </c>
      <c r="H2348" s="1" t="s">
        <v>22</v>
      </c>
      <c r="I2348" s="1" t="n">
        <v>20240430081735</v>
      </c>
      <c r="J2348" s="3" t="s">
        <v>9533</v>
      </c>
      <c r="K2348" s="3" t="s">
        <v>9534</v>
      </c>
      <c r="L2348" s="3" t="s">
        <v>9535</v>
      </c>
      <c r="M2348" s="3" t="n">
        <v>870883</v>
      </c>
      <c r="N2348" s="3" t="s">
        <v>4399</v>
      </c>
      <c r="O2348" s="1" t="n">
        <v>854497</v>
      </c>
      <c r="P2348" s="1" t="n">
        <v>98.12</v>
      </c>
      <c r="Q2348" s="1" t="s">
        <v>20</v>
      </c>
      <c r="R2348" s="1" t="s">
        <v>27</v>
      </c>
      <c r="S2348" s="1" t="s">
        <v>28</v>
      </c>
      <c r="T2348" s="1" t="s">
        <v>29</v>
      </c>
    </row>
    <row r="2349" customFormat="false" ht="18.7" hidden="false" customHeight="true" outlineLevel="0" collapsed="false">
      <c r="A2349" s="1" t="n">
        <v>2348</v>
      </c>
      <c r="B2349" s="6" t="str">
        <f aca="false">HYPERLINK("https://mncourtfraud.com/file/MCRO_27-CR-21-8412_Order Forfeiting Cash Bond or Surety Bond_2022-10-26_20240430081749.pdf","MCRO_27-CR-21-8412_Order Forfeiting Cash Bond or Surety Bond_2022-10-26_20240430081749.pdf")</f>
        <v>MCRO_27-CR-21-8412_Order Forfeiting Cash Bond or Surety Bond_2022-10-26_20240430081749.pdf</v>
      </c>
      <c r="C2349" s="1" t="n">
        <v>5</v>
      </c>
      <c r="D2349" s="1" t="n">
        <v>1</v>
      </c>
      <c r="E2349" s="1" t="n">
        <v>1</v>
      </c>
      <c r="F2349" s="3" t="s">
        <v>20</v>
      </c>
      <c r="G2349" s="3" t="s">
        <v>9536</v>
      </c>
      <c r="H2349" s="1" t="s">
        <v>22</v>
      </c>
      <c r="I2349" s="1" t="n">
        <v>20240430081749</v>
      </c>
      <c r="J2349" s="3" t="s">
        <v>9537</v>
      </c>
      <c r="K2349" s="3" t="s">
        <v>9538</v>
      </c>
      <c r="L2349" s="3" t="s">
        <v>9539</v>
      </c>
      <c r="M2349" s="3" t="n">
        <v>192744</v>
      </c>
      <c r="N2349" s="3" t="s">
        <v>1673</v>
      </c>
      <c r="O2349" s="1" t="n">
        <v>176358</v>
      </c>
      <c r="P2349" s="1" t="n">
        <v>91.5</v>
      </c>
      <c r="Q2349" s="1" t="s">
        <v>20</v>
      </c>
      <c r="R2349" s="1" t="s">
        <v>27</v>
      </c>
      <c r="S2349" s="1" t="s">
        <v>28</v>
      </c>
      <c r="T2349" s="1" t="s">
        <v>29</v>
      </c>
    </row>
    <row r="2350" customFormat="false" ht="18.7" hidden="false" customHeight="true" outlineLevel="0" collapsed="false">
      <c r="A2350" s="1" t="n">
        <v>2349</v>
      </c>
      <c r="B2350" s="6" t="str">
        <f aca="false">HYPERLINK("https://mncourtfraud.com/file/MCRO_27-CR-21-8412_Order to Transport_2023-04-11_20240430081743.pdf","MCRO_27-CR-21-8412_Order to Transport_2023-04-11_20240430081743.pdf")</f>
        <v>MCRO_27-CR-21-8412_Order to Transport_2023-04-11_20240430081743.pdf</v>
      </c>
      <c r="C2350" s="1" t="n">
        <v>5</v>
      </c>
      <c r="D2350" s="1" t="n">
        <v>3</v>
      </c>
      <c r="E2350" s="1" t="n">
        <v>3</v>
      </c>
      <c r="F2350" s="3" t="s">
        <v>20</v>
      </c>
      <c r="G2350" s="3" t="s">
        <v>9540</v>
      </c>
      <c r="H2350" s="1" t="s">
        <v>22</v>
      </c>
      <c r="I2350" s="1" t="n">
        <v>20240430081743</v>
      </c>
      <c r="J2350" s="3" t="s">
        <v>9541</v>
      </c>
      <c r="K2350" s="3" t="s">
        <v>9542</v>
      </c>
      <c r="L2350" s="3" t="s">
        <v>9543</v>
      </c>
      <c r="M2350" s="3" t="n">
        <v>215513</v>
      </c>
      <c r="N2350" s="3" t="s">
        <v>26</v>
      </c>
      <c r="O2350" s="1" t="n">
        <v>199127</v>
      </c>
      <c r="P2350" s="1" t="n">
        <v>92.4</v>
      </c>
      <c r="Q2350" s="1" t="s">
        <v>20</v>
      </c>
      <c r="R2350" s="1" t="s">
        <v>27</v>
      </c>
      <c r="S2350" s="1" t="s">
        <v>28</v>
      </c>
      <c r="T2350" s="1" t="s">
        <v>29</v>
      </c>
    </row>
    <row r="2351" customFormat="false" ht="18.7" hidden="false" customHeight="true" outlineLevel="0" collapsed="false">
      <c r="A2351" s="1" t="n">
        <v>2350</v>
      </c>
      <c r="B2351" s="6" t="str">
        <f aca="false">HYPERLINK("https://mncourtfraud.com/file/MCRO_27-CR-21-8412_Other Document_2021-05-03_20240430081808.pdf","MCRO_27-CR-21-8412_Other Document_2021-05-03_20240430081808.pdf")</f>
        <v>MCRO_27-CR-21-8412_Other Document_2021-05-03_20240430081808.pdf</v>
      </c>
      <c r="C2351" s="1" t="n">
        <v>3</v>
      </c>
      <c r="D2351" s="1" t="n">
        <v>1</v>
      </c>
      <c r="E2351" s="1" t="n">
        <v>1</v>
      </c>
      <c r="F2351" s="3" t="s">
        <v>20</v>
      </c>
      <c r="G2351" s="3" t="s">
        <v>9544</v>
      </c>
      <c r="H2351" s="1" t="s">
        <v>22</v>
      </c>
      <c r="I2351" s="1" t="n">
        <v>20240430081808</v>
      </c>
      <c r="J2351" s="3" t="s">
        <v>9545</v>
      </c>
      <c r="K2351" s="3" t="s">
        <v>9546</v>
      </c>
      <c r="L2351" s="3" t="s">
        <v>9547</v>
      </c>
      <c r="M2351" s="3" t="n">
        <v>123107</v>
      </c>
      <c r="N2351" s="3" t="s">
        <v>736</v>
      </c>
      <c r="O2351" s="1" t="n">
        <v>106721</v>
      </c>
      <c r="P2351" s="1" t="n">
        <v>86.69</v>
      </c>
      <c r="Q2351" s="1" t="s">
        <v>20</v>
      </c>
      <c r="R2351" s="1" t="s">
        <v>27</v>
      </c>
      <c r="S2351" s="1" t="s">
        <v>28</v>
      </c>
      <c r="T2351" s="1" t="s">
        <v>29</v>
      </c>
    </row>
    <row r="2352" customFormat="false" ht="18.7" hidden="false" customHeight="true" outlineLevel="0" collapsed="false">
      <c r="A2352" s="1" t="n">
        <v>2351</v>
      </c>
      <c r="B2352" s="6" t="str">
        <f aca="false">HYPERLINK("https://mncourtfraud.com/file/MCRO_27-CR-21-8412_Request for Disclosure_2022-12-14_20240430081745.pdf","MCRO_27-CR-21-8412_Request for Disclosure_2022-12-14_20240430081745.pdf")</f>
        <v>MCRO_27-CR-21-8412_Request for Disclosure_2022-12-14_20240430081745.pdf</v>
      </c>
      <c r="C2352" s="1" t="n">
        <v>3</v>
      </c>
      <c r="D2352" s="1" t="n">
        <v>1</v>
      </c>
      <c r="E2352" s="1" t="n">
        <v>1</v>
      </c>
      <c r="F2352" s="3" t="s">
        <v>20</v>
      </c>
      <c r="G2352" s="3" t="s">
        <v>9548</v>
      </c>
      <c r="H2352" s="1" t="s">
        <v>22</v>
      </c>
      <c r="I2352" s="1" t="n">
        <v>20240430081745</v>
      </c>
      <c r="J2352" s="3" t="s">
        <v>9549</v>
      </c>
      <c r="K2352" s="3" t="s">
        <v>9550</v>
      </c>
      <c r="L2352" s="3" t="s">
        <v>9551</v>
      </c>
      <c r="M2352" s="3" t="n">
        <v>370479</v>
      </c>
      <c r="N2352" s="3" t="s">
        <v>9552</v>
      </c>
      <c r="O2352" s="1" t="n">
        <v>354093</v>
      </c>
      <c r="P2352" s="1" t="n">
        <v>95.58</v>
      </c>
      <c r="Q2352" s="1" t="s">
        <v>20</v>
      </c>
      <c r="R2352" s="1" t="s">
        <v>27</v>
      </c>
      <c r="S2352" s="1" t="s">
        <v>28</v>
      </c>
      <c r="T2352" s="1" t="s">
        <v>29</v>
      </c>
    </row>
    <row r="2353" customFormat="false" ht="18.7" hidden="false" customHeight="true" outlineLevel="0" collapsed="false">
      <c r="A2353" s="1" t="n">
        <v>2352</v>
      </c>
      <c r="B2353" s="6" t="str">
        <f aca="false">HYPERLINK("https://mncourtfraud.com/file/MCRO_27-CR-21-8412_Returned Mail_2022-09-20_20240430081750.pdf","MCRO_27-CR-21-8412_Returned Mail_2022-09-20_20240430081750.pdf")</f>
        <v>MCRO_27-CR-21-8412_Returned Mail_2022-09-20_20240430081750.pdf</v>
      </c>
      <c r="C2353" s="1" t="n">
        <v>4</v>
      </c>
      <c r="D2353" s="1" t="n">
        <v>1</v>
      </c>
      <c r="E2353" s="1" t="n">
        <v>1</v>
      </c>
      <c r="F2353" s="3" t="s">
        <v>20</v>
      </c>
      <c r="G2353" s="3" t="s">
        <v>9553</v>
      </c>
      <c r="H2353" s="1" t="s">
        <v>22</v>
      </c>
      <c r="I2353" s="1" t="n">
        <v>20240430081750</v>
      </c>
      <c r="J2353" s="3" t="s">
        <v>9554</v>
      </c>
      <c r="K2353" s="3" t="s">
        <v>9555</v>
      </c>
      <c r="L2353" s="3" t="s">
        <v>9556</v>
      </c>
      <c r="M2353" s="3" t="n">
        <v>327095</v>
      </c>
      <c r="N2353" s="3" t="s">
        <v>158</v>
      </c>
      <c r="O2353" s="1" t="n">
        <v>310709</v>
      </c>
      <c r="P2353" s="1" t="n">
        <v>94.99</v>
      </c>
      <c r="Q2353" s="1" t="s">
        <v>20</v>
      </c>
      <c r="R2353" s="1" t="s">
        <v>27</v>
      </c>
      <c r="S2353" s="1" t="s">
        <v>28</v>
      </c>
      <c r="T2353" s="1" t="s">
        <v>29</v>
      </c>
    </row>
    <row r="2354" customFormat="false" ht="18.7" hidden="false" customHeight="true" outlineLevel="0" collapsed="false">
      <c r="A2354" s="1" t="n">
        <v>2353</v>
      </c>
      <c r="B2354" s="6" t="str">
        <f aca="false">HYPERLINK("https://mncourtfraud.com/file/MCRO_27-CR-21-8412_Substitution of Counsel_2021-05-05_20240430081802.pdf","MCRO_27-CR-21-8412_Substitution of Counsel_2021-05-05_20240430081802.pdf")</f>
        <v>MCRO_27-CR-21-8412_Substitution of Counsel_2021-05-05_20240430081802.pdf</v>
      </c>
      <c r="C2354" s="1" t="n">
        <v>3</v>
      </c>
      <c r="D2354" s="1" t="n">
        <v>1</v>
      </c>
      <c r="E2354" s="1" t="n">
        <v>1</v>
      </c>
      <c r="F2354" s="3" t="s">
        <v>20</v>
      </c>
      <c r="G2354" s="3" t="s">
        <v>9557</v>
      </c>
      <c r="H2354" s="1" t="s">
        <v>22</v>
      </c>
      <c r="I2354" s="1" t="n">
        <v>20240430081802</v>
      </c>
      <c r="J2354" s="3" t="s">
        <v>9558</v>
      </c>
      <c r="K2354" s="3" t="s">
        <v>9559</v>
      </c>
      <c r="L2354" s="3" t="s">
        <v>9560</v>
      </c>
      <c r="M2354" s="3" t="n">
        <v>173549</v>
      </c>
      <c r="N2354" s="3" t="s">
        <v>764</v>
      </c>
      <c r="O2354" s="1" t="n">
        <v>157163</v>
      </c>
      <c r="P2354" s="1" t="n">
        <v>90.56</v>
      </c>
      <c r="Q2354" s="1" t="s">
        <v>20</v>
      </c>
      <c r="R2354" s="1" t="s">
        <v>27</v>
      </c>
      <c r="S2354" s="1" t="s">
        <v>28</v>
      </c>
      <c r="T2354" s="1" t="s">
        <v>29</v>
      </c>
    </row>
    <row r="2355" customFormat="false" ht="18.7" hidden="false" customHeight="true" outlineLevel="0" collapsed="false">
      <c r="A2355" s="1" t="n">
        <v>2354</v>
      </c>
      <c r="B2355" s="6" t="str">
        <f aca="false">HYPERLINK("https://mncourtfraud.com/file/MCRO_27-CR-21-8412_Transcript_2023-07-20_20240430081739.pdf","MCRO_27-CR-21-8412_Transcript_2023-07-20_20240430081739.pdf")</f>
        <v>MCRO_27-CR-21-8412_Transcript_2023-07-20_20240430081739.pdf</v>
      </c>
      <c r="C2355" s="1" t="n">
        <v>3</v>
      </c>
      <c r="D2355" s="1" t="n">
        <v>1</v>
      </c>
      <c r="E2355" s="1" t="n">
        <v>1</v>
      </c>
      <c r="F2355" s="3" t="s">
        <v>20</v>
      </c>
      <c r="G2355" s="3" t="s">
        <v>9561</v>
      </c>
      <c r="H2355" s="1" t="s">
        <v>22</v>
      </c>
      <c r="I2355" s="1" t="n">
        <v>20240430081739</v>
      </c>
      <c r="J2355" s="3" t="s">
        <v>9562</v>
      </c>
      <c r="K2355" s="3" t="s">
        <v>9563</v>
      </c>
      <c r="L2355" s="3" t="s">
        <v>9564</v>
      </c>
      <c r="M2355" s="3" t="n">
        <v>1003902</v>
      </c>
      <c r="N2355" s="3" t="s">
        <v>9565</v>
      </c>
      <c r="O2355" s="1" t="n">
        <v>987516</v>
      </c>
      <c r="P2355" s="1" t="n">
        <v>98.37</v>
      </c>
      <c r="Q2355" s="1" t="s">
        <v>20</v>
      </c>
      <c r="R2355" s="1" t="s">
        <v>27</v>
      </c>
      <c r="S2355" s="1" t="s">
        <v>28</v>
      </c>
      <c r="T2355" s="1" t="s">
        <v>29</v>
      </c>
    </row>
    <row r="2356" customFormat="false" ht="18.7" hidden="false" customHeight="true" outlineLevel="0" collapsed="false">
      <c r="A2356" s="1" t="n">
        <v>2355</v>
      </c>
      <c r="B2356" s="6" t="str">
        <f aca="false">HYPERLINK("https://mncourtfraud.com/file/MCRO_27-CR-21-8412_Transcript_2023-07-21_20240430081738.pdf","MCRO_27-CR-21-8412_Transcript_2023-07-21_20240430081738.pdf")</f>
        <v>MCRO_27-CR-21-8412_Transcript_2023-07-21_20240430081738.pdf</v>
      </c>
      <c r="C2356" s="1" t="n">
        <v>3</v>
      </c>
      <c r="D2356" s="1" t="n">
        <v>1</v>
      </c>
      <c r="E2356" s="1" t="n">
        <v>1</v>
      </c>
      <c r="F2356" s="3" t="s">
        <v>20</v>
      </c>
      <c r="G2356" s="3" t="s">
        <v>9566</v>
      </c>
      <c r="H2356" s="1" t="s">
        <v>22</v>
      </c>
      <c r="I2356" s="1" t="n">
        <v>20240430081738</v>
      </c>
      <c r="J2356" s="3" t="s">
        <v>9562</v>
      </c>
      <c r="K2356" s="3" t="s">
        <v>9563</v>
      </c>
      <c r="L2356" s="3" t="s">
        <v>9567</v>
      </c>
      <c r="M2356" s="3" t="n">
        <v>1786428</v>
      </c>
      <c r="N2356" s="3" t="s">
        <v>9568</v>
      </c>
      <c r="O2356" s="1" t="n">
        <v>1770042</v>
      </c>
      <c r="P2356" s="1" t="n">
        <v>99.08</v>
      </c>
      <c r="Q2356" s="1" t="s">
        <v>20</v>
      </c>
      <c r="R2356" s="1" t="s">
        <v>27</v>
      </c>
      <c r="S2356" s="1" t="s">
        <v>28</v>
      </c>
      <c r="T2356" s="1" t="s">
        <v>29</v>
      </c>
    </row>
    <row r="2357" customFormat="false" ht="18.7" hidden="false" customHeight="true" outlineLevel="0" collapsed="false">
      <c r="A2357" s="1" t="n">
        <v>2356</v>
      </c>
      <c r="B2357" s="6" t="str">
        <f aca="false">HYPERLINK("https://mncourtfraud.com/file/MCRO_27-CR-21-8412_Waiver of Extradition_2021-04-30_20240430081809.pdf","MCRO_27-CR-21-8412_Waiver of Extradition_2021-04-30_20240430081809.pdf")</f>
        <v>MCRO_27-CR-21-8412_Waiver of Extradition_2021-04-30_20240430081809.pdf</v>
      </c>
      <c r="C2357" s="1" t="n">
        <v>4</v>
      </c>
      <c r="D2357" s="1" t="n">
        <v>1</v>
      </c>
      <c r="E2357" s="1" t="n">
        <v>1</v>
      </c>
      <c r="F2357" s="3" t="s">
        <v>20</v>
      </c>
      <c r="G2357" s="3" t="s">
        <v>9569</v>
      </c>
      <c r="H2357" s="1" t="s">
        <v>22</v>
      </c>
      <c r="I2357" s="1" t="n">
        <v>20240430081809</v>
      </c>
      <c r="J2357" s="3" t="s">
        <v>9570</v>
      </c>
      <c r="K2357" s="3" t="s">
        <v>9571</v>
      </c>
      <c r="L2357" s="3" t="s">
        <v>9572</v>
      </c>
      <c r="M2357" s="3" t="n">
        <v>103321</v>
      </c>
      <c r="N2357" s="3" t="s">
        <v>456</v>
      </c>
      <c r="O2357" s="1" t="n">
        <v>86935</v>
      </c>
      <c r="P2357" s="1" t="n">
        <v>84.14</v>
      </c>
      <c r="Q2357" s="1" t="s">
        <v>20</v>
      </c>
      <c r="R2357" s="1" t="s">
        <v>27</v>
      </c>
      <c r="S2357" s="1" t="s">
        <v>28</v>
      </c>
      <c r="T2357" s="1" t="s">
        <v>29</v>
      </c>
    </row>
    <row r="2358" customFormat="false" ht="18.7" hidden="false" customHeight="true" outlineLevel="0" collapsed="false">
      <c r="A2358" s="1" t="n">
        <v>2357</v>
      </c>
      <c r="B2358" s="6" t="str">
        <f aca="false">HYPERLINK("https://mncourtfraud.com/file/MCRO_27-CR-21-8412_Witness List_2023-04-03_20240430081744.pdf","MCRO_27-CR-21-8412_Witness List_2023-04-03_20240430081744.pdf")</f>
        <v>MCRO_27-CR-21-8412_Witness List_2023-04-03_20240430081744.pdf</v>
      </c>
      <c r="C2358" s="1" t="n">
        <v>3</v>
      </c>
      <c r="D2358" s="1" t="n">
        <v>1</v>
      </c>
      <c r="E2358" s="1" t="n">
        <v>1</v>
      </c>
      <c r="F2358" s="3" t="s">
        <v>20</v>
      </c>
      <c r="G2358" s="3" t="s">
        <v>9573</v>
      </c>
      <c r="H2358" s="1" t="s">
        <v>22</v>
      </c>
      <c r="I2358" s="1" t="n">
        <v>20240430081744</v>
      </c>
      <c r="J2358" s="3" t="s">
        <v>9574</v>
      </c>
      <c r="K2358" s="3" t="s">
        <v>9575</v>
      </c>
      <c r="L2358" s="3" t="s">
        <v>9576</v>
      </c>
      <c r="M2358" s="3" t="n">
        <v>253700</v>
      </c>
      <c r="N2358" s="3" t="s">
        <v>2813</v>
      </c>
      <c r="O2358" s="1" t="n">
        <v>237314</v>
      </c>
      <c r="P2358" s="1" t="n">
        <v>93.54</v>
      </c>
      <c r="Q2358" s="1" t="s">
        <v>20</v>
      </c>
      <c r="R2358" s="1" t="s">
        <v>27</v>
      </c>
      <c r="S2358" s="1" t="s">
        <v>28</v>
      </c>
      <c r="T2358" s="1" t="s">
        <v>29</v>
      </c>
    </row>
    <row r="2359" customFormat="false" ht="18.7" hidden="false" customHeight="true" outlineLevel="0" collapsed="false">
      <c r="A2359" s="1" t="n">
        <v>2358</v>
      </c>
      <c r="B2359" s="6" t="str">
        <f aca="false">HYPERLINK("https://mncourtfraud.com/file/MCRO_27-CR-21-8412_Witness List_2023-06-26_20240430081742.pdf","MCRO_27-CR-21-8412_Witness List_2023-06-26_20240430081742.pdf")</f>
        <v>MCRO_27-CR-21-8412_Witness List_2023-06-26_20240430081742.pdf</v>
      </c>
      <c r="C2359" s="1" t="n">
        <v>4</v>
      </c>
      <c r="D2359" s="1" t="n">
        <v>1</v>
      </c>
      <c r="E2359" s="1" t="n">
        <v>1</v>
      </c>
      <c r="F2359" s="3" t="s">
        <v>20</v>
      </c>
      <c r="G2359" s="3" t="s">
        <v>9577</v>
      </c>
      <c r="H2359" s="1" t="s">
        <v>22</v>
      </c>
      <c r="I2359" s="1" t="n">
        <v>20240430081742</v>
      </c>
      <c r="J2359" s="3" t="s">
        <v>9578</v>
      </c>
      <c r="K2359" s="3" t="s">
        <v>9579</v>
      </c>
      <c r="L2359" s="3" t="s">
        <v>9580</v>
      </c>
      <c r="M2359" s="3" t="n">
        <v>393905</v>
      </c>
      <c r="N2359" s="3" t="s">
        <v>74</v>
      </c>
      <c r="O2359" s="1" t="n">
        <v>377519</v>
      </c>
      <c r="P2359" s="1" t="n">
        <v>95.84</v>
      </c>
      <c r="Q2359" s="1" t="s">
        <v>20</v>
      </c>
      <c r="R2359" s="1" t="s">
        <v>27</v>
      </c>
      <c r="S2359" s="1" t="s">
        <v>28</v>
      </c>
      <c r="T2359" s="1" t="s">
        <v>29</v>
      </c>
    </row>
    <row r="2360" customFormat="false" ht="18.7" hidden="false" customHeight="true" outlineLevel="0" collapsed="false">
      <c r="A2360" s="1" t="n">
        <v>2359</v>
      </c>
      <c r="B2360" s="6" t="str">
        <f aca="false">HYPERLINK("https://mncourtfraud.com/file/MCRO_27-CR-21-8412_Witness List_2023-07-10_20240430081741.pdf","MCRO_27-CR-21-8412_Witness List_2023-07-10_20240430081741.pdf")</f>
        <v>MCRO_27-CR-21-8412_Witness List_2023-07-10_20240430081741.pdf</v>
      </c>
      <c r="C2360" s="1" t="n">
        <v>4</v>
      </c>
      <c r="D2360" s="1" t="n">
        <v>1</v>
      </c>
      <c r="E2360" s="1" t="n">
        <v>1</v>
      </c>
      <c r="F2360" s="3" t="s">
        <v>20</v>
      </c>
      <c r="G2360" s="3" t="s">
        <v>9581</v>
      </c>
      <c r="H2360" s="1" t="s">
        <v>22</v>
      </c>
      <c r="I2360" s="1" t="n">
        <v>20240430081741</v>
      </c>
      <c r="J2360" s="3" t="s">
        <v>9582</v>
      </c>
      <c r="K2360" s="3" t="s">
        <v>9583</v>
      </c>
      <c r="L2360" s="3" t="s">
        <v>9584</v>
      </c>
      <c r="M2360" s="3" t="n">
        <v>410610</v>
      </c>
      <c r="N2360" s="3" t="s">
        <v>1659</v>
      </c>
      <c r="O2360" s="1" t="n">
        <v>394224</v>
      </c>
      <c r="P2360" s="1" t="n">
        <v>96.01</v>
      </c>
      <c r="Q2360" s="1" t="s">
        <v>20</v>
      </c>
      <c r="R2360" s="1" t="s">
        <v>27</v>
      </c>
      <c r="S2360" s="1" t="s">
        <v>28</v>
      </c>
      <c r="T2360" s="1" t="s">
        <v>29</v>
      </c>
    </row>
    <row r="2361" customFormat="false" ht="18.7" hidden="false" customHeight="true" outlineLevel="0" collapsed="false">
      <c r="A2361" s="1" t="n">
        <v>2360</v>
      </c>
      <c r="B2361" s="6" t="str">
        <f aca="false">HYPERLINK("https://mncourtfraud.com/file/MCRO_27-CR-21-8511_Dismissal by Prosecuting Attorney_2023-10-31_20240430082010.pdf","MCRO_27-CR-21-8511_Dismissal by Prosecuting Attorney_2023-10-31_20240430082010.pdf")</f>
        <v>MCRO_27-CR-21-8511_Dismissal by Prosecuting Attorney_2023-10-31_20240430082010.pdf</v>
      </c>
      <c r="C2361" s="1" t="n">
        <v>3</v>
      </c>
      <c r="D2361" s="1" t="n">
        <v>1</v>
      </c>
      <c r="E2361" s="1" t="n">
        <v>1</v>
      </c>
      <c r="F2361" s="3" t="s">
        <v>20</v>
      </c>
      <c r="G2361" s="3" t="s">
        <v>9585</v>
      </c>
      <c r="H2361" s="1" t="s">
        <v>22</v>
      </c>
      <c r="I2361" s="1" t="n">
        <v>20240430082010</v>
      </c>
      <c r="J2361" s="3" t="s">
        <v>9586</v>
      </c>
      <c r="K2361" s="3" t="s">
        <v>9587</v>
      </c>
      <c r="L2361" s="3" t="s">
        <v>9588</v>
      </c>
      <c r="M2361" s="3" t="n">
        <v>136811</v>
      </c>
      <c r="N2361" s="3" t="s">
        <v>366</v>
      </c>
      <c r="O2361" s="1" t="n">
        <v>120425</v>
      </c>
      <c r="P2361" s="1" t="n">
        <v>88.02</v>
      </c>
      <c r="Q2361" s="1" t="s">
        <v>20</v>
      </c>
      <c r="R2361" s="1" t="s">
        <v>27</v>
      </c>
      <c r="S2361" s="1" t="s">
        <v>28</v>
      </c>
      <c r="T2361" s="1" t="s">
        <v>29</v>
      </c>
    </row>
    <row r="2362" customFormat="false" ht="18.7" hidden="false" customHeight="true" outlineLevel="0" collapsed="false">
      <c r="A2362" s="1" t="n">
        <v>2361</v>
      </c>
      <c r="B2362" s="6" t="str">
        <f aca="false">HYPERLINK("https://mncourtfraud.com/file/MCRO_27-CR-21-8511_E-filed Comp-Summons_2021-05-03_20240430082031.pdf","MCRO_27-CR-21-8511_E-filed Comp-Summons_2021-05-03_20240430082031.pdf")</f>
        <v>MCRO_27-CR-21-8511_E-filed Comp-Summons_2021-05-03_20240430082031.pdf</v>
      </c>
      <c r="C2362" s="1" t="n">
        <v>4</v>
      </c>
      <c r="D2362" s="1" t="n">
        <v>2</v>
      </c>
      <c r="E2362" s="1" t="n">
        <v>2</v>
      </c>
      <c r="F2362" s="3" t="s">
        <v>20</v>
      </c>
      <c r="G2362" s="3" t="s">
        <v>9589</v>
      </c>
      <c r="H2362" s="1" t="s">
        <v>22</v>
      </c>
      <c r="I2362" s="1" t="n">
        <v>20240430082031</v>
      </c>
      <c r="J2362" s="3" t="s">
        <v>9590</v>
      </c>
      <c r="K2362" s="3" t="s">
        <v>9591</v>
      </c>
      <c r="L2362" s="3" t="s">
        <v>9592</v>
      </c>
      <c r="M2362" s="3" t="n">
        <v>496325</v>
      </c>
      <c r="N2362" s="3" t="s">
        <v>9593</v>
      </c>
      <c r="O2362" s="1" t="n">
        <v>479939</v>
      </c>
      <c r="P2362" s="1" t="n">
        <v>96.7</v>
      </c>
      <c r="Q2362" s="1" t="s">
        <v>20</v>
      </c>
      <c r="R2362" s="1" t="s">
        <v>27</v>
      </c>
      <c r="S2362" s="1" t="s">
        <v>28</v>
      </c>
      <c r="T2362" s="1" t="s">
        <v>29</v>
      </c>
    </row>
    <row r="2363" customFormat="false" ht="18.7" hidden="false" customHeight="true" outlineLevel="0" collapsed="false">
      <c r="A2363" s="1" t="n">
        <v>2362</v>
      </c>
      <c r="B2363" s="6" t="str">
        <f aca="false">HYPERLINK("https://mncourtfraud.com/file/MCRO_27-CR-21-8511_Finding of Incompetency and Order_2023-05-02_20240430082013.pdf","MCRO_27-CR-21-8511_Finding of Incompetency and Order_2023-05-02_20240430082013.pdf")</f>
        <v>MCRO_27-CR-21-8511_Finding of Incompetency and Order_2023-05-02_20240430082013.pdf</v>
      </c>
      <c r="C2363" s="1" t="n">
        <v>9</v>
      </c>
      <c r="D2363" s="1" t="n">
        <v>3</v>
      </c>
      <c r="E2363" s="1" t="n">
        <v>3</v>
      </c>
      <c r="F2363" s="3" t="s">
        <v>27</v>
      </c>
      <c r="G2363" s="3" t="s">
        <v>9594</v>
      </c>
      <c r="H2363" s="1" t="s">
        <v>22</v>
      </c>
      <c r="I2363" s="1" t="n">
        <v>20240430082013</v>
      </c>
      <c r="J2363" s="3" t="s">
        <v>9595</v>
      </c>
      <c r="K2363" s="3" t="s">
        <v>9596</v>
      </c>
      <c r="L2363" s="3" t="s">
        <v>9597</v>
      </c>
      <c r="M2363" s="3" t="n">
        <v>951847</v>
      </c>
      <c r="N2363" s="3" t="s">
        <v>3264</v>
      </c>
      <c r="O2363" s="1" t="n">
        <v>935461</v>
      </c>
      <c r="P2363" s="1" t="n">
        <v>98.28</v>
      </c>
      <c r="Q2363" s="1" t="s">
        <v>20</v>
      </c>
      <c r="R2363" s="1" t="s">
        <v>27</v>
      </c>
      <c r="S2363" s="1" t="s">
        <v>28</v>
      </c>
      <c r="T2363" s="1" t="s">
        <v>29</v>
      </c>
    </row>
    <row r="2364" customFormat="false" ht="18.7" hidden="false" customHeight="true" outlineLevel="0" collapsed="false">
      <c r="A2364" s="1" t="n">
        <v>2363</v>
      </c>
      <c r="B2364" s="6" t="str">
        <f aca="false">HYPERLINK("https://mncourtfraud.com/file/MCRO_27-CR-21-8511_Finding of Incompetency and Order_2023-11-01_20240430082010.pdf","MCRO_27-CR-21-8511_Finding of Incompetency and Order_2023-11-01_20240430082010.pdf")</f>
        <v>MCRO_27-CR-21-8511_Finding of Incompetency and Order_2023-11-01_20240430082010.pdf</v>
      </c>
      <c r="C2364" s="1" t="n">
        <v>7</v>
      </c>
      <c r="D2364" s="1" t="n">
        <v>2</v>
      </c>
      <c r="E2364" s="1" t="n">
        <v>2</v>
      </c>
      <c r="F2364" s="3" t="s">
        <v>20</v>
      </c>
      <c r="G2364" s="3" t="s">
        <v>9598</v>
      </c>
      <c r="H2364" s="1" t="s">
        <v>22</v>
      </c>
      <c r="I2364" s="1" t="n">
        <v>20240430082010</v>
      </c>
      <c r="J2364" s="3" t="s">
        <v>9599</v>
      </c>
      <c r="K2364" s="3" t="s">
        <v>9600</v>
      </c>
      <c r="L2364" s="3" t="s">
        <v>8998</v>
      </c>
      <c r="M2364" s="3" t="n">
        <v>924946</v>
      </c>
      <c r="N2364" s="3" t="s">
        <v>4961</v>
      </c>
      <c r="O2364" s="1" t="n">
        <v>908560</v>
      </c>
      <c r="P2364" s="1" t="n">
        <v>98.23</v>
      </c>
      <c r="Q2364" s="1" t="s">
        <v>20</v>
      </c>
      <c r="R2364" s="1" t="s">
        <v>27</v>
      </c>
      <c r="S2364" s="1" t="s">
        <v>28</v>
      </c>
      <c r="T2364" s="1" t="s">
        <v>29</v>
      </c>
    </row>
    <row r="2365" customFormat="false" ht="18.7" hidden="false" customHeight="true" outlineLevel="0" collapsed="false">
      <c r="A2365" s="1" t="n">
        <v>2364</v>
      </c>
      <c r="B2365" s="6" t="str">
        <f aca="false">HYPERLINK("https://mncourtfraud.com/file/MCRO_27-CR-21-8511_Findings and Order_2022-06-14_20240430082020.pdf","MCRO_27-CR-21-8511_Findings and Order_2022-06-14_20240430082020.pdf")</f>
        <v>MCRO_27-CR-21-8511_Findings and Order_2022-06-14_20240430082020.pdf</v>
      </c>
      <c r="C2365" s="1" t="n">
        <v>4</v>
      </c>
      <c r="D2365" s="1" t="n">
        <v>2</v>
      </c>
      <c r="E2365" s="1" t="n">
        <v>2</v>
      </c>
      <c r="F2365" s="3" t="s">
        <v>20</v>
      </c>
      <c r="G2365" s="3" t="s">
        <v>9601</v>
      </c>
      <c r="H2365" s="1" t="s">
        <v>22</v>
      </c>
      <c r="I2365" s="1" t="n">
        <v>20240430082020</v>
      </c>
      <c r="J2365" s="3" t="s">
        <v>9602</v>
      </c>
      <c r="K2365" s="3" t="s">
        <v>9603</v>
      </c>
      <c r="L2365" s="3" t="s">
        <v>8873</v>
      </c>
      <c r="M2365" s="3" t="n">
        <v>302601</v>
      </c>
      <c r="N2365" s="3" t="s">
        <v>3832</v>
      </c>
      <c r="O2365" s="1" t="n">
        <v>286215</v>
      </c>
      <c r="P2365" s="1" t="n">
        <v>94.58</v>
      </c>
      <c r="Q2365" s="1" t="s">
        <v>20</v>
      </c>
      <c r="R2365" s="1" t="s">
        <v>27</v>
      </c>
      <c r="S2365" s="1" t="s">
        <v>28</v>
      </c>
      <c r="T2365" s="1" t="s">
        <v>29</v>
      </c>
    </row>
    <row r="2366" customFormat="false" ht="18.7" hidden="false" customHeight="true" outlineLevel="0" collapsed="false">
      <c r="A2366" s="1" t="n">
        <v>2365</v>
      </c>
      <c r="B2366" s="6" t="str">
        <f aca="false">HYPERLINK("https://mncourtfraud.com/file/MCRO_27-CR-21-8511_Law Enforcement Notice of Release and Appearance_2021-11-09_20240430082024.pdf","MCRO_27-CR-21-8511_Law Enforcement Notice of Release and Appearance_2021-11-09_20240430082024.pdf")</f>
        <v>MCRO_27-CR-21-8511_Law Enforcement Notice of Release and Appearance_2021-11-09_20240430082024.pdf</v>
      </c>
      <c r="C2366" s="1" t="n">
        <v>4</v>
      </c>
      <c r="D2366" s="1" t="n">
        <v>1</v>
      </c>
      <c r="E2366" s="1" t="n">
        <v>1</v>
      </c>
      <c r="F2366" s="3" t="s">
        <v>20</v>
      </c>
      <c r="G2366" s="3" t="s">
        <v>9604</v>
      </c>
      <c r="H2366" s="1" t="s">
        <v>22</v>
      </c>
      <c r="I2366" s="1" t="n">
        <v>20240430082024</v>
      </c>
      <c r="J2366" s="3" t="s">
        <v>9605</v>
      </c>
      <c r="K2366" s="3" t="s">
        <v>9606</v>
      </c>
      <c r="L2366" s="3" t="s">
        <v>9607</v>
      </c>
      <c r="M2366" s="3" t="n">
        <v>134891</v>
      </c>
      <c r="N2366" s="3" t="s">
        <v>456</v>
      </c>
      <c r="O2366" s="1" t="n">
        <v>118505</v>
      </c>
      <c r="P2366" s="1" t="n">
        <v>87.85</v>
      </c>
      <c r="Q2366" s="1" t="s">
        <v>20</v>
      </c>
      <c r="R2366" s="1" t="s">
        <v>27</v>
      </c>
      <c r="S2366" s="1" t="s">
        <v>28</v>
      </c>
      <c r="T2366" s="1" t="s">
        <v>29</v>
      </c>
    </row>
    <row r="2367" customFormat="false" ht="18.7" hidden="false" customHeight="true" outlineLevel="0" collapsed="false">
      <c r="A2367" s="1" t="n">
        <v>2366</v>
      </c>
      <c r="B2367" s="6" t="str">
        <f aca="false">HYPERLINK("https://mncourtfraud.com/file/MCRO_27-CR-21-8511_Notice of Case Reassignment_2022-04-01_20240430082021.pdf","MCRO_27-CR-21-8511_Notice of Case Reassignment_2022-04-01_20240430082021.pdf")</f>
        <v>MCRO_27-CR-21-8511_Notice of Case Reassignment_2022-04-01_20240430082021.pdf</v>
      </c>
      <c r="C2367" s="1" t="n">
        <v>4</v>
      </c>
      <c r="D2367" s="1" t="n">
        <v>1</v>
      </c>
      <c r="E2367" s="1" t="n">
        <v>1</v>
      </c>
      <c r="F2367" s="3" t="s">
        <v>20</v>
      </c>
      <c r="G2367" s="3" t="s">
        <v>9608</v>
      </c>
      <c r="H2367" s="1" t="s">
        <v>22</v>
      </c>
      <c r="I2367" s="1" t="n">
        <v>20240430082021</v>
      </c>
      <c r="J2367" s="3" t="s">
        <v>9609</v>
      </c>
      <c r="K2367" s="3" t="s">
        <v>9610</v>
      </c>
      <c r="L2367" s="3" t="s">
        <v>9611</v>
      </c>
      <c r="M2367" s="3" t="n">
        <v>96328</v>
      </c>
      <c r="N2367" s="3" t="s">
        <v>456</v>
      </c>
      <c r="O2367" s="1" t="n">
        <v>79942</v>
      </c>
      <c r="P2367" s="1" t="n">
        <v>82.99</v>
      </c>
      <c r="Q2367" s="1" t="s">
        <v>20</v>
      </c>
      <c r="R2367" s="1" t="s">
        <v>27</v>
      </c>
      <c r="S2367" s="1" t="s">
        <v>28</v>
      </c>
      <c r="T2367" s="1" t="s">
        <v>29</v>
      </c>
    </row>
    <row r="2368" customFormat="false" ht="18.7" hidden="false" customHeight="true" outlineLevel="0" collapsed="false">
      <c r="A2368" s="1" t="n">
        <v>2367</v>
      </c>
      <c r="B2368" s="6" t="str">
        <f aca="false">HYPERLINK("https://mncourtfraud.com/file/MCRO_27-CR-21-8511_Notice of Case Reassignment_2023-01-13_20240430082017.pdf","MCRO_27-CR-21-8511_Notice of Case Reassignment_2023-01-13_20240430082017.pdf")</f>
        <v>MCRO_27-CR-21-8511_Notice of Case Reassignment_2023-01-13_20240430082017.pdf</v>
      </c>
      <c r="C2368" s="1" t="n">
        <v>4</v>
      </c>
      <c r="D2368" s="1" t="n">
        <v>1</v>
      </c>
      <c r="E2368" s="1" t="n">
        <v>1</v>
      </c>
      <c r="F2368" s="3" t="s">
        <v>20</v>
      </c>
      <c r="G2368" s="3" t="s">
        <v>9612</v>
      </c>
      <c r="H2368" s="1" t="s">
        <v>22</v>
      </c>
      <c r="I2368" s="1" t="n">
        <v>20240430082017</v>
      </c>
      <c r="J2368" s="3" t="s">
        <v>9613</v>
      </c>
      <c r="K2368" s="3" t="s">
        <v>9614</v>
      </c>
      <c r="L2368" s="3" t="s">
        <v>9615</v>
      </c>
      <c r="M2368" s="3" t="n">
        <v>301140</v>
      </c>
      <c r="N2368" s="3" t="s">
        <v>158</v>
      </c>
      <c r="O2368" s="1" t="n">
        <v>284754</v>
      </c>
      <c r="P2368" s="1" t="n">
        <v>94.56</v>
      </c>
      <c r="Q2368" s="1" t="s">
        <v>20</v>
      </c>
      <c r="R2368" s="1" t="s">
        <v>27</v>
      </c>
      <c r="S2368" s="1" t="s">
        <v>28</v>
      </c>
      <c r="T2368" s="1" t="s">
        <v>29</v>
      </c>
    </row>
    <row r="2369" customFormat="false" ht="18.7" hidden="false" customHeight="true" outlineLevel="0" collapsed="false">
      <c r="A2369" s="1" t="n">
        <v>2368</v>
      </c>
      <c r="B2369" s="6" t="str">
        <f aca="false">HYPERLINK("https://mncourtfraud.com/file/MCRO_27-CR-21-8511_Notice of Intent to Prosecute_2022-06-14_20240430082019.pdf","MCRO_27-CR-21-8511_Notice of Intent to Prosecute_2022-06-14_20240430082019.pdf")</f>
        <v>MCRO_27-CR-21-8511_Notice of Intent to Prosecute_2022-06-14_20240430082019.pdf</v>
      </c>
      <c r="C2369" s="1" t="n">
        <v>3</v>
      </c>
      <c r="D2369" s="1" t="n">
        <v>1</v>
      </c>
      <c r="E2369" s="1" t="n">
        <v>1</v>
      </c>
      <c r="F2369" s="3" t="s">
        <v>20</v>
      </c>
      <c r="G2369" s="3" t="s">
        <v>9616</v>
      </c>
      <c r="H2369" s="1" t="s">
        <v>22</v>
      </c>
      <c r="I2369" s="1" t="n">
        <v>20240430082019</v>
      </c>
      <c r="J2369" s="3" t="s">
        <v>9617</v>
      </c>
      <c r="K2369" s="3" t="s">
        <v>9618</v>
      </c>
      <c r="L2369" s="3" t="s">
        <v>9619</v>
      </c>
      <c r="M2369" s="3" t="n">
        <v>135884</v>
      </c>
      <c r="N2369" s="3" t="s">
        <v>2777</v>
      </c>
      <c r="O2369" s="1" t="n">
        <v>119498</v>
      </c>
      <c r="P2369" s="1" t="n">
        <v>87.94</v>
      </c>
      <c r="Q2369" s="1" t="s">
        <v>20</v>
      </c>
      <c r="R2369" s="1" t="s">
        <v>27</v>
      </c>
      <c r="S2369" s="1" t="s">
        <v>28</v>
      </c>
      <c r="T2369" s="1" t="s">
        <v>29</v>
      </c>
    </row>
    <row r="2370" customFormat="false" ht="18.7" hidden="false" customHeight="true" outlineLevel="0" collapsed="false">
      <c r="A2370" s="1" t="n">
        <v>2369</v>
      </c>
      <c r="B2370" s="6" t="str">
        <f aca="false">HYPERLINK("https://mncourtfraud.com/file/MCRO_27-CR-21-8511_Notice of Remote Hearing with Instructions_2021-05-03_20240430082030.pdf","MCRO_27-CR-21-8511_Notice of Remote Hearing with Instructions_2021-05-03_20240430082030.pdf")</f>
        <v>MCRO_27-CR-21-8511_Notice of Remote Hearing with Instructions_2021-05-03_20240430082030.pdf</v>
      </c>
      <c r="C2370" s="1" t="n">
        <v>5</v>
      </c>
      <c r="D2370" s="1" t="n">
        <v>1</v>
      </c>
      <c r="E2370" s="1" t="n">
        <v>1</v>
      </c>
      <c r="F2370" s="3" t="s">
        <v>20</v>
      </c>
      <c r="G2370" s="3" t="s">
        <v>9620</v>
      </c>
      <c r="H2370" s="1" t="s">
        <v>22</v>
      </c>
      <c r="I2370" s="1" t="n">
        <v>20240430082030</v>
      </c>
      <c r="J2370" s="3" t="s">
        <v>9621</v>
      </c>
      <c r="K2370" s="3" t="s">
        <v>9622</v>
      </c>
      <c r="L2370" s="3" t="s">
        <v>9623</v>
      </c>
      <c r="M2370" s="3" t="n">
        <v>1273787</v>
      </c>
      <c r="N2370" s="3" t="s">
        <v>1584</v>
      </c>
      <c r="O2370" s="1" t="n">
        <v>1257401</v>
      </c>
      <c r="P2370" s="1" t="n">
        <v>98.71</v>
      </c>
      <c r="Q2370" s="1" t="s">
        <v>20</v>
      </c>
      <c r="R2370" s="1" t="s">
        <v>27</v>
      </c>
      <c r="S2370" s="1" t="s">
        <v>28</v>
      </c>
      <c r="T2370" s="1" t="s">
        <v>29</v>
      </c>
    </row>
    <row r="2371" customFormat="false" ht="18.7" hidden="false" customHeight="true" outlineLevel="0" collapsed="false">
      <c r="A2371" s="1" t="n">
        <v>2370</v>
      </c>
      <c r="B2371" s="6" t="str">
        <f aca="false">HYPERLINK("https://mncourtfraud.com/file/MCRO_27-CR-21-8511_Notice of Remote Hearing with Instructions_2021-07-28_20240430082026.pdf","MCRO_27-CR-21-8511_Notice of Remote Hearing with Instructions_2021-07-28_20240430082026.pdf")</f>
        <v>MCRO_27-CR-21-8511_Notice of Remote Hearing with Instructions_2021-07-28_20240430082026.pdf</v>
      </c>
      <c r="C2371" s="1" t="n">
        <v>4</v>
      </c>
      <c r="D2371" s="1" t="n">
        <v>1</v>
      </c>
      <c r="E2371" s="1" t="n">
        <v>1</v>
      </c>
      <c r="F2371" s="3" t="s">
        <v>20</v>
      </c>
      <c r="G2371" s="3" t="s">
        <v>9624</v>
      </c>
      <c r="H2371" s="1" t="s">
        <v>22</v>
      </c>
      <c r="I2371" s="1" t="n">
        <v>20240430082026</v>
      </c>
      <c r="J2371" s="3" t="s">
        <v>9625</v>
      </c>
      <c r="K2371" s="3" t="s">
        <v>9626</v>
      </c>
      <c r="L2371" s="3" t="s">
        <v>9627</v>
      </c>
      <c r="M2371" s="3" t="n">
        <v>162977</v>
      </c>
      <c r="N2371" s="3" t="s">
        <v>1065</v>
      </c>
      <c r="O2371" s="1" t="n">
        <v>146591</v>
      </c>
      <c r="P2371" s="1" t="n">
        <v>89.95</v>
      </c>
      <c r="Q2371" s="1" t="s">
        <v>20</v>
      </c>
      <c r="R2371" s="1" t="s">
        <v>27</v>
      </c>
      <c r="S2371" s="1" t="s">
        <v>28</v>
      </c>
      <c r="T2371" s="1" t="s">
        <v>29</v>
      </c>
    </row>
    <row r="2372" customFormat="false" ht="18.7" hidden="false" customHeight="true" outlineLevel="0" collapsed="false">
      <c r="A2372" s="1" t="n">
        <v>2371</v>
      </c>
      <c r="B2372" s="6" t="str">
        <f aca="false">HYPERLINK("https://mncourtfraud.com/file/MCRO_27-CR-21-8511_Notice of Remote Hearing with Instructions_2021-11-09_20240430082025.pdf","MCRO_27-CR-21-8511_Notice of Remote Hearing with Instructions_2021-11-09_20240430082025.pdf")</f>
        <v>MCRO_27-CR-21-8511_Notice of Remote Hearing with Instructions_2021-11-09_20240430082025.pdf</v>
      </c>
      <c r="C2372" s="1" t="n">
        <v>5</v>
      </c>
      <c r="D2372" s="1" t="n">
        <v>1</v>
      </c>
      <c r="E2372" s="1" t="n">
        <v>1</v>
      </c>
      <c r="F2372" s="3" t="s">
        <v>20</v>
      </c>
      <c r="G2372" s="3" t="s">
        <v>9628</v>
      </c>
      <c r="H2372" s="1" t="s">
        <v>22</v>
      </c>
      <c r="I2372" s="1" t="n">
        <v>20240430082025</v>
      </c>
      <c r="J2372" s="3" t="s">
        <v>9629</v>
      </c>
      <c r="K2372" s="3" t="s">
        <v>9630</v>
      </c>
      <c r="L2372" s="3" t="s">
        <v>9631</v>
      </c>
      <c r="M2372" s="3" t="n">
        <v>908736</v>
      </c>
      <c r="N2372" s="3" t="s">
        <v>1239</v>
      </c>
      <c r="O2372" s="1" t="n">
        <v>892350</v>
      </c>
      <c r="P2372" s="1" t="n">
        <v>98.2</v>
      </c>
      <c r="Q2372" s="1" t="s">
        <v>20</v>
      </c>
      <c r="R2372" s="1" t="s">
        <v>27</v>
      </c>
      <c r="S2372" s="1" t="s">
        <v>28</v>
      </c>
      <c r="T2372" s="1" t="s">
        <v>29</v>
      </c>
    </row>
    <row r="2373" customFormat="false" ht="18.7" hidden="false" customHeight="true" outlineLevel="0" collapsed="false">
      <c r="A2373" s="1" t="n">
        <v>2372</v>
      </c>
      <c r="B2373" s="6" t="str">
        <f aca="false">HYPERLINK("https://mncourtfraud.com/file/MCRO_27-CR-21-8511_Notice of Remote Hearing with Instructions_2021-12-08_20240430082023.pdf","MCRO_27-CR-21-8511_Notice of Remote Hearing with Instructions_2021-12-08_20240430082023.pdf")</f>
        <v>MCRO_27-CR-21-8511_Notice of Remote Hearing with Instructions_2021-12-08_20240430082023.pdf</v>
      </c>
      <c r="C2373" s="1" t="n">
        <v>4</v>
      </c>
      <c r="D2373" s="1" t="n">
        <v>1</v>
      </c>
      <c r="E2373" s="1" t="n">
        <v>1</v>
      </c>
      <c r="F2373" s="3" t="s">
        <v>20</v>
      </c>
      <c r="G2373" s="3" t="s">
        <v>9632</v>
      </c>
      <c r="H2373" s="1" t="s">
        <v>22</v>
      </c>
      <c r="I2373" s="1" t="n">
        <v>20240430082023</v>
      </c>
      <c r="J2373" s="3" t="s">
        <v>9633</v>
      </c>
      <c r="K2373" s="3" t="s">
        <v>9634</v>
      </c>
      <c r="L2373" s="3" t="s">
        <v>9635</v>
      </c>
      <c r="M2373" s="3" t="n">
        <v>159806</v>
      </c>
      <c r="N2373" s="3" t="s">
        <v>1065</v>
      </c>
      <c r="O2373" s="1" t="n">
        <v>143420</v>
      </c>
      <c r="P2373" s="1" t="n">
        <v>89.75</v>
      </c>
      <c r="Q2373" s="1" t="s">
        <v>20</v>
      </c>
      <c r="R2373" s="1" t="s">
        <v>27</v>
      </c>
      <c r="S2373" s="1" t="s">
        <v>28</v>
      </c>
      <c r="T2373" s="1" t="s">
        <v>29</v>
      </c>
    </row>
    <row r="2374" customFormat="false" ht="18.7" hidden="false" customHeight="true" outlineLevel="0" collapsed="false">
      <c r="A2374" s="1" t="n">
        <v>2373</v>
      </c>
      <c r="B2374" s="6" t="str">
        <f aca="false">HYPERLINK("https://mncourtfraud.com/file/MCRO_27-CR-21-8511_Order-Evaluation for Competency to Proceed (Rule 20.01)_2022-03-23_20240430082022.pdf","MCRO_27-CR-21-8511_Order-Evaluation for Competency to Proceed (Rule 20.01)_2022-03-23_20240430082022.pdf")</f>
        <v>MCRO_27-CR-21-8511_Order-Evaluation for Competency to Proceed (Rule 20.01)_2022-03-23_20240430082022.pdf</v>
      </c>
      <c r="C2374" s="1" t="n">
        <v>3</v>
      </c>
      <c r="D2374" s="1" t="n">
        <v>1</v>
      </c>
      <c r="E2374" s="1" t="n">
        <v>1</v>
      </c>
      <c r="F2374" s="3" t="s">
        <v>20</v>
      </c>
      <c r="G2374" s="3" t="s">
        <v>9636</v>
      </c>
      <c r="H2374" s="1" t="s">
        <v>22</v>
      </c>
      <c r="I2374" s="1" t="n">
        <v>20240430082022</v>
      </c>
      <c r="J2374" s="3" t="s">
        <v>9637</v>
      </c>
      <c r="K2374" s="3" t="s">
        <v>9638</v>
      </c>
      <c r="L2374" s="3" t="s">
        <v>9639</v>
      </c>
      <c r="M2374" s="3" t="n">
        <v>252787</v>
      </c>
      <c r="N2374" s="3" t="s">
        <v>2818</v>
      </c>
      <c r="O2374" s="1" t="n">
        <v>236401</v>
      </c>
      <c r="P2374" s="1" t="n">
        <v>93.52</v>
      </c>
      <c r="Q2374" s="1" t="s">
        <v>20</v>
      </c>
      <c r="R2374" s="1" t="s">
        <v>27</v>
      </c>
      <c r="S2374" s="1" t="s">
        <v>28</v>
      </c>
      <c r="T2374" s="1" t="s">
        <v>29</v>
      </c>
    </row>
    <row r="2375" customFormat="false" ht="18.7" hidden="false" customHeight="true" outlineLevel="0" collapsed="false">
      <c r="A2375" s="1" t="n">
        <v>2374</v>
      </c>
      <c r="B2375" s="6" t="str">
        <f aca="false">HYPERLINK("https://mncourtfraud.com/file/MCRO_27-CR-21-8511_Order-Evaluation for Competency to Proceed (Rule 20.01)_2022-10-06_20240430082018.pdf","MCRO_27-CR-21-8511_Order-Evaluation for Competency to Proceed (Rule 20.01)_2022-10-06_20240430082018.pdf")</f>
        <v>MCRO_27-CR-21-8511_Order-Evaluation for Competency to Proceed (Rule 20.01)_2022-10-06_20240430082018.pdf</v>
      </c>
      <c r="C2375" s="1" t="n">
        <v>5</v>
      </c>
      <c r="D2375" s="1" t="n">
        <v>1</v>
      </c>
      <c r="E2375" s="1" t="n">
        <v>1</v>
      </c>
      <c r="F2375" s="3" t="s">
        <v>20</v>
      </c>
      <c r="G2375" s="3" t="s">
        <v>9640</v>
      </c>
      <c r="H2375" s="1" t="s">
        <v>22</v>
      </c>
      <c r="I2375" s="1" t="n">
        <v>20240430082018</v>
      </c>
      <c r="J2375" s="3" t="s">
        <v>9641</v>
      </c>
      <c r="K2375" s="3" t="s">
        <v>9642</v>
      </c>
      <c r="L2375" s="3" t="s">
        <v>9643</v>
      </c>
      <c r="M2375" s="3" t="n">
        <v>791756</v>
      </c>
      <c r="N2375" s="3" t="s">
        <v>5856</v>
      </c>
      <c r="O2375" s="1" t="n">
        <v>775370</v>
      </c>
      <c r="P2375" s="1" t="n">
        <v>97.93</v>
      </c>
      <c r="Q2375" s="1" t="s">
        <v>20</v>
      </c>
      <c r="R2375" s="1" t="s">
        <v>27</v>
      </c>
      <c r="S2375" s="1" t="s">
        <v>28</v>
      </c>
      <c r="T2375" s="1" t="s">
        <v>29</v>
      </c>
    </row>
    <row r="2376" customFormat="false" ht="18.7" hidden="false" customHeight="true" outlineLevel="0" collapsed="false">
      <c r="A2376" s="1" t="n">
        <v>2375</v>
      </c>
      <c r="B2376" s="6" t="str">
        <f aca="false">HYPERLINK("https://mncourtfraud.com/file/MCRO_27-CR-21-8511_Order-Evaluation for Competency to Proceed (Rule 20.01)_2023-02-21_20240430082016.pdf","MCRO_27-CR-21-8511_Order-Evaluation for Competency to Proceed (Rule 20.01)_2023-02-21_20240430082016.pdf")</f>
        <v>MCRO_27-CR-21-8511_Order-Evaluation for Competency to Proceed (Rule 20.01)_2023-02-21_20240430082016.pdf</v>
      </c>
      <c r="C2376" s="1" t="n">
        <v>3</v>
      </c>
      <c r="D2376" s="1" t="n">
        <v>1</v>
      </c>
      <c r="E2376" s="1" t="n">
        <v>1</v>
      </c>
      <c r="F2376" s="3" t="s">
        <v>20</v>
      </c>
      <c r="G2376" s="3" t="s">
        <v>9644</v>
      </c>
      <c r="H2376" s="1" t="s">
        <v>22</v>
      </c>
      <c r="I2376" s="1" t="n">
        <v>20240430082016</v>
      </c>
      <c r="J2376" s="3" t="s">
        <v>9645</v>
      </c>
      <c r="K2376" s="3" t="s">
        <v>9646</v>
      </c>
      <c r="L2376" s="3" t="s">
        <v>9647</v>
      </c>
      <c r="M2376" s="3" t="n">
        <v>192383</v>
      </c>
      <c r="N2376" s="3" t="s">
        <v>1266</v>
      </c>
      <c r="O2376" s="1" t="n">
        <v>175997</v>
      </c>
      <c r="P2376" s="1" t="n">
        <v>91.48</v>
      </c>
      <c r="Q2376" s="1" t="s">
        <v>20</v>
      </c>
      <c r="R2376" s="1" t="s">
        <v>27</v>
      </c>
      <c r="S2376" s="1" t="s">
        <v>28</v>
      </c>
      <c r="T2376" s="1" t="s">
        <v>29</v>
      </c>
    </row>
    <row r="2377" customFormat="false" ht="18.7" hidden="false" customHeight="true" outlineLevel="0" collapsed="false">
      <c r="A2377" s="1" t="n">
        <v>2376</v>
      </c>
      <c r="B2377" s="6" t="str">
        <f aca="false">HYPERLINK("https://mncourtfraud.com/file/MCRO_27-CR-21-8511_Order-Evaluation for Competency to Proceed (Rule 20.01)_2023-03-28_20240430082015.pdf","MCRO_27-CR-21-8511_Order-Evaluation for Competency to Proceed (Rule 20.01)_2023-03-28_20240430082015.pdf")</f>
        <v>MCRO_27-CR-21-8511_Order-Evaluation for Competency to Proceed (Rule 20.01)_2023-03-28_20240430082015.pdf</v>
      </c>
      <c r="C2377" s="1" t="n">
        <v>6</v>
      </c>
      <c r="D2377" s="1" t="n">
        <v>2</v>
      </c>
      <c r="E2377" s="1" t="n">
        <v>2</v>
      </c>
      <c r="F2377" s="3" t="s">
        <v>27</v>
      </c>
      <c r="G2377" s="3" t="s">
        <v>9648</v>
      </c>
      <c r="H2377" s="1" t="s">
        <v>22</v>
      </c>
      <c r="I2377" s="1" t="n">
        <v>20240430082015</v>
      </c>
      <c r="J2377" s="3" t="s">
        <v>9649</v>
      </c>
      <c r="K2377" s="3" t="s">
        <v>9650</v>
      </c>
      <c r="L2377" s="3" t="s">
        <v>9238</v>
      </c>
      <c r="M2377" s="3" t="n">
        <v>888436</v>
      </c>
      <c r="N2377" s="3" t="s">
        <v>559</v>
      </c>
      <c r="O2377" s="1" t="n">
        <v>872050</v>
      </c>
      <c r="P2377" s="1" t="n">
        <v>98.16</v>
      </c>
      <c r="Q2377" s="1" t="s">
        <v>20</v>
      </c>
      <c r="R2377" s="1" t="s">
        <v>27</v>
      </c>
      <c r="S2377" s="1" t="s">
        <v>28</v>
      </c>
      <c r="T2377" s="1" t="s">
        <v>29</v>
      </c>
    </row>
    <row r="2378" customFormat="false" ht="18.7" hidden="false" customHeight="true" outlineLevel="0" collapsed="false">
      <c r="A2378" s="1" t="n">
        <v>2377</v>
      </c>
      <c r="B2378" s="6" t="str">
        <f aca="false">HYPERLINK("https://mncourtfraud.com/file/MCRO_27-CR-21-8511_Order-Evaluation for Competency to Proceed (Rule 20.01)_2023-08-22_20240430082012.pdf","MCRO_27-CR-21-8511_Order-Evaluation for Competency to Proceed (Rule 20.01)_2023-08-22_20240430082012.pdf")</f>
        <v>MCRO_27-CR-21-8511_Order-Evaluation for Competency to Proceed (Rule 20.01)_2023-08-22_20240430082012.pdf</v>
      </c>
      <c r="C2378" s="1" t="n">
        <v>6</v>
      </c>
      <c r="D2378" s="1" t="n">
        <v>2</v>
      </c>
      <c r="E2378" s="1" t="n">
        <v>2</v>
      </c>
      <c r="F2378" s="3" t="s">
        <v>27</v>
      </c>
      <c r="G2378" s="3" t="s">
        <v>9651</v>
      </c>
      <c r="H2378" s="1" t="s">
        <v>22</v>
      </c>
      <c r="I2378" s="1" t="n">
        <v>20240430082012</v>
      </c>
      <c r="J2378" s="3" t="s">
        <v>9652</v>
      </c>
      <c r="K2378" s="3" t="s">
        <v>9653</v>
      </c>
      <c r="L2378" s="3" t="s">
        <v>9242</v>
      </c>
      <c r="M2378" s="3" t="n">
        <v>877453</v>
      </c>
      <c r="N2378" s="3" t="s">
        <v>554</v>
      </c>
      <c r="O2378" s="1" t="n">
        <v>861067</v>
      </c>
      <c r="P2378" s="1" t="n">
        <v>98.13</v>
      </c>
      <c r="Q2378" s="1" t="s">
        <v>20</v>
      </c>
      <c r="R2378" s="1" t="s">
        <v>27</v>
      </c>
      <c r="S2378" s="1" t="s">
        <v>28</v>
      </c>
      <c r="T2378" s="1" t="s">
        <v>29</v>
      </c>
    </row>
    <row r="2379" customFormat="false" ht="18.7" hidden="false" customHeight="true" outlineLevel="0" collapsed="false">
      <c r="A2379" s="1" t="n">
        <v>2378</v>
      </c>
      <c r="B2379" s="6" t="str">
        <f aca="false">HYPERLINK("https://mncourtfraud.com/file/MCRO_27-CR-21-8511_Other Document_2021-05-05_20240430082028.pdf","MCRO_27-CR-21-8511_Other Document_2021-05-05_20240430082028.pdf")</f>
        <v>MCRO_27-CR-21-8511_Other Document_2021-05-05_20240430082028.pdf</v>
      </c>
      <c r="C2379" s="1" t="n">
        <v>3</v>
      </c>
      <c r="D2379" s="1" t="n">
        <v>1</v>
      </c>
      <c r="E2379" s="1" t="n">
        <v>1</v>
      </c>
      <c r="F2379" s="3" t="s">
        <v>20</v>
      </c>
      <c r="G2379" s="3" t="s">
        <v>9654</v>
      </c>
      <c r="H2379" s="1" t="s">
        <v>22</v>
      </c>
      <c r="I2379" s="1" t="n">
        <v>20240430082028</v>
      </c>
      <c r="J2379" s="3" t="s">
        <v>9655</v>
      </c>
      <c r="K2379" s="3" t="s">
        <v>9656</v>
      </c>
      <c r="L2379" s="3" t="s">
        <v>9657</v>
      </c>
      <c r="M2379" s="3" t="n">
        <v>185739</v>
      </c>
      <c r="N2379" s="3" t="s">
        <v>1266</v>
      </c>
      <c r="O2379" s="1" t="n">
        <v>169353</v>
      </c>
      <c r="P2379" s="1" t="n">
        <v>91.18</v>
      </c>
      <c r="Q2379" s="1" t="s">
        <v>20</v>
      </c>
      <c r="R2379" s="1" t="s">
        <v>27</v>
      </c>
      <c r="S2379" s="1" t="s">
        <v>28</v>
      </c>
      <c r="T2379" s="1" t="s">
        <v>29</v>
      </c>
    </row>
    <row r="2380" customFormat="false" ht="18.7" hidden="false" customHeight="true" outlineLevel="0" collapsed="false">
      <c r="A2380" s="1" t="n">
        <v>2379</v>
      </c>
      <c r="B2380" s="6" t="str">
        <f aca="false">HYPERLINK("https://mncourtfraud.com/file/MCRO_27-CR-21-8511_Returned Mail_2021-05-12_20240430082027.pdf","MCRO_27-CR-21-8511_Returned Mail_2021-05-12_20240430082027.pdf")</f>
        <v>MCRO_27-CR-21-8511_Returned Mail_2021-05-12_20240430082027.pdf</v>
      </c>
      <c r="C2380" s="1" t="n">
        <v>4</v>
      </c>
      <c r="D2380" s="1" t="n">
        <v>1</v>
      </c>
      <c r="E2380" s="1" t="n">
        <v>1</v>
      </c>
      <c r="F2380" s="3" t="s">
        <v>20</v>
      </c>
      <c r="G2380" s="3" t="s">
        <v>9658</v>
      </c>
      <c r="H2380" s="1" t="s">
        <v>22</v>
      </c>
      <c r="I2380" s="1" t="n">
        <v>20240430082027</v>
      </c>
      <c r="J2380" s="3" t="s">
        <v>9659</v>
      </c>
      <c r="K2380" s="3" t="s">
        <v>9660</v>
      </c>
      <c r="L2380" s="3" t="s">
        <v>9661</v>
      </c>
      <c r="M2380" s="3" t="n">
        <v>104351</v>
      </c>
      <c r="N2380" s="3" t="s">
        <v>456</v>
      </c>
      <c r="O2380" s="1" t="n">
        <v>87965</v>
      </c>
      <c r="P2380" s="1" t="n">
        <v>84.3</v>
      </c>
      <c r="Q2380" s="1" t="s">
        <v>20</v>
      </c>
      <c r="R2380" s="1" t="s">
        <v>27</v>
      </c>
      <c r="S2380" s="1" t="s">
        <v>28</v>
      </c>
      <c r="T2380" s="1" t="s">
        <v>29</v>
      </c>
    </row>
    <row r="2381" customFormat="false" ht="18.7" hidden="false" customHeight="true" outlineLevel="0" collapsed="false">
      <c r="A2381" s="1" t="n">
        <v>2380</v>
      </c>
      <c r="B2381" s="6" t="str">
        <f aca="false">HYPERLINK("https://mncourtfraud.com/file/MCRO_27-CR-21-9235_Formal Complaint Filed_2021-05-28_20240430082142.pdf","MCRO_27-CR-21-9235_Formal Complaint Filed_2021-05-28_20240430082142.pdf")</f>
        <v>MCRO_27-CR-21-9235_Formal Complaint Filed_2021-05-28_20240430082142.pdf</v>
      </c>
      <c r="C2381" s="1" t="n">
        <v>5</v>
      </c>
      <c r="D2381" s="1" t="n">
        <v>1</v>
      </c>
      <c r="E2381" s="1" t="n">
        <v>1</v>
      </c>
      <c r="F2381" s="3" t="s">
        <v>20</v>
      </c>
      <c r="G2381" s="3" t="s">
        <v>9662</v>
      </c>
      <c r="H2381" s="1" t="s">
        <v>22</v>
      </c>
      <c r="I2381" s="1" t="n">
        <v>20240430082142</v>
      </c>
      <c r="J2381" s="3" t="s">
        <v>9663</v>
      </c>
      <c r="K2381" s="3" t="s">
        <v>9664</v>
      </c>
      <c r="L2381" s="3" t="s">
        <v>9665</v>
      </c>
      <c r="M2381" s="3" t="n">
        <v>1018820</v>
      </c>
      <c r="N2381" s="3" t="s">
        <v>3929</v>
      </c>
      <c r="O2381" s="1" t="n">
        <v>1002434</v>
      </c>
      <c r="P2381" s="1" t="n">
        <v>98.39</v>
      </c>
      <c r="Q2381" s="1" t="s">
        <v>20</v>
      </c>
      <c r="R2381" s="1" t="s">
        <v>27</v>
      </c>
      <c r="S2381" s="1" t="s">
        <v>28</v>
      </c>
      <c r="T2381" s="1" t="s">
        <v>29</v>
      </c>
    </row>
    <row r="2382" customFormat="false" ht="18.7" hidden="false" customHeight="true" outlineLevel="0" collapsed="false">
      <c r="A2382" s="1" t="n">
        <v>2381</v>
      </c>
      <c r="B2382" s="6" t="str">
        <f aca="false">HYPERLINK("https://mncourtfraud.com/file/MCRO_27-CR-21-9235_Law Enforcement Notice of Release and Appearance_2022-12-23_20240430082128.pdf","MCRO_27-CR-21-9235_Law Enforcement Notice of Release and Appearance_2022-12-23_20240430082128.pdf")</f>
        <v>MCRO_27-CR-21-9235_Law Enforcement Notice of Release and Appearance_2022-12-23_20240430082128.pdf</v>
      </c>
      <c r="C2382" s="1" t="n">
        <v>4</v>
      </c>
      <c r="D2382" s="1" t="n">
        <v>1</v>
      </c>
      <c r="E2382" s="1" t="n">
        <v>1</v>
      </c>
      <c r="F2382" s="3" t="s">
        <v>20</v>
      </c>
      <c r="G2382" s="3" t="s">
        <v>9666</v>
      </c>
      <c r="H2382" s="1" t="s">
        <v>22</v>
      </c>
      <c r="I2382" s="1" t="n">
        <v>20240430082128</v>
      </c>
      <c r="J2382" s="3" t="s">
        <v>9667</v>
      </c>
      <c r="K2382" s="3" t="s">
        <v>9668</v>
      </c>
      <c r="L2382" s="3" t="s">
        <v>9669</v>
      </c>
      <c r="M2382" s="3" t="n">
        <v>150812</v>
      </c>
      <c r="N2382" s="3" t="s">
        <v>435</v>
      </c>
      <c r="O2382" s="1" t="n">
        <v>134426</v>
      </c>
      <c r="P2382" s="1" t="n">
        <v>89.13</v>
      </c>
      <c r="Q2382" s="1" t="s">
        <v>20</v>
      </c>
      <c r="R2382" s="1" t="s">
        <v>27</v>
      </c>
      <c r="S2382" s="1" t="s">
        <v>28</v>
      </c>
      <c r="T2382" s="1" t="s">
        <v>29</v>
      </c>
    </row>
    <row r="2383" customFormat="false" ht="18.7" hidden="false" customHeight="true" outlineLevel="0" collapsed="false">
      <c r="A2383" s="1" t="n">
        <v>2382</v>
      </c>
      <c r="B2383" s="6" t="str">
        <f aca="false">HYPERLINK("https://mncourtfraud.com/file/MCRO_27-CR-21-9235_Non-Cash Bond Posted_2022-12-22_20240430082129.pdf","MCRO_27-CR-21-9235_Non-Cash Bond Posted_2022-12-22_20240430082129.pdf")</f>
        <v>MCRO_27-CR-21-9235_Non-Cash Bond Posted_2022-12-22_20240430082129.pdf</v>
      </c>
      <c r="C2383" s="1" t="n">
        <v>4</v>
      </c>
      <c r="D2383" s="1" t="n">
        <v>1</v>
      </c>
      <c r="E2383" s="1" t="n">
        <v>1</v>
      </c>
      <c r="F2383" s="3" t="s">
        <v>20</v>
      </c>
      <c r="G2383" s="3" t="s">
        <v>9670</v>
      </c>
      <c r="H2383" s="1" t="s">
        <v>22</v>
      </c>
      <c r="I2383" s="1" t="n">
        <v>20240430082129</v>
      </c>
      <c r="J2383" s="3" t="s">
        <v>9671</v>
      </c>
      <c r="K2383" s="3" t="s">
        <v>9672</v>
      </c>
      <c r="L2383" s="3" t="s">
        <v>9673</v>
      </c>
      <c r="M2383" s="3" t="n">
        <v>219895</v>
      </c>
      <c r="N2383" s="3" t="s">
        <v>1159</v>
      </c>
      <c r="O2383" s="1" t="n">
        <v>203509</v>
      </c>
      <c r="P2383" s="1" t="n">
        <v>92.55</v>
      </c>
      <c r="Q2383" s="1" t="s">
        <v>20</v>
      </c>
      <c r="R2383" s="1" t="s">
        <v>27</v>
      </c>
      <c r="S2383" s="1" t="s">
        <v>28</v>
      </c>
      <c r="T2383" s="1" t="s">
        <v>29</v>
      </c>
    </row>
    <row r="2384" customFormat="false" ht="18.7" hidden="false" customHeight="true" outlineLevel="0" collapsed="false">
      <c r="A2384" s="1" t="n">
        <v>2383</v>
      </c>
      <c r="B2384" s="6" t="str">
        <f aca="false">HYPERLINK("https://mncourtfraud.com/file/MCRO_27-CR-21-9235_Notice of Bond Forfeiture_2023-08-03_20240430082119.pdf","MCRO_27-CR-21-9235_Notice of Bond Forfeiture_2023-08-03_20240430082119.pdf")</f>
        <v>MCRO_27-CR-21-9235_Notice of Bond Forfeiture_2023-08-03_20240430082119.pdf</v>
      </c>
      <c r="C2384" s="1" t="n">
        <v>5</v>
      </c>
      <c r="D2384" s="1" t="n">
        <v>1</v>
      </c>
      <c r="E2384" s="1" t="n">
        <v>1</v>
      </c>
      <c r="F2384" s="3" t="s">
        <v>20</v>
      </c>
      <c r="G2384" s="3" t="s">
        <v>9674</v>
      </c>
      <c r="H2384" s="1" t="s">
        <v>22</v>
      </c>
      <c r="I2384" s="1" t="n">
        <v>20240430082119</v>
      </c>
      <c r="J2384" s="3" t="s">
        <v>9675</v>
      </c>
      <c r="K2384" s="3" t="s">
        <v>9676</v>
      </c>
      <c r="L2384" s="3" t="s">
        <v>9677</v>
      </c>
      <c r="M2384" s="3" t="n">
        <v>765663</v>
      </c>
      <c r="N2384" s="3" t="s">
        <v>3024</v>
      </c>
      <c r="O2384" s="1" t="n">
        <v>749277</v>
      </c>
      <c r="P2384" s="1" t="n">
        <v>97.86</v>
      </c>
      <c r="Q2384" s="1" t="s">
        <v>20</v>
      </c>
      <c r="R2384" s="1" t="s">
        <v>27</v>
      </c>
      <c r="S2384" s="1" t="s">
        <v>28</v>
      </c>
      <c r="T2384" s="1" t="s">
        <v>29</v>
      </c>
    </row>
    <row r="2385" customFormat="false" ht="18.7" hidden="false" customHeight="true" outlineLevel="0" collapsed="false">
      <c r="A2385" s="1" t="n">
        <v>2384</v>
      </c>
      <c r="B2385" s="6" t="str">
        <f aca="false">HYPERLINK("https://mncourtfraud.com/file/MCRO_27-CR-21-9235_Notice of Hearing_2022-05-23_20240430082132.pdf","MCRO_27-CR-21-9235_Notice of Hearing_2022-05-23_20240430082132.pdf")</f>
        <v>MCRO_27-CR-21-9235_Notice of Hearing_2022-05-23_20240430082132.pdf</v>
      </c>
      <c r="C2385" s="1" t="n">
        <v>4</v>
      </c>
      <c r="D2385" s="1" t="n">
        <v>1</v>
      </c>
      <c r="E2385" s="1" t="n">
        <v>1</v>
      </c>
      <c r="F2385" s="3" t="s">
        <v>20</v>
      </c>
      <c r="G2385" s="3" t="s">
        <v>9678</v>
      </c>
      <c r="H2385" s="1" t="s">
        <v>22</v>
      </c>
      <c r="I2385" s="1" t="n">
        <v>20240430082132</v>
      </c>
      <c r="J2385" s="3" t="s">
        <v>9679</v>
      </c>
      <c r="K2385" s="3" t="s">
        <v>9680</v>
      </c>
      <c r="L2385" s="3" t="s">
        <v>9681</v>
      </c>
      <c r="M2385" s="3" t="n">
        <v>684784</v>
      </c>
      <c r="N2385" s="3" t="s">
        <v>5873</v>
      </c>
      <c r="O2385" s="1" t="n">
        <v>668398</v>
      </c>
      <c r="P2385" s="1" t="n">
        <v>97.61</v>
      </c>
      <c r="Q2385" s="1" t="s">
        <v>20</v>
      </c>
      <c r="R2385" s="1" t="s">
        <v>27</v>
      </c>
      <c r="S2385" s="1" t="s">
        <v>28</v>
      </c>
      <c r="T2385" s="1" t="s">
        <v>29</v>
      </c>
    </row>
    <row r="2386" customFormat="false" ht="18.7" hidden="false" customHeight="true" outlineLevel="0" collapsed="false">
      <c r="A2386" s="1" t="n">
        <v>2385</v>
      </c>
      <c r="B2386" s="6" t="str">
        <f aca="false">HYPERLINK("https://mncourtfraud.com/file/MCRO_27-CR-21-9235_Notice of Hearing_2022-07-20_20240430082131.pdf","MCRO_27-CR-21-9235_Notice of Hearing_2022-07-20_20240430082131.pdf")</f>
        <v>MCRO_27-CR-21-9235_Notice of Hearing_2022-07-20_20240430082131.pdf</v>
      </c>
      <c r="C2386" s="1" t="n">
        <v>4</v>
      </c>
      <c r="D2386" s="1" t="n">
        <v>1</v>
      </c>
      <c r="E2386" s="1" t="n">
        <v>1</v>
      </c>
      <c r="F2386" s="3" t="s">
        <v>20</v>
      </c>
      <c r="G2386" s="3" t="s">
        <v>9682</v>
      </c>
      <c r="H2386" s="1" t="s">
        <v>22</v>
      </c>
      <c r="I2386" s="1" t="n">
        <v>20240430082131</v>
      </c>
      <c r="J2386" s="3" t="s">
        <v>9683</v>
      </c>
      <c r="K2386" s="3" t="s">
        <v>9684</v>
      </c>
      <c r="L2386" s="3" t="s">
        <v>9685</v>
      </c>
      <c r="M2386" s="3" t="n">
        <v>714326</v>
      </c>
      <c r="N2386" s="3" t="s">
        <v>936</v>
      </c>
      <c r="O2386" s="1" t="n">
        <v>697940</v>
      </c>
      <c r="P2386" s="1" t="n">
        <v>97.71</v>
      </c>
      <c r="Q2386" s="1" t="s">
        <v>20</v>
      </c>
      <c r="R2386" s="1" t="s">
        <v>27</v>
      </c>
      <c r="S2386" s="1" t="s">
        <v>28</v>
      </c>
      <c r="T2386" s="1" t="s">
        <v>29</v>
      </c>
    </row>
    <row r="2387" customFormat="false" ht="18.7" hidden="false" customHeight="true" outlineLevel="0" collapsed="false">
      <c r="A2387" s="1" t="n">
        <v>2386</v>
      </c>
      <c r="B2387" s="6" t="str">
        <f aca="false">HYPERLINK("https://mncourtfraud.com/file/MCRO_27-CR-21-9235_Notice of Hearing_2022-08-26_20240430082130.pdf","MCRO_27-CR-21-9235_Notice of Hearing_2022-08-26_20240430082130.pdf")</f>
        <v>MCRO_27-CR-21-9235_Notice of Hearing_2022-08-26_20240430082130.pdf</v>
      </c>
      <c r="C2387" s="1" t="n">
        <v>4</v>
      </c>
      <c r="D2387" s="1" t="n">
        <v>1</v>
      </c>
      <c r="E2387" s="1" t="n">
        <v>1</v>
      </c>
      <c r="F2387" s="3" t="s">
        <v>20</v>
      </c>
      <c r="G2387" s="3" t="s">
        <v>9686</v>
      </c>
      <c r="H2387" s="1" t="s">
        <v>22</v>
      </c>
      <c r="I2387" s="1" t="n">
        <v>20240430082130</v>
      </c>
      <c r="J2387" s="3" t="s">
        <v>9687</v>
      </c>
      <c r="K2387" s="3" t="s">
        <v>9688</v>
      </c>
      <c r="L2387" s="3" t="s">
        <v>9689</v>
      </c>
      <c r="M2387" s="3" t="n">
        <v>714291</v>
      </c>
      <c r="N2387" s="3" t="s">
        <v>936</v>
      </c>
      <c r="O2387" s="1" t="n">
        <v>697905</v>
      </c>
      <c r="P2387" s="1" t="n">
        <v>97.71</v>
      </c>
      <c r="Q2387" s="1" t="s">
        <v>20</v>
      </c>
      <c r="R2387" s="1" t="s">
        <v>27</v>
      </c>
      <c r="S2387" s="1" t="s">
        <v>28</v>
      </c>
      <c r="T2387" s="1" t="s">
        <v>29</v>
      </c>
    </row>
    <row r="2388" customFormat="false" ht="18.7" hidden="false" customHeight="true" outlineLevel="0" collapsed="false">
      <c r="A2388" s="1" t="n">
        <v>2387</v>
      </c>
      <c r="B2388" s="6" t="str">
        <f aca="false">HYPERLINK("https://mncourtfraud.com/file/MCRO_27-CR-21-9235_Notice of Hearing_2022-12-23_20240430082127.pdf","MCRO_27-CR-21-9235_Notice of Hearing_2022-12-23_20240430082127.pdf")</f>
        <v>MCRO_27-CR-21-9235_Notice of Hearing_2022-12-23_20240430082127.pdf</v>
      </c>
      <c r="C2388" s="1" t="n">
        <v>4</v>
      </c>
      <c r="D2388" s="1" t="n">
        <v>1</v>
      </c>
      <c r="E2388" s="1" t="n">
        <v>1</v>
      </c>
      <c r="F2388" s="3" t="s">
        <v>20</v>
      </c>
      <c r="G2388" s="3" t="s">
        <v>9690</v>
      </c>
      <c r="H2388" s="1" t="s">
        <v>22</v>
      </c>
      <c r="I2388" s="1" t="n">
        <v>20240430082127</v>
      </c>
      <c r="J2388" s="3" t="s">
        <v>9691</v>
      </c>
      <c r="K2388" s="3" t="s">
        <v>9692</v>
      </c>
      <c r="L2388" s="3" t="s">
        <v>9693</v>
      </c>
      <c r="M2388" s="3" t="n">
        <v>104567</v>
      </c>
      <c r="N2388" s="3" t="s">
        <v>435</v>
      </c>
      <c r="O2388" s="1" t="n">
        <v>88181</v>
      </c>
      <c r="P2388" s="1" t="n">
        <v>84.33</v>
      </c>
      <c r="Q2388" s="1" t="s">
        <v>20</v>
      </c>
      <c r="R2388" s="1" t="s">
        <v>27</v>
      </c>
      <c r="S2388" s="1" t="s">
        <v>28</v>
      </c>
      <c r="T2388" s="1" t="s">
        <v>29</v>
      </c>
    </row>
    <row r="2389" customFormat="false" ht="18.7" hidden="false" customHeight="true" outlineLevel="0" collapsed="false">
      <c r="A2389" s="1" t="n">
        <v>2388</v>
      </c>
      <c r="B2389" s="6" t="str">
        <f aca="false">HYPERLINK("https://mncourtfraud.com/file/MCRO_27-CR-21-9235_Notice of Hearing_2023-01-20_20240430082126.pdf","MCRO_27-CR-21-9235_Notice of Hearing_2023-01-20_20240430082126.pdf")</f>
        <v>MCRO_27-CR-21-9235_Notice of Hearing_2023-01-20_20240430082126.pdf</v>
      </c>
      <c r="C2389" s="1" t="n">
        <v>4</v>
      </c>
      <c r="D2389" s="1" t="n">
        <v>1</v>
      </c>
      <c r="E2389" s="1" t="n">
        <v>1</v>
      </c>
      <c r="F2389" s="3" t="s">
        <v>20</v>
      </c>
      <c r="G2389" s="3" t="s">
        <v>9694</v>
      </c>
      <c r="H2389" s="1" t="s">
        <v>22</v>
      </c>
      <c r="I2389" s="1" t="n">
        <v>20240430082126</v>
      </c>
      <c r="J2389" s="3" t="s">
        <v>9695</v>
      </c>
      <c r="K2389" s="3" t="s">
        <v>9696</v>
      </c>
      <c r="L2389" s="3" t="s">
        <v>9697</v>
      </c>
      <c r="M2389" s="3" t="n">
        <v>441935</v>
      </c>
      <c r="N2389" s="3" t="s">
        <v>158</v>
      </c>
      <c r="O2389" s="1" t="n">
        <v>425549</v>
      </c>
      <c r="P2389" s="1" t="n">
        <v>96.29</v>
      </c>
      <c r="Q2389" s="1" t="s">
        <v>20</v>
      </c>
      <c r="R2389" s="1" t="s">
        <v>27</v>
      </c>
      <c r="S2389" s="1" t="s">
        <v>28</v>
      </c>
      <c r="T2389" s="1" t="s">
        <v>29</v>
      </c>
    </row>
    <row r="2390" customFormat="false" ht="18.7" hidden="false" customHeight="true" outlineLevel="0" collapsed="false">
      <c r="A2390" s="1" t="n">
        <v>2389</v>
      </c>
      <c r="B2390" s="6" t="str">
        <f aca="false">HYPERLINK("https://mncourtfraud.com/file/MCRO_27-CR-21-9235_Notice of Hearing_2023-02-24_20240430082125.pdf","MCRO_27-CR-21-9235_Notice of Hearing_2023-02-24_20240430082125.pdf")</f>
        <v>MCRO_27-CR-21-9235_Notice of Hearing_2023-02-24_20240430082125.pdf</v>
      </c>
      <c r="C2390" s="1" t="n">
        <v>4</v>
      </c>
      <c r="D2390" s="1" t="n">
        <v>1</v>
      </c>
      <c r="E2390" s="1" t="n">
        <v>1</v>
      </c>
      <c r="F2390" s="3" t="s">
        <v>20</v>
      </c>
      <c r="G2390" s="3" t="s">
        <v>9698</v>
      </c>
      <c r="H2390" s="1" t="s">
        <v>22</v>
      </c>
      <c r="I2390" s="1" t="n">
        <v>20240430082125</v>
      </c>
      <c r="J2390" s="3" t="s">
        <v>9699</v>
      </c>
      <c r="K2390" s="3" t="s">
        <v>9700</v>
      </c>
      <c r="L2390" s="3" t="s">
        <v>9701</v>
      </c>
      <c r="M2390" s="3" t="n">
        <v>437075</v>
      </c>
      <c r="N2390" s="3" t="s">
        <v>158</v>
      </c>
      <c r="O2390" s="1" t="n">
        <v>420689</v>
      </c>
      <c r="P2390" s="1" t="n">
        <v>96.25</v>
      </c>
      <c r="Q2390" s="1" t="s">
        <v>20</v>
      </c>
      <c r="R2390" s="1" t="s">
        <v>27</v>
      </c>
      <c r="S2390" s="1" t="s">
        <v>28</v>
      </c>
      <c r="T2390" s="1" t="s">
        <v>29</v>
      </c>
    </row>
    <row r="2391" customFormat="false" ht="18.7" hidden="false" customHeight="true" outlineLevel="0" collapsed="false">
      <c r="A2391" s="1" t="n">
        <v>2390</v>
      </c>
      <c r="B2391" s="6" t="str">
        <f aca="false">HYPERLINK("https://mncourtfraud.com/file/MCRO_27-CR-21-9235_Notice of Hearing_2023-04-28_20240430082124.pdf","MCRO_27-CR-21-9235_Notice of Hearing_2023-04-28_20240430082124.pdf")</f>
        <v>MCRO_27-CR-21-9235_Notice of Hearing_2023-04-28_20240430082124.pdf</v>
      </c>
      <c r="C2391" s="1" t="n">
        <v>4</v>
      </c>
      <c r="D2391" s="1" t="n">
        <v>1</v>
      </c>
      <c r="E2391" s="1" t="n">
        <v>1</v>
      </c>
      <c r="F2391" s="3" t="s">
        <v>20</v>
      </c>
      <c r="G2391" s="3" t="s">
        <v>9702</v>
      </c>
      <c r="H2391" s="1" t="s">
        <v>22</v>
      </c>
      <c r="I2391" s="1" t="n">
        <v>20240430082124</v>
      </c>
      <c r="J2391" s="3" t="s">
        <v>9703</v>
      </c>
      <c r="K2391" s="3" t="s">
        <v>9704</v>
      </c>
      <c r="L2391" s="3" t="s">
        <v>9705</v>
      </c>
      <c r="M2391" s="3" t="n">
        <v>100335</v>
      </c>
      <c r="N2391" s="3" t="s">
        <v>435</v>
      </c>
      <c r="O2391" s="1" t="n">
        <v>83949</v>
      </c>
      <c r="P2391" s="1" t="n">
        <v>83.67</v>
      </c>
      <c r="Q2391" s="1" t="s">
        <v>20</v>
      </c>
      <c r="R2391" s="1" t="s">
        <v>27</v>
      </c>
      <c r="S2391" s="1" t="s">
        <v>28</v>
      </c>
      <c r="T2391" s="1" t="s">
        <v>29</v>
      </c>
    </row>
    <row r="2392" customFormat="false" ht="18.7" hidden="false" customHeight="true" outlineLevel="0" collapsed="false">
      <c r="A2392" s="1" t="n">
        <v>2391</v>
      </c>
      <c r="B2392" s="6" t="str">
        <f aca="false">HYPERLINK("https://mncourtfraud.com/file/MCRO_27-CR-21-9235_Notice of Hearing_2023-05-12_20240430082123.pdf","MCRO_27-CR-21-9235_Notice of Hearing_2023-05-12_20240430082123.pdf")</f>
        <v>MCRO_27-CR-21-9235_Notice of Hearing_2023-05-12_20240430082123.pdf</v>
      </c>
      <c r="C2392" s="1" t="n">
        <v>4</v>
      </c>
      <c r="D2392" s="1" t="n">
        <v>1</v>
      </c>
      <c r="E2392" s="1" t="n">
        <v>1</v>
      </c>
      <c r="F2392" s="3" t="s">
        <v>20</v>
      </c>
      <c r="G2392" s="3" t="s">
        <v>9706</v>
      </c>
      <c r="H2392" s="1" t="s">
        <v>22</v>
      </c>
      <c r="I2392" s="1" t="n">
        <v>20240430082123</v>
      </c>
      <c r="J2392" s="3" t="s">
        <v>9707</v>
      </c>
      <c r="K2392" s="3" t="s">
        <v>9708</v>
      </c>
      <c r="L2392" s="3" t="s">
        <v>9709</v>
      </c>
      <c r="M2392" s="3" t="n">
        <v>104808</v>
      </c>
      <c r="N2392" s="3" t="s">
        <v>435</v>
      </c>
      <c r="O2392" s="1" t="n">
        <v>88422</v>
      </c>
      <c r="P2392" s="1" t="n">
        <v>84.37</v>
      </c>
      <c r="Q2392" s="1" t="s">
        <v>20</v>
      </c>
      <c r="R2392" s="1" t="s">
        <v>27</v>
      </c>
      <c r="S2392" s="1" t="s">
        <v>28</v>
      </c>
      <c r="T2392" s="1" t="s">
        <v>29</v>
      </c>
    </row>
    <row r="2393" customFormat="false" ht="18.7" hidden="false" customHeight="true" outlineLevel="0" collapsed="false">
      <c r="A2393" s="1" t="n">
        <v>2392</v>
      </c>
      <c r="B2393" s="6" t="str">
        <f aca="false">HYPERLINK("https://mncourtfraud.com/file/MCRO_27-CR-21-9235_Notice of Hearing_2023-08-21_20240430082116.pdf","MCRO_27-CR-21-9235_Notice of Hearing_2023-08-21_20240430082116.pdf")</f>
        <v>MCRO_27-CR-21-9235_Notice of Hearing_2023-08-21_20240430082116.pdf</v>
      </c>
      <c r="C2393" s="1" t="n">
        <v>4</v>
      </c>
      <c r="D2393" s="1" t="n">
        <v>1</v>
      </c>
      <c r="E2393" s="1" t="n">
        <v>1</v>
      </c>
      <c r="F2393" s="3" t="s">
        <v>20</v>
      </c>
      <c r="G2393" s="3" t="s">
        <v>9710</v>
      </c>
      <c r="H2393" s="1" t="s">
        <v>22</v>
      </c>
      <c r="I2393" s="1" t="n">
        <v>20240430082116</v>
      </c>
      <c r="J2393" s="3" t="s">
        <v>9711</v>
      </c>
      <c r="K2393" s="3" t="s">
        <v>9712</v>
      </c>
      <c r="L2393" s="3" t="s">
        <v>9713</v>
      </c>
      <c r="M2393" s="3" t="n">
        <v>103442</v>
      </c>
      <c r="N2393" s="3" t="s">
        <v>435</v>
      </c>
      <c r="O2393" s="1" t="n">
        <v>87056</v>
      </c>
      <c r="P2393" s="1" t="n">
        <v>84.16</v>
      </c>
      <c r="Q2393" s="1" t="s">
        <v>20</v>
      </c>
      <c r="R2393" s="1" t="s">
        <v>27</v>
      </c>
      <c r="S2393" s="1" t="s">
        <v>28</v>
      </c>
      <c r="T2393" s="1" t="s">
        <v>29</v>
      </c>
    </row>
    <row r="2394" customFormat="false" ht="18.7" hidden="false" customHeight="true" outlineLevel="0" collapsed="false">
      <c r="A2394" s="1" t="n">
        <v>2393</v>
      </c>
      <c r="B2394" s="6" t="str">
        <f aca="false">HYPERLINK("https://mncourtfraud.com/file/MCRO_27-CR-21-9235_Notice of Hearing_2023-08-23_20240430082113.pdf","MCRO_27-CR-21-9235_Notice of Hearing_2023-08-23_20240430082113.pdf")</f>
        <v>MCRO_27-CR-21-9235_Notice of Hearing_2023-08-23_20240430082113.pdf</v>
      </c>
      <c r="C2394" s="1" t="n">
        <v>4</v>
      </c>
      <c r="D2394" s="1" t="n">
        <v>1</v>
      </c>
      <c r="E2394" s="1" t="n">
        <v>1</v>
      </c>
      <c r="F2394" s="3" t="s">
        <v>20</v>
      </c>
      <c r="G2394" s="3" t="s">
        <v>9714</v>
      </c>
      <c r="H2394" s="1" t="s">
        <v>22</v>
      </c>
      <c r="I2394" s="1" t="n">
        <v>20240430082113</v>
      </c>
      <c r="J2394" s="3" t="s">
        <v>9715</v>
      </c>
      <c r="K2394" s="3" t="s">
        <v>9716</v>
      </c>
      <c r="L2394" s="3" t="s">
        <v>9717</v>
      </c>
      <c r="M2394" s="3" t="n">
        <v>422267</v>
      </c>
      <c r="N2394" s="3" t="s">
        <v>158</v>
      </c>
      <c r="O2394" s="1" t="n">
        <v>405881</v>
      </c>
      <c r="P2394" s="1" t="n">
        <v>96.12</v>
      </c>
      <c r="Q2394" s="1" t="s">
        <v>20</v>
      </c>
      <c r="R2394" s="1" t="s">
        <v>27</v>
      </c>
      <c r="S2394" s="1" t="s">
        <v>28</v>
      </c>
      <c r="T2394" s="1" t="s">
        <v>29</v>
      </c>
    </row>
    <row r="2395" customFormat="false" ht="18.7" hidden="false" customHeight="true" outlineLevel="0" collapsed="false">
      <c r="A2395" s="1" t="n">
        <v>2394</v>
      </c>
      <c r="B2395" s="6" t="str">
        <f aca="false">HYPERLINK("https://mncourtfraud.com/file/MCRO_27-CR-21-9235_Notice of Hearing_2023-11-28_20240430082106.pdf","MCRO_27-CR-21-9235_Notice of Hearing_2023-11-28_20240430082106.pdf")</f>
        <v>MCRO_27-CR-21-9235_Notice of Hearing_2023-11-28_20240430082106.pdf</v>
      </c>
      <c r="C2395" s="1" t="n">
        <v>5</v>
      </c>
      <c r="D2395" s="1" t="n">
        <v>1</v>
      </c>
      <c r="E2395" s="1" t="n">
        <v>1</v>
      </c>
      <c r="F2395" s="3" t="s">
        <v>20</v>
      </c>
      <c r="G2395" s="3" t="s">
        <v>9718</v>
      </c>
      <c r="H2395" s="1" t="s">
        <v>22</v>
      </c>
      <c r="I2395" s="1" t="n">
        <v>20240430082106</v>
      </c>
      <c r="J2395" s="3" t="s">
        <v>9719</v>
      </c>
      <c r="K2395" s="3" t="s">
        <v>9720</v>
      </c>
      <c r="L2395" s="3" t="s">
        <v>9721</v>
      </c>
      <c r="M2395" s="3" t="n">
        <v>729078</v>
      </c>
      <c r="N2395" s="3" t="s">
        <v>1278</v>
      </c>
      <c r="O2395" s="1" t="n">
        <v>712692</v>
      </c>
      <c r="P2395" s="1" t="n">
        <v>97.75</v>
      </c>
      <c r="Q2395" s="1" t="s">
        <v>20</v>
      </c>
      <c r="R2395" s="1" t="s">
        <v>27</v>
      </c>
      <c r="S2395" s="1" t="s">
        <v>28</v>
      </c>
      <c r="T2395" s="1" t="s">
        <v>29</v>
      </c>
    </row>
    <row r="2396" customFormat="false" ht="18.7" hidden="false" customHeight="true" outlineLevel="0" collapsed="false">
      <c r="A2396" s="1" t="n">
        <v>2395</v>
      </c>
      <c r="B2396" s="6" t="str">
        <f aca="false">HYPERLINK("https://mncourtfraud.com/file/MCRO_27-CR-21-9235_Notice of Hearing_2023-12-19_20240430082103.pdf","MCRO_27-CR-21-9235_Notice of Hearing_2023-12-19_20240430082103.pdf")</f>
        <v>MCRO_27-CR-21-9235_Notice of Hearing_2023-12-19_20240430082103.pdf</v>
      </c>
      <c r="C2396" s="1" t="n">
        <v>5</v>
      </c>
      <c r="D2396" s="1" t="n">
        <v>1</v>
      </c>
      <c r="E2396" s="1" t="n">
        <v>1</v>
      </c>
      <c r="F2396" s="3" t="s">
        <v>20</v>
      </c>
      <c r="G2396" s="3" t="s">
        <v>9722</v>
      </c>
      <c r="H2396" s="1" t="s">
        <v>22</v>
      </c>
      <c r="I2396" s="1" t="n">
        <v>20240430082103</v>
      </c>
      <c r="J2396" s="3" t="s">
        <v>9723</v>
      </c>
      <c r="K2396" s="3" t="s">
        <v>9724</v>
      </c>
      <c r="L2396" s="3" t="s">
        <v>9725</v>
      </c>
      <c r="M2396" s="3" t="n">
        <v>729020</v>
      </c>
      <c r="N2396" s="3" t="s">
        <v>1278</v>
      </c>
      <c r="O2396" s="1" t="n">
        <v>712634</v>
      </c>
      <c r="P2396" s="1" t="n">
        <v>97.75</v>
      </c>
      <c r="Q2396" s="1" t="s">
        <v>20</v>
      </c>
      <c r="R2396" s="1" t="s">
        <v>27</v>
      </c>
      <c r="S2396" s="1" t="s">
        <v>28</v>
      </c>
      <c r="T2396" s="1" t="s">
        <v>29</v>
      </c>
    </row>
    <row r="2397" customFormat="false" ht="18.7" hidden="false" customHeight="true" outlineLevel="0" collapsed="false">
      <c r="A2397" s="1" t="n">
        <v>2396</v>
      </c>
      <c r="B2397" s="6" t="str">
        <f aca="false">HYPERLINK("https://mncourtfraud.com/file/MCRO_27-CR-21-9235_Notice of Remote Hearing with Instructions_2021-05-20_20240430082143.pdf","MCRO_27-CR-21-9235_Notice of Remote Hearing with Instructions_2021-05-20_20240430082143.pdf")</f>
        <v>MCRO_27-CR-21-9235_Notice of Remote Hearing with Instructions_2021-05-20_20240430082143.pdf</v>
      </c>
      <c r="C2397" s="1" t="n">
        <v>5</v>
      </c>
      <c r="D2397" s="1" t="n">
        <v>1</v>
      </c>
      <c r="E2397" s="1" t="n">
        <v>1</v>
      </c>
      <c r="F2397" s="3" t="s">
        <v>20</v>
      </c>
      <c r="G2397" s="3" t="s">
        <v>9726</v>
      </c>
      <c r="H2397" s="1" t="s">
        <v>22</v>
      </c>
      <c r="I2397" s="1" t="n">
        <v>20240430082143</v>
      </c>
      <c r="J2397" s="3" t="s">
        <v>9727</v>
      </c>
      <c r="K2397" s="3" t="s">
        <v>9728</v>
      </c>
      <c r="L2397" s="3" t="s">
        <v>9729</v>
      </c>
      <c r="M2397" s="3" t="n">
        <v>840435</v>
      </c>
      <c r="N2397" s="3" t="s">
        <v>849</v>
      </c>
      <c r="O2397" s="1" t="n">
        <v>824049</v>
      </c>
      <c r="P2397" s="1" t="n">
        <v>98.05</v>
      </c>
      <c r="Q2397" s="1" t="s">
        <v>20</v>
      </c>
      <c r="R2397" s="1" t="s">
        <v>27</v>
      </c>
      <c r="S2397" s="1" t="s">
        <v>28</v>
      </c>
      <c r="T2397" s="1" t="s">
        <v>29</v>
      </c>
    </row>
    <row r="2398" customFormat="false" ht="18.7" hidden="false" customHeight="true" outlineLevel="0" collapsed="false">
      <c r="A2398" s="1" t="n">
        <v>2397</v>
      </c>
      <c r="B2398" s="6" t="str">
        <f aca="false">HYPERLINK("https://mncourtfraud.com/file/MCRO_27-CR-21-9235_Notice of Remote Hearing with Instructions_2021-05-28_20240430082141.pdf","MCRO_27-CR-21-9235_Notice of Remote Hearing with Instructions_2021-05-28_20240430082141.pdf")</f>
        <v>MCRO_27-CR-21-9235_Notice of Remote Hearing with Instructions_2021-05-28_20240430082141.pdf</v>
      </c>
      <c r="C2398" s="1" t="n">
        <v>5</v>
      </c>
      <c r="D2398" s="1" t="n">
        <v>1</v>
      </c>
      <c r="E2398" s="1" t="n">
        <v>1</v>
      </c>
      <c r="F2398" s="3" t="s">
        <v>20</v>
      </c>
      <c r="G2398" s="3" t="s">
        <v>9730</v>
      </c>
      <c r="H2398" s="1" t="s">
        <v>22</v>
      </c>
      <c r="I2398" s="1" t="n">
        <v>20240430082141</v>
      </c>
      <c r="J2398" s="3" t="s">
        <v>9731</v>
      </c>
      <c r="K2398" s="3" t="s">
        <v>9732</v>
      </c>
      <c r="L2398" s="3" t="s">
        <v>9733</v>
      </c>
      <c r="M2398" s="3" t="n">
        <v>1267126</v>
      </c>
      <c r="N2398" s="3" t="s">
        <v>4639</v>
      </c>
      <c r="O2398" s="1" t="n">
        <v>1250740</v>
      </c>
      <c r="P2398" s="1" t="n">
        <v>98.71</v>
      </c>
      <c r="Q2398" s="1" t="s">
        <v>20</v>
      </c>
      <c r="R2398" s="1" t="s">
        <v>27</v>
      </c>
      <c r="S2398" s="1" t="s">
        <v>28</v>
      </c>
      <c r="T2398" s="1" t="s">
        <v>29</v>
      </c>
    </row>
    <row r="2399" customFormat="false" ht="18.7" hidden="false" customHeight="true" outlineLevel="0" collapsed="false">
      <c r="A2399" s="1" t="n">
        <v>2398</v>
      </c>
      <c r="B2399" s="6" t="str">
        <f aca="false">HYPERLINK("https://mncourtfraud.com/file/MCRO_27-CR-21-9235_Notice of Remote Hearing with Instructions_2021-08-06_20240430082140.pdf","MCRO_27-CR-21-9235_Notice of Remote Hearing with Instructions_2021-08-06_20240430082140.pdf")</f>
        <v>MCRO_27-CR-21-9235_Notice of Remote Hearing with Instructions_2021-08-06_20240430082140.pdf</v>
      </c>
      <c r="C2399" s="1" t="n">
        <v>4</v>
      </c>
      <c r="D2399" s="1" t="n">
        <v>1</v>
      </c>
      <c r="E2399" s="1" t="n">
        <v>1</v>
      </c>
      <c r="F2399" s="3" t="s">
        <v>20</v>
      </c>
      <c r="G2399" s="3" t="s">
        <v>9734</v>
      </c>
      <c r="H2399" s="1" t="s">
        <v>22</v>
      </c>
      <c r="I2399" s="1" t="n">
        <v>20240430082140</v>
      </c>
      <c r="J2399" s="3" t="s">
        <v>9735</v>
      </c>
      <c r="K2399" s="3" t="s">
        <v>9736</v>
      </c>
      <c r="L2399" s="3" t="s">
        <v>9737</v>
      </c>
      <c r="M2399" s="3" t="n">
        <v>884675</v>
      </c>
      <c r="N2399" s="3" t="s">
        <v>1065</v>
      </c>
      <c r="O2399" s="1" t="n">
        <v>868289</v>
      </c>
      <c r="P2399" s="1" t="n">
        <v>98.15</v>
      </c>
      <c r="Q2399" s="1" t="s">
        <v>20</v>
      </c>
      <c r="R2399" s="1" t="s">
        <v>27</v>
      </c>
      <c r="S2399" s="1" t="s">
        <v>28</v>
      </c>
      <c r="T2399" s="1" t="s">
        <v>29</v>
      </c>
    </row>
    <row r="2400" customFormat="false" ht="18.7" hidden="false" customHeight="true" outlineLevel="0" collapsed="false">
      <c r="A2400" s="1" t="n">
        <v>2399</v>
      </c>
      <c r="B2400" s="6" t="str">
        <f aca="false">HYPERLINK("https://mncourtfraud.com/file/MCRO_27-CR-21-9235_Notice of Remote Hearing with Instructions_2021-10-01_20240430082137.pdf","MCRO_27-CR-21-9235_Notice of Remote Hearing with Instructions_2021-10-01_20240430082137.pdf")</f>
        <v>MCRO_27-CR-21-9235_Notice of Remote Hearing with Instructions_2021-10-01_20240430082137.pdf</v>
      </c>
      <c r="C2400" s="1" t="n">
        <v>4</v>
      </c>
      <c r="D2400" s="1" t="n">
        <v>1</v>
      </c>
      <c r="E2400" s="1" t="n">
        <v>1</v>
      </c>
      <c r="F2400" s="3" t="s">
        <v>20</v>
      </c>
      <c r="G2400" s="3" t="s">
        <v>9738</v>
      </c>
      <c r="H2400" s="1" t="s">
        <v>22</v>
      </c>
      <c r="I2400" s="1" t="n">
        <v>20240430082137</v>
      </c>
      <c r="J2400" s="3" t="s">
        <v>9739</v>
      </c>
      <c r="K2400" s="3" t="s">
        <v>9740</v>
      </c>
      <c r="L2400" s="3" t="s">
        <v>9741</v>
      </c>
      <c r="M2400" s="3" t="n">
        <v>1279328</v>
      </c>
      <c r="N2400" s="3" t="s">
        <v>9742</v>
      </c>
      <c r="O2400" s="1" t="n">
        <v>1262942</v>
      </c>
      <c r="P2400" s="1" t="n">
        <v>98.72</v>
      </c>
      <c r="Q2400" s="1" t="s">
        <v>20</v>
      </c>
      <c r="R2400" s="1" t="s">
        <v>27</v>
      </c>
      <c r="S2400" s="1" t="s">
        <v>28</v>
      </c>
      <c r="T2400" s="1" t="s">
        <v>29</v>
      </c>
    </row>
    <row r="2401" customFormat="false" ht="18.7" hidden="false" customHeight="true" outlineLevel="0" collapsed="false">
      <c r="A2401" s="1" t="n">
        <v>2400</v>
      </c>
      <c r="B2401" s="6" t="str">
        <f aca="false">HYPERLINK("https://mncourtfraud.com/file/MCRO_27-CR-21-9235_Notice of Remote Hearing with Instructions_2022-02-04_20240430082134.pdf","MCRO_27-CR-21-9235_Notice of Remote Hearing with Instructions_2022-02-04_20240430082134.pdf")</f>
        <v>MCRO_27-CR-21-9235_Notice of Remote Hearing with Instructions_2022-02-04_20240430082134.pdf</v>
      </c>
      <c r="C2401" s="1" t="n">
        <v>3</v>
      </c>
      <c r="D2401" s="1" t="n">
        <v>1</v>
      </c>
      <c r="E2401" s="1" t="n">
        <v>1</v>
      </c>
      <c r="F2401" s="3" t="s">
        <v>20</v>
      </c>
      <c r="G2401" s="3" t="s">
        <v>9743</v>
      </c>
      <c r="H2401" s="1" t="s">
        <v>22</v>
      </c>
      <c r="I2401" s="1" t="n">
        <v>20240430082134</v>
      </c>
      <c r="J2401" s="3" t="s">
        <v>9744</v>
      </c>
      <c r="K2401" s="3" t="s">
        <v>9745</v>
      </c>
      <c r="L2401" s="3" t="s">
        <v>9746</v>
      </c>
      <c r="M2401" s="3" t="n">
        <v>126951</v>
      </c>
      <c r="N2401" s="3" t="s">
        <v>5536</v>
      </c>
      <c r="O2401" s="1" t="n">
        <v>110565</v>
      </c>
      <c r="P2401" s="1" t="n">
        <v>87.09</v>
      </c>
      <c r="Q2401" s="1" t="s">
        <v>20</v>
      </c>
      <c r="R2401" s="1" t="s">
        <v>27</v>
      </c>
      <c r="S2401" s="1" t="s">
        <v>28</v>
      </c>
      <c r="T2401" s="1" t="s">
        <v>29</v>
      </c>
    </row>
    <row r="2402" customFormat="false" ht="18.7" hidden="false" customHeight="true" outlineLevel="0" collapsed="false">
      <c r="A2402" s="1" t="n">
        <v>2401</v>
      </c>
      <c r="B2402" s="6" t="str">
        <f aca="false">HYPERLINK("https://mncourtfraud.com/file/MCRO_27-CR-21-9235_Notice of Remote Hearing with Instructions_2022-02-25_20240430082133.pdf","MCRO_27-CR-21-9235_Notice of Remote Hearing with Instructions_2022-02-25_20240430082133.pdf")</f>
        <v>MCRO_27-CR-21-9235_Notice of Remote Hearing with Instructions_2022-02-25_20240430082133.pdf</v>
      </c>
      <c r="C2402" s="1" t="n">
        <v>3</v>
      </c>
      <c r="D2402" s="1" t="n">
        <v>1</v>
      </c>
      <c r="E2402" s="1" t="n">
        <v>1</v>
      </c>
      <c r="F2402" s="3" t="s">
        <v>20</v>
      </c>
      <c r="G2402" s="3" t="s">
        <v>9747</v>
      </c>
      <c r="H2402" s="1" t="s">
        <v>22</v>
      </c>
      <c r="I2402" s="1" t="n">
        <v>20240430082133</v>
      </c>
      <c r="J2402" s="3" t="s">
        <v>9748</v>
      </c>
      <c r="K2402" s="3" t="s">
        <v>9749</v>
      </c>
      <c r="L2402" s="3" t="s">
        <v>9750</v>
      </c>
      <c r="M2402" s="3" t="n">
        <v>126718</v>
      </c>
      <c r="N2402" s="3" t="s">
        <v>5536</v>
      </c>
      <c r="O2402" s="1" t="n">
        <v>110332</v>
      </c>
      <c r="P2402" s="1" t="n">
        <v>87.07</v>
      </c>
      <c r="Q2402" s="1" t="s">
        <v>20</v>
      </c>
      <c r="R2402" s="1" t="s">
        <v>27</v>
      </c>
      <c r="S2402" s="1" t="s">
        <v>28</v>
      </c>
      <c r="T2402" s="1" t="s">
        <v>29</v>
      </c>
    </row>
    <row r="2403" customFormat="false" ht="18.7" hidden="false" customHeight="true" outlineLevel="0" collapsed="false">
      <c r="A2403" s="1" t="n">
        <v>2402</v>
      </c>
      <c r="B2403" s="6" t="str">
        <f aca="false">HYPERLINK("https://mncourtfraud.com/file/MCRO_27-CR-21-9235_Notice of Remote Hearing with Instructions_2023-05-12_20240430082122.pdf","MCRO_27-CR-21-9235_Notice of Remote Hearing with Instructions_2023-05-12_20240430082122.pdf")</f>
        <v>MCRO_27-CR-21-9235_Notice of Remote Hearing with Instructions_2023-05-12_20240430082122.pdf</v>
      </c>
      <c r="C2403" s="1" t="n">
        <v>4</v>
      </c>
      <c r="D2403" s="1" t="n">
        <v>1</v>
      </c>
      <c r="E2403" s="1" t="n">
        <v>1</v>
      </c>
      <c r="F2403" s="3" t="s">
        <v>20</v>
      </c>
      <c r="G2403" s="3" t="s">
        <v>9751</v>
      </c>
      <c r="H2403" s="1" t="s">
        <v>22</v>
      </c>
      <c r="I2403" s="1" t="n">
        <v>20240430082122</v>
      </c>
      <c r="J2403" s="3" t="s">
        <v>9752</v>
      </c>
      <c r="K2403" s="3" t="s">
        <v>9753</v>
      </c>
      <c r="L2403" s="3" t="s">
        <v>9754</v>
      </c>
      <c r="M2403" s="3" t="n">
        <v>137328</v>
      </c>
      <c r="N2403" s="3" t="s">
        <v>1159</v>
      </c>
      <c r="O2403" s="1" t="n">
        <v>120942</v>
      </c>
      <c r="P2403" s="1" t="n">
        <v>88.07</v>
      </c>
      <c r="Q2403" s="1" t="s">
        <v>20</v>
      </c>
      <c r="R2403" s="1" t="s">
        <v>27</v>
      </c>
      <c r="S2403" s="1" t="s">
        <v>28</v>
      </c>
      <c r="T2403" s="1" t="s">
        <v>29</v>
      </c>
    </row>
    <row r="2404" customFormat="false" ht="18.7" hidden="false" customHeight="true" outlineLevel="0" collapsed="false">
      <c r="A2404" s="1" t="n">
        <v>2403</v>
      </c>
      <c r="B2404" s="6" t="str">
        <f aca="false">HYPERLINK("https://mncourtfraud.com/file/MCRO_27-CR-21-9235_Notice of Remote Hearing with Instructions_2023-08-21_20240430082117.pdf","MCRO_27-CR-21-9235_Notice of Remote Hearing with Instructions_2023-08-21_20240430082117.pdf")</f>
        <v>MCRO_27-CR-21-9235_Notice of Remote Hearing with Instructions_2023-08-21_20240430082117.pdf</v>
      </c>
      <c r="C2404" s="1" t="n">
        <v>4</v>
      </c>
      <c r="D2404" s="1" t="n">
        <v>1</v>
      </c>
      <c r="E2404" s="1" t="n">
        <v>1</v>
      </c>
      <c r="F2404" s="3" t="s">
        <v>20</v>
      </c>
      <c r="G2404" s="3" t="s">
        <v>9755</v>
      </c>
      <c r="H2404" s="1" t="s">
        <v>22</v>
      </c>
      <c r="I2404" s="1" t="n">
        <v>20240430082117</v>
      </c>
      <c r="J2404" s="3" t="s">
        <v>9756</v>
      </c>
      <c r="K2404" s="3" t="s">
        <v>9757</v>
      </c>
      <c r="L2404" s="3" t="s">
        <v>9758</v>
      </c>
      <c r="M2404" s="3" t="n">
        <v>137085</v>
      </c>
      <c r="N2404" s="3" t="s">
        <v>1159</v>
      </c>
      <c r="O2404" s="1" t="n">
        <v>120699</v>
      </c>
      <c r="P2404" s="1" t="n">
        <v>88.05</v>
      </c>
      <c r="Q2404" s="1" t="s">
        <v>20</v>
      </c>
      <c r="R2404" s="1" t="s">
        <v>27</v>
      </c>
      <c r="S2404" s="1" t="s">
        <v>28</v>
      </c>
      <c r="T2404" s="1" t="s">
        <v>29</v>
      </c>
    </row>
    <row r="2405" customFormat="false" ht="18.7" hidden="false" customHeight="true" outlineLevel="0" collapsed="false">
      <c r="A2405" s="1" t="n">
        <v>2404</v>
      </c>
      <c r="B2405" s="6" t="str">
        <f aca="false">HYPERLINK("https://mncourtfraud.com/file/MCRO_27-CR-21-9235_Notice of Remote Hearing with Instructions_2023-08-23_20240430082112.pdf","MCRO_27-CR-21-9235_Notice of Remote Hearing with Instructions_2023-08-23_20240430082112.pdf")</f>
        <v>MCRO_27-CR-21-9235_Notice of Remote Hearing with Instructions_2023-08-23_20240430082112.pdf</v>
      </c>
      <c r="C2405" s="1" t="n">
        <v>4</v>
      </c>
      <c r="D2405" s="1" t="n">
        <v>1</v>
      </c>
      <c r="E2405" s="1" t="n">
        <v>1</v>
      </c>
      <c r="F2405" s="3" t="s">
        <v>20</v>
      </c>
      <c r="G2405" s="3" t="s">
        <v>9759</v>
      </c>
      <c r="H2405" s="1" t="s">
        <v>22</v>
      </c>
      <c r="I2405" s="1" t="n">
        <v>20240430082112</v>
      </c>
      <c r="J2405" s="3" t="s">
        <v>9760</v>
      </c>
      <c r="K2405" s="3" t="s">
        <v>9761</v>
      </c>
      <c r="L2405" s="3" t="s">
        <v>9762</v>
      </c>
      <c r="M2405" s="3" t="n">
        <v>139248</v>
      </c>
      <c r="N2405" s="3" t="s">
        <v>1159</v>
      </c>
      <c r="O2405" s="1" t="n">
        <v>122862</v>
      </c>
      <c r="P2405" s="1" t="n">
        <v>88.23</v>
      </c>
      <c r="Q2405" s="1" t="s">
        <v>20</v>
      </c>
      <c r="R2405" s="1" t="s">
        <v>27</v>
      </c>
      <c r="S2405" s="1" t="s">
        <v>28</v>
      </c>
      <c r="T2405" s="1" t="s">
        <v>29</v>
      </c>
    </row>
    <row r="2406" customFormat="false" ht="18.7" hidden="false" customHeight="true" outlineLevel="0" collapsed="false">
      <c r="A2406" s="1" t="n">
        <v>2405</v>
      </c>
      <c r="B2406" s="6" t="str">
        <f aca="false">HYPERLINK("https://mncourtfraud.com/file/MCRO_27-CR-21-9235_Notice of Remote Hearing with Instructions_2023-10-24_20240430082110.pdf","MCRO_27-CR-21-9235_Notice of Remote Hearing with Instructions_2023-10-24_20240430082110.pdf")</f>
        <v>MCRO_27-CR-21-9235_Notice of Remote Hearing with Instructions_2023-10-24_20240430082110.pdf</v>
      </c>
      <c r="C2406" s="1" t="n">
        <v>6</v>
      </c>
      <c r="D2406" s="1" t="n">
        <v>1</v>
      </c>
      <c r="E2406" s="1" t="n">
        <v>1</v>
      </c>
      <c r="F2406" s="3" t="s">
        <v>20</v>
      </c>
      <c r="G2406" s="3" t="s">
        <v>9763</v>
      </c>
      <c r="H2406" s="1" t="s">
        <v>22</v>
      </c>
      <c r="I2406" s="1" t="n">
        <v>20240430082110</v>
      </c>
      <c r="J2406" s="3" t="s">
        <v>9764</v>
      </c>
      <c r="K2406" s="3" t="s">
        <v>9765</v>
      </c>
      <c r="L2406" s="3" t="s">
        <v>9766</v>
      </c>
      <c r="M2406" s="3" t="n">
        <v>909894</v>
      </c>
      <c r="N2406" s="3" t="s">
        <v>109</v>
      </c>
      <c r="O2406" s="1" t="n">
        <v>893508</v>
      </c>
      <c r="P2406" s="1" t="n">
        <v>98.2</v>
      </c>
      <c r="Q2406" s="1" t="s">
        <v>20</v>
      </c>
      <c r="R2406" s="1" t="s">
        <v>27</v>
      </c>
      <c r="S2406" s="1" t="s">
        <v>28</v>
      </c>
      <c r="T2406" s="1" t="s">
        <v>29</v>
      </c>
    </row>
    <row r="2407" customFormat="false" ht="18.7" hidden="false" customHeight="true" outlineLevel="0" collapsed="false">
      <c r="A2407" s="1" t="n">
        <v>2406</v>
      </c>
      <c r="B2407" s="6" t="str">
        <f aca="false">HYPERLINK("https://mncourtfraud.com/file/MCRO_27-CR-21-9235_Notice of Remote Hearing with Instructions_2023-11-28_20240430082107.pdf","MCRO_27-CR-21-9235_Notice of Remote Hearing with Instructions_2023-11-28_20240430082107.pdf")</f>
        <v>MCRO_27-CR-21-9235_Notice of Remote Hearing with Instructions_2023-11-28_20240430082107.pdf</v>
      </c>
      <c r="C2407" s="1" t="n">
        <v>4</v>
      </c>
      <c r="D2407" s="1" t="n">
        <v>1</v>
      </c>
      <c r="E2407" s="1" t="n">
        <v>1</v>
      </c>
      <c r="F2407" s="3" t="s">
        <v>20</v>
      </c>
      <c r="G2407" s="3" t="s">
        <v>9767</v>
      </c>
      <c r="H2407" s="1" t="s">
        <v>22</v>
      </c>
      <c r="I2407" s="1" t="n">
        <v>20240430082107</v>
      </c>
      <c r="J2407" s="3" t="s">
        <v>9768</v>
      </c>
      <c r="K2407" s="3" t="s">
        <v>9769</v>
      </c>
      <c r="L2407" s="3" t="s">
        <v>9770</v>
      </c>
      <c r="M2407" s="3" t="n">
        <v>269838</v>
      </c>
      <c r="N2407" s="3" t="s">
        <v>74</v>
      </c>
      <c r="O2407" s="1" t="n">
        <v>253452</v>
      </c>
      <c r="P2407" s="1" t="n">
        <v>93.93</v>
      </c>
      <c r="Q2407" s="1" t="s">
        <v>20</v>
      </c>
      <c r="R2407" s="1" t="s">
        <v>27</v>
      </c>
      <c r="S2407" s="1" t="s">
        <v>28</v>
      </c>
      <c r="T2407" s="1" t="s">
        <v>29</v>
      </c>
    </row>
    <row r="2408" customFormat="false" ht="18.7" hidden="false" customHeight="true" outlineLevel="0" collapsed="false">
      <c r="A2408" s="1" t="n">
        <v>2407</v>
      </c>
      <c r="B2408" s="6" t="str">
        <f aca="false">HYPERLINK("https://mncourtfraud.com/file/MCRO_27-CR-21-9235_Notice of Remote Hearing with Instructions_2023-12-19_20240430082104.pdf","MCRO_27-CR-21-9235_Notice of Remote Hearing with Instructions_2023-12-19_20240430082104.pdf")</f>
        <v>MCRO_27-CR-21-9235_Notice of Remote Hearing with Instructions_2023-12-19_20240430082104.pdf</v>
      </c>
      <c r="C2408" s="1" t="n">
        <v>6</v>
      </c>
      <c r="D2408" s="1" t="n">
        <v>1</v>
      </c>
      <c r="E2408" s="1" t="n">
        <v>1</v>
      </c>
      <c r="F2408" s="3" t="s">
        <v>20</v>
      </c>
      <c r="G2408" s="3" t="s">
        <v>9771</v>
      </c>
      <c r="H2408" s="1" t="s">
        <v>22</v>
      </c>
      <c r="I2408" s="1" t="n">
        <v>20240430082104</v>
      </c>
      <c r="J2408" s="3" t="s">
        <v>9772</v>
      </c>
      <c r="K2408" s="3" t="s">
        <v>9773</v>
      </c>
      <c r="L2408" s="3" t="s">
        <v>9774</v>
      </c>
      <c r="M2408" s="3" t="n">
        <v>911774</v>
      </c>
      <c r="N2408" s="3" t="s">
        <v>931</v>
      </c>
      <c r="O2408" s="1" t="n">
        <v>895388</v>
      </c>
      <c r="P2408" s="1" t="n">
        <v>98.2</v>
      </c>
      <c r="Q2408" s="1" t="s">
        <v>20</v>
      </c>
      <c r="R2408" s="1" t="s">
        <v>27</v>
      </c>
      <c r="S2408" s="1" t="s">
        <v>28</v>
      </c>
      <c r="T2408" s="1" t="s">
        <v>29</v>
      </c>
    </row>
    <row r="2409" customFormat="false" ht="18.7" hidden="false" customHeight="true" outlineLevel="0" collapsed="false">
      <c r="A2409" s="1" t="n">
        <v>2408</v>
      </c>
      <c r="B2409" s="6" t="str">
        <f aca="false">HYPERLINK("https://mncourtfraud.com/file/MCRO_27-CR-21-9235_Order-Evaluation for Competency to Proceed (Rule 20.01)_2023-05-12_20240430082121.pdf","MCRO_27-CR-21-9235_Order-Evaluation for Competency to Proceed (Rule 20.01)_2023-05-12_20240430082121.pdf")</f>
        <v>MCRO_27-CR-21-9235_Order-Evaluation for Competency to Proceed (Rule 20.01)_2023-05-12_20240430082121.pdf</v>
      </c>
      <c r="C2409" s="1" t="n">
        <v>4</v>
      </c>
      <c r="D2409" s="1" t="n">
        <v>1</v>
      </c>
      <c r="E2409" s="1" t="n">
        <v>1</v>
      </c>
      <c r="F2409" s="3" t="s">
        <v>20</v>
      </c>
      <c r="G2409" s="3" t="s">
        <v>9775</v>
      </c>
      <c r="H2409" s="1" t="s">
        <v>22</v>
      </c>
      <c r="I2409" s="1" t="n">
        <v>20240430082121</v>
      </c>
      <c r="J2409" s="3" t="s">
        <v>9776</v>
      </c>
      <c r="K2409" s="3" t="s">
        <v>9777</v>
      </c>
      <c r="L2409" s="3" t="s">
        <v>9778</v>
      </c>
      <c r="M2409" s="3" t="n">
        <v>172771</v>
      </c>
      <c r="N2409" s="3" t="s">
        <v>347</v>
      </c>
      <c r="O2409" s="1" t="n">
        <v>156385</v>
      </c>
      <c r="P2409" s="1" t="n">
        <v>90.52</v>
      </c>
      <c r="Q2409" s="1" t="s">
        <v>20</v>
      </c>
      <c r="R2409" s="1" t="s">
        <v>27</v>
      </c>
      <c r="S2409" s="1" t="s">
        <v>28</v>
      </c>
      <c r="T2409" s="1" t="s">
        <v>29</v>
      </c>
    </row>
    <row r="2410" customFormat="false" ht="18.7" hidden="false" customHeight="true" outlineLevel="0" collapsed="false">
      <c r="A2410" s="1" t="n">
        <v>2409</v>
      </c>
      <c r="B2410" s="6" t="str">
        <f aca="false">HYPERLINK("https://mncourtfraud.com/file/MCRO_27-CR-21-9235_Order-Evaluation for Competency to Proceed (Rule 20.01)_2023-08-21_20240430082115.pdf","MCRO_27-CR-21-9235_Order-Evaluation for Competency to Proceed (Rule 20.01)_2023-08-21_20240430082115.pdf")</f>
        <v>MCRO_27-CR-21-9235_Order-Evaluation for Competency to Proceed (Rule 20.01)_2023-08-21_20240430082115.pdf</v>
      </c>
      <c r="C2410" s="1" t="n">
        <v>4</v>
      </c>
      <c r="D2410" s="1" t="n">
        <v>1</v>
      </c>
      <c r="E2410" s="1" t="n">
        <v>1</v>
      </c>
      <c r="F2410" s="3" t="s">
        <v>20</v>
      </c>
      <c r="G2410" s="3" t="s">
        <v>9779</v>
      </c>
      <c r="H2410" s="1" t="s">
        <v>22</v>
      </c>
      <c r="I2410" s="1" t="n">
        <v>20240430082115</v>
      </c>
      <c r="J2410" s="3" t="s">
        <v>9780</v>
      </c>
      <c r="K2410" s="3" t="s">
        <v>9781</v>
      </c>
      <c r="L2410" s="3" t="s">
        <v>9782</v>
      </c>
      <c r="M2410" s="3" t="n">
        <v>142887</v>
      </c>
      <c r="N2410" s="3" t="s">
        <v>1159</v>
      </c>
      <c r="O2410" s="1" t="n">
        <v>126501</v>
      </c>
      <c r="P2410" s="1" t="n">
        <v>88.53</v>
      </c>
      <c r="Q2410" s="1" t="s">
        <v>20</v>
      </c>
      <c r="R2410" s="1" t="s">
        <v>27</v>
      </c>
      <c r="S2410" s="1" t="s">
        <v>28</v>
      </c>
      <c r="T2410" s="1" t="s">
        <v>29</v>
      </c>
    </row>
    <row r="2411" customFormat="false" ht="18.7" hidden="false" customHeight="true" outlineLevel="0" collapsed="false">
      <c r="A2411" s="1" t="n">
        <v>2410</v>
      </c>
      <c r="B2411" s="6" t="str">
        <f aca="false">HYPERLINK("https://mncourtfraud.com/file/MCRO_27-CR-21-9235_Order-Evaluation for Competency to Proceed (Rule 20.01)_2023-08-23_20240430082111.pdf","MCRO_27-CR-21-9235_Order-Evaluation for Competency to Proceed (Rule 20.01)_2023-08-23_20240430082111.pdf")</f>
        <v>MCRO_27-CR-21-9235_Order-Evaluation for Competency to Proceed (Rule 20.01)_2023-08-23_20240430082111.pdf</v>
      </c>
      <c r="C2411" s="1" t="n">
        <v>4</v>
      </c>
      <c r="D2411" s="1" t="n">
        <v>1</v>
      </c>
      <c r="E2411" s="1" t="n">
        <v>1</v>
      </c>
      <c r="F2411" s="3" t="s">
        <v>20</v>
      </c>
      <c r="G2411" s="3" t="s">
        <v>9783</v>
      </c>
      <c r="H2411" s="1" t="s">
        <v>22</v>
      </c>
      <c r="I2411" s="1" t="n">
        <v>20240430082111</v>
      </c>
      <c r="J2411" s="3" t="s">
        <v>9784</v>
      </c>
      <c r="K2411" s="3" t="s">
        <v>9785</v>
      </c>
      <c r="L2411" s="3" t="s">
        <v>9786</v>
      </c>
      <c r="M2411" s="3" t="n">
        <v>140378</v>
      </c>
      <c r="N2411" s="3" t="s">
        <v>1159</v>
      </c>
      <c r="O2411" s="1" t="n">
        <v>123992</v>
      </c>
      <c r="P2411" s="1" t="n">
        <v>88.33</v>
      </c>
      <c r="Q2411" s="1" t="s">
        <v>20</v>
      </c>
      <c r="R2411" s="1" t="s">
        <v>27</v>
      </c>
      <c r="S2411" s="1" t="s">
        <v>28</v>
      </c>
      <c r="T2411" s="1" t="s">
        <v>29</v>
      </c>
    </row>
    <row r="2412" customFormat="false" ht="18.7" hidden="false" customHeight="true" outlineLevel="0" collapsed="false">
      <c r="A2412" s="1" t="n">
        <v>2411</v>
      </c>
      <c r="B2412" s="6" t="str">
        <f aca="false">HYPERLINK("https://mncourtfraud.com/file/MCRO_27-CR-21-9235_Order-Evaluation for Competency to Proceed (Rule 20.01)_2023-11-28_20240430082108.pdf","MCRO_27-CR-21-9235_Order-Evaluation for Competency to Proceed (Rule 20.01)_2023-11-28_20240430082108.pdf")</f>
        <v>MCRO_27-CR-21-9235_Order-Evaluation for Competency to Proceed (Rule 20.01)_2023-11-28_20240430082108.pdf</v>
      </c>
      <c r="C2412" s="1" t="n">
        <v>5</v>
      </c>
      <c r="D2412" s="1" t="n">
        <v>1</v>
      </c>
      <c r="E2412" s="1" t="n">
        <v>1</v>
      </c>
      <c r="F2412" s="3" t="s">
        <v>20</v>
      </c>
      <c r="G2412" s="3" t="s">
        <v>9787</v>
      </c>
      <c r="H2412" s="1" t="s">
        <v>22</v>
      </c>
      <c r="I2412" s="1" t="n">
        <v>20240430082108</v>
      </c>
      <c r="J2412" s="3" t="s">
        <v>9788</v>
      </c>
      <c r="K2412" s="3" t="s">
        <v>9789</v>
      </c>
      <c r="L2412" s="3" t="s">
        <v>9790</v>
      </c>
      <c r="M2412" s="3" t="n">
        <v>763673</v>
      </c>
      <c r="N2412" s="3" t="s">
        <v>1257</v>
      </c>
      <c r="O2412" s="1" t="n">
        <v>747287</v>
      </c>
      <c r="P2412" s="1" t="n">
        <v>97.85</v>
      </c>
      <c r="Q2412" s="1" t="s">
        <v>20</v>
      </c>
      <c r="R2412" s="1" t="s">
        <v>27</v>
      </c>
      <c r="S2412" s="1" t="s">
        <v>28</v>
      </c>
      <c r="T2412" s="1" t="s">
        <v>29</v>
      </c>
    </row>
    <row r="2413" customFormat="false" ht="18.7" hidden="false" customHeight="true" outlineLevel="0" collapsed="false">
      <c r="A2413" s="1" t="n">
        <v>2412</v>
      </c>
      <c r="B2413" s="6" t="str">
        <f aca="false">HYPERLINK("https://mncourtfraud.com/file/MCRO_27-CR-21-9235_Order for Conditional Release_2023-08-21_20240430082114.pdf","MCRO_27-CR-21-9235_Order for Conditional Release_2023-08-21_20240430082114.pdf")</f>
        <v>MCRO_27-CR-21-9235_Order for Conditional Release_2023-08-21_20240430082114.pdf</v>
      </c>
      <c r="C2413" s="1" t="n">
        <v>4</v>
      </c>
      <c r="D2413" s="1" t="n">
        <v>1</v>
      </c>
      <c r="E2413" s="1" t="n">
        <v>1</v>
      </c>
      <c r="F2413" s="3" t="s">
        <v>20</v>
      </c>
      <c r="G2413" s="3" t="s">
        <v>9791</v>
      </c>
      <c r="H2413" s="1" t="s">
        <v>22</v>
      </c>
      <c r="I2413" s="1" t="n">
        <v>20240430082114</v>
      </c>
      <c r="J2413" s="3" t="s">
        <v>9792</v>
      </c>
      <c r="K2413" s="3" t="s">
        <v>9793</v>
      </c>
      <c r="L2413" s="3" t="s">
        <v>9794</v>
      </c>
      <c r="M2413" s="3" t="n">
        <v>114127</v>
      </c>
      <c r="N2413" s="3" t="s">
        <v>435</v>
      </c>
      <c r="O2413" s="1" t="n">
        <v>97741</v>
      </c>
      <c r="P2413" s="1" t="n">
        <v>85.64</v>
      </c>
      <c r="Q2413" s="1" t="s">
        <v>20</v>
      </c>
      <c r="R2413" s="1" t="s">
        <v>27</v>
      </c>
      <c r="S2413" s="1" t="s">
        <v>28</v>
      </c>
      <c r="T2413" s="1" t="s">
        <v>29</v>
      </c>
    </row>
    <row r="2414" customFormat="false" ht="18.7" hidden="false" customHeight="true" outlineLevel="0" collapsed="false">
      <c r="A2414" s="1" t="n">
        <v>2413</v>
      </c>
      <c r="B2414" s="6" t="str">
        <f aca="false">HYPERLINK("https://mncourtfraud.com/file/MCRO_27-CR-21-9235_Order Forfeiting Cash Bond or Surety Bond_2023-08-03_20240430082120.pdf","MCRO_27-CR-21-9235_Order Forfeiting Cash Bond or Surety Bond_2023-08-03_20240430082120.pdf")</f>
        <v>MCRO_27-CR-21-9235_Order Forfeiting Cash Bond or Surety Bond_2023-08-03_20240430082120.pdf</v>
      </c>
      <c r="C2414" s="1" t="n">
        <v>5</v>
      </c>
      <c r="D2414" s="1" t="n">
        <v>1</v>
      </c>
      <c r="E2414" s="1" t="n">
        <v>1</v>
      </c>
      <c r="F2414" s="3" t="s">
        <v>20</v>
      </c>
      <c r="G2414" s="3" t="s">
        <v>9795</v>
      </c>
      <c r="H2414" s="1" t="s">
        <v>22</v>
      </c>
      <c r="I2414" s="1" t="n">
        <v>20240430082120</v>
      </c>
      <c r="J2414" s="3" t="s">
        <v>9796</v>
      </c>
      <c r="K2414" s="3" t="s">
        <v>9797</v>
      </c>
      <c r="L2414" s="3" t="s">
        <v>9798</v>
      </c>
      <c r="M2414" s="3" t="n">
        <v>741517</v>
      </c>
      <c r="N2414" s="3" t="s">
        <v>4424</v>
      </c>
      <c r="O2414" s="1" t="n">
        <v>725131</v>
      </c>
      <c r="P2414" s="1" t="n">
        <v>97.79</v>
      </c>
      <c r="Q2414" s="1" t="s">
        <v>20</v>
      </c>
      <c r="R2414" s="1" t="s">
        <v>27</v>
      </c>
      <c r="S2414" s="1" t="s">
        <v>28</v>
      </c>
      <c r="T2414" s="1" t="s">
        <v>29</v>
      </c>
    </row>
    <row r="2415" customFormat="false" ht="18.7" hidden="false" customHeight="true" outlineLevel="0" collapsed="false">
      <c r="A2415" s="1" t="n">
        <v>2414</v>
      </c>
      <c r="B2415" s="6" t="str">
        <f aca="false">HYPERLINK("https://mncourtfraud.com/file/MCRO_27-CR-21-9235_Returned Mail_2021-09-01_20240430082138.pdf","MCRO_27-CR-21-9235_Returned Mail_2021-09-01_20240430082138.pdf")</f>
        <v>MCRO_27-CR-21-9235_Returned Mail_2021-09-01_20240430082138.pdf</v>
      </c>
      <c r="C2415" s="1" t="n">
        <v>4</v>
      </c>
      <c r="D2415" s="1" t="n">
        <v>1</v>
      </c>
      <c r="E2415" s="1" t="n">
        <v>1</v>
      </c>
      <c r="F2415" s="3" t="s">
        <v>20</v>
      </c>
      <c r="G2415" s="3" t="s">
        <v>9799</v>
      </c>
      <c r="H2415" s="1" t="s">
        <v>22</v>
      </c>
      <c r="I2415" s="1" t="n">
        <v>20240430082138</v>
      </c>
      <c r="J2415" s="3" t="s">
        <v>9800</v>
      </c>
      <c r="K2415" s="3" t="s">
        <v>9801</v>
      </c>
      <c r="L2415" s="3" t="s">
        <v>9802</v>
      </c>
      <c r="M2415" s="3" t="n">
        <v>246566</v>
      </c>
      <c r="N2415" s="3" t="s">
        <v>456</v>
      </c>
      <c r="O2415" s="1" t="n">
        <v>230180</v>
      </c>
      <c r="P2415" s="1" t="n">
        <v>93.35</v>
      </c>
      <c r="Q2415" s="1" t="s">
        <v>20</v>
      </c>
      <c r="R2415" s="1" t="s">
        <v>27</v>
      </c>
      <c r="S2415" s="1" t="s">
        <v>28</v>
      </c>
      <c r="T2415" s="1" t="s">
        <v>29</v>
      </c>
    </row>
    <row r="2416" customFormat="false" ht="18.7" hidden="false" customHeight="true" outlineLevel="0" collapsed="false">
      <c r="A2416" s="1" t="n">
        <v>2415</v>
      </c>
      <c r="B2416" s="6" t="str">
        <f aca="false">HYPERLINK("https://mncourtfraud.com/file/MCRO_27-CR-21-9235_Returned Mail_2021-09-01_20240430082139.pdf","MCRO_27-CR-21-9235_Returned Mail_2021-09-01_20240430082139.pdf")</f>
        <v>MCRO_27-CR-21-9235_Returned Mail_2021-09-01_20240430082139.pdf</v>
      </c>
      <c r="C2416" s="1" t="n">
        <v>4</v>
      </c>
      <c r="D2416" s="1" t="n">
        <v>1</v>
      </c>
      <c r="E2416" s="1" t="n">
        <v>1</v>
      </c>
      <c r="F2416" s="3" t="s">
        <v>20</v>
      </c>
      <c r="G2416" s="3" t="s">
        <v>9803</v>
      </c>
      <c r="H2416" s="1" t="s">
        <v>22</v>
      </c>
      <c r="I2416" s="1" t="n">
        <v>20240430082139</v>
      </c>
      <c r="J2416" s="3" t="s">
        <v>9804</v>
      </c>
      <c r="K2416" s="3" t="s">
        <v>9805</v>
      </c>
      <c r="L2416" s="3" t="s">
        <v>9806</v>
      </c>
      <c r="M2416" s="3" t="n">
        <v>285612</v>
      </c>
      <c r="N2416" s="3" t="s">
        <v>456</v>
      </c>
      <c r="O2416" s="1" t="n">
        <v>269226</v>
      </c>
      <c r="P2416" s="1" t="n">
        <v>94.26</v>
      </c>
      <c r="Q2416" s="1" t="s">
        <v>20</v>
      </c>
      <c r="R2416" s="1" t="s">
        <v>27</v>
      </c>
      <c r="S2416" s="1" t="s">
        <v>28</v>
      </c>
      <c r="T2416" s="1" t="s">
        <v>29</v>
      </c>
    </row>
    <row r="2417" customFormat="false" ht="18.7" hidden="false" customHeight="true" outlineLevel="0" collapsed="false">
      <c r="A2417" s="1" t="n">
        <v>2416</v>
      </c>
      <c r="B2417" s="6" t="str">
        <f aca="false">HYPERLINK("https://mncourtfraud.com/file/MCRO_27-CR-21-9235_Returned Mail_2021-10-14_20240430082136.pdf","MCRO_27-CR-21-9235_Returned Mail_2021-10-14_20240430082136.pdf")</f>
        <v>MCRO_27-CR-21-9235_Returned Mail_2021-10-14_20240430082136.pdf</v>
      </c>
      <c r="C2417" s="1" t="n">
        <v>4</v>
      </c>
      <c r="D2417" s="1" t="n">
        <v>1</v>
      </c>
      <c r="E2417" s="1" t="n">
        <v>1</v>
      </c>
      <c r="F2417" s="3" t="s">
        <v>20</v>
      </c>
      <c r="G2417" s="3" t="s">
        <v>9807</v>
      </c>
      <c r="H2417" s="1" t="s">
        <v>22</v>
      </c>
      <c r="I2417" s="1" t="n">
        <v>20240430082136</v>
      </c>
      <c r="J2417" s="3" t="s">
        <v>9808</v>
      </c>
      <c r="K2417" s="3" t="s">
        <v>9809</v>
      </c>
      <c r="L2417" s="3" t="s">
        <v>9810</v>
      </c>
      <c r="M2417" s="3" t="n">
        <v>338691</v>
      </c>
      <c r="N2417" s="3" t="s">
        <v>456</v>
      </c>
      <c r="O2417" s="1" t="n">
        <v>322305</v>
      </c>
      <c r="P2417" s="1" t="n">
        <v>95.16</v>
      </c>
      <c r="Q2417" s="1" t="s">
        <v>20</v>
      </c>
      <c r="R2417" s="1" t="s">
        <v>27</v>
      </c>
      <c r="S2417" s="1" t="s">
        <v>28</v>
      </c>
      <c r="T2417" s="1" t="s">
        <v>29</v>
      </c>
    </row>
    <row r="2418" customFormat="false" ht="18.7" hidden="false" customHeight="true" outlineLevel="0" collapsed="false">
      <c r="A2418" s="1" t="n">
        <v>2417</v>
      </c>
      <c r="B2418" s="6" t="str">
        <f aca="false">HYPERLINK("https://mncourtfraud.com/file/MCRO_27-CR-21-9235_Returned Mail_2023-11-02_20240430082109.pdf","MCRO_27-CR-21-9235_Returned Mail_2023-11-02_20240430082109.pdf")</f>
        <v>MCRO_27-CR-21-9235_Returned Mail_2023-11-02_20240430082109.pdf</v>
      </c>
      <c r="C2418" s="1" t="n">
        <v>4</v>
      </c>
      <c r="D2418" s="1" t="n">
        <v>1</v>
      </c>
      <c r="E2418" s="1" t="n">
        <v>1</v>
      </c>
      <c r="F2418" s="3" t="s">
        <v>20</v>
      </c>
      <c r="G2418" s="3" t="s">
        <v>9811</v>
      </c>
      <c r="H2418" s="1" t="s">
        <v>22</v>
      </c>
      <c r="I2418" s="1" t="n">
        <v>20240430082109</v>
      </c>
      <c r="J2418" s="3" t="s">
        <v>9812</v>
      </c>
      <c r="K2418" s="3" t="s">
        <v>9813</v>
      </c>
      <c r="L2418" s="3" t="s">
        <v>9814</v>
      </c>
      <c r="M2418" s="3" t="n">
        <v>103482</v>
      </c>
      <c r="N2418" s="3" t="s">
        <v>435</v>
      </c>
      <c r="O2418" s="1" t="n">
        <v>87096</v>
      </c>
      <c r="P2418" s="1" t="n">
        <v>84.17</v>
      </c>
      <c r="Q2418" s="1" t="s">
        <v>20</v>
      </c>
      <c r="R2418" s="1" t="s">
        <v>27</v>
      </c>
      <c r="S2418" s="1" t="s">
        <v>28</v>
      </c>
      <c r="T2418" s="1" t="s">
        <v>29</v>
      </c>
    </row>
    <row r="2419" customFormat="false" ht="18.7" hidden="false" customHeight="true" outlineLevel="0" collapsed="false">
      <c r="A2419" s="1" t="n">
        <v>2418</v>
      </c>
      <c r="B2419" s="6" t="str">
        <f aca="false">HYPERLINK("https://mncourtfraud.com/file/MCRO_27-CR-21-9235_Returned Mail_2023-12-08_20240430082105.pdf","MCRO_27-CR-21-9235_Returned Mail_2023-12-08_20240430082105.pdf")</f>
        <v>MCRO_27-CR-21-9235_Returned Mail_2023-12-08_20240430082105.pdf</v>
      </c>
      <c r="C2419" s="1" t="n">
        <v>4</v>
      </c>
      <c r="D2419" s="1" t="n">
        <v>1</v>
      </c>
      <c r="E2419" s="1" t="n">
        <v>1</v>
      </c>
      <c r="F2419" s="3" t="s">
        <v>20</v>
      </c>
      <c r="G2419" s="3" t="s">
        <v>9815</v>
      </c>
      <c r="H2419" s="1" t="s">
        <v>22</v>
      </c>
      <c r="I2419" s="1" t="n">
        <v>20240430082105</v>
      </c>
      <c r="J2419" s="3" t="s">
        <v>9816</v>
      </c>
      <c r="K2419" s="3" t="s">
        <v>9817</v>
      </c>
      <c r="L2419" s="3" t="s">
        <v>9818</v>
      </c>
      <c r="M2419" s="3" t="n">
        <v>327659</v>
      </c>
      <c r="N2419" s="3" t="s">
        <v>158</v>
      </c>
      <c r="O2419" s="1" t="n">
        <v>311273</v>
      </c>
      <c r="P2419" s="1" t="n">
        <v>95</v>
      </c>
      <c r="Q2419" s="1" t="s">
        <v>20</v>
      </c>
      <c r="R2419" s="1" t="s">
        <v>27</v>
      </c>
      <c r="S2419" s="1" t="s">
        <v>28</v>
      </c>
      <c r="T2419" s="1" t="s">
        <v>29</v>
      </c>
    </row>
    <row r="2420" customFormat="false" ht="18.7" hidden="false" customHeight="true" outlineLevel="0" collapsed="false">
      <c r="A2420" s="1" t="n">
        <v>2419</v>
      </c>
      <c r="B2420" s="6" t="str">
        <f aca="false">HYPERLINK("https://mncourtfraud.com/file/MCRO_27-CR-21-9235_Returned Mail_2023-12-29_20240430082102.pdf","MCRO_27-CR-21-9235_Returned Mail_2023-12-29_20240430082102.pdf")</f>
        <v>MCRO_27-CR-21-9235_Returned Mail_2023-12-29_20240430082102.pdf</v>
      </c>
      <c r="C2420" s="1" t="n">
        <v>4</v>
      </c>
      <c r="D2420" s="1" t="n">
        <v>1</v>
      </c>
      <c r="E2420" s="1" t="n">
        <v>1</v>
      </c>
      <c r="F2420" s="3" t="s">
        <v>20</v>
      </c>
      <c r="G2420" s="3" t="s">
        <v>9819</v>
      </c>
      <c r="H2420" s="1" t="s">
        <v>22</v>
      </c>
      <c r="I2420" s="1" t="n">
        <v>20240430082102</v>
      </c>
      <c r="J2420" s="3" t="s">
        <v>9820</v>
      </c>
      <c r="K2420" s="3" t="s">
        <v>9821</v>
      </c>
      <c r="L2420" s="3" t="s">
        <v>9822</v>
      </c>
      <c r="M2420" s="3" t="n">
        <v>298705</v>
      </c>
      <c r="N2420" s="3" t="s">
        <v>158</v>
      </c>
      <c r="O2420" s="1" t="n">
        <v>282319</v>
      </c>
      <c r="P2420" s="1" t="n">
        <v>94.51</v>
      </c>
      <c r="Q2420" s="1" t="s">
        <v>20</v>
      </c>
      <c r="R2420" s="1" t="s">
        <v>27</v>
      </c>
      <c r="S2420" s="1" t="s">
        <v>28</v>
      </c>
      <c r="T2420" s="1" t="s">
        <v>29</v>
      </c>
    </row>
    <row r="2421" customFormat="false" ht="18.7" hidden="false" customHeight="true" outlineLevel="0" collapsed="false">
      <c r="A2421" s="1" t="n">
        <v>2420</v>
      </c>
      <c r="B2421" s="6" t="str">
        <f aca="false">HYPERLINK("https://mncourtfraud.com/file/MCRO_27-CR-21-928_E-filed Comp-Summons_2021-01-14_20240430075153.pdf","MCRO_27-CR-21-928_E-filed Comp-Summons_2021-01-14_20240430075153.pdf")</f>
        <v>MCRO_27-CR-21-928_E-filed Comp-Summons_2021-01-14_20240430075153.pdf</v>
      </c>
      <c r="C2421" s="1" t="n">
        <v>4</v>
      </c>
      <c r="D2421" s="1" t="n">
        <v>2</v>
      </c>
      <c r="E2421" s="1" t="n">
        <v>2</v>
      </c>
      <c r="F2421" s="3" t="s">
        <v>20</v>
      </c>
      <c r="G2421" s="3" t="s">
        <v>9823</v>
      </c>
      <c r="H2421" s="1" t="s">
        <v>22</v>
      </c>
      <c r="I2421" s="1" t="n">
        <v>20240430075153</v>
      </c>
      <c r="J2421" s="3" t="s">
        <v>9824</v>
      </c>
      <c r="K2421" s="3" t="s">
        <v>9825</v>
      </c>
      <c r="L2421" s="3" t="s">
        <v>9826</v>
      </c>
      <c r="M2421" s="3" t="n">
        <v>491205</v>
      </c>
      <c r="N2421" s="3" t="s">
        <v>5490</v>
      </c>
      <c r="O2421" s="1" t="n">
        <v>474819</v>
      </c>
      <c r="P2421" s="1" t="n">
        <v>96.66</v>
      </c>
      <c r="Q2421" s="1" t="s">
        <v>20</v>
      </c>
      <c r="R2421" s="1" t="s">
        <v>27</v>
      </c>
      <c r="S2421" s="1" t="s">
        <v>28</v>
      </c>
      <c r="T2421" s="1" t="s">
        <v>29</v>
      </c>
    </row>
    <row r="2422" customFormat="false" ht="18.7" hidden="false" customHeight="true" outlineLevel="0" collapsed="false">
      <c r="A2422" s="1" t="n">
        <v>2421</v>
      </c>
      <c r="B2422" s="6" t="str">
        <f aca="false">HYPERLINK("https://mncourtfraud.com/file/MCRO_27-CR-21-928_Notice of Hearing_2023-06-05_20240430075147.pdf","MCRO_27-CR-21-928_Notice of Hearing_2023-06-05_20240430075147.pdf")</f>
        <v>MCRO_27-CR-21-928_Notice of Hearing_2023-06-05_20240430075147.pdf</v>
      </c>
      <c r="C2422" s="1" t="n">
        <v>4</v>
      </c>
      <c r="D2422" s="1" t="n">
        <v>1</v>
      </c>
      <c r="E2422" s="1" t="n">
        <v>1</v>
      </c>
      <c r="F2422" s="3" t="s">
        <v>20</v>
      </c>
      <c r="G2422" s="3" t="s">
        <v>9827</v>
      </c>
      <c r="H2422" s="1" t="s">
        <v>22</v>
      </c>
      <c r="I2422" s="1" t="n">
        <v>20240430075147</v>
      </c>
      <c r="J2422" s="3" t="s">
        <v>9828</v>
      </c>
      <c r="K2422" s="3" t="s">
        <v>9829</v>
      </c>
      <c r="L2422" s="3" t="s">
        <v>9830</v>
      </c>
      <c r="M2422" s="3" t="n">
        <v>865685</v>
      </c>
      <c r="N2422" s="3" t="s">
        <v>4929</v>
      </c>
      <c r="O2422" s="1" t="n">
        <v>849299</v>
      </c>
      <c r="P2422" s="1" t="n">
        <v>98.11</v>
      </c>
      <c r="Q2422" s="1" t="s">
        <v>20</v>
      </c>
      <c r="R2422" s="1" t="s">
        <v>27</v>
      </c>
      <c r="S2422" s="1" t="s">
        <v>28</v>
      </c>
      <c r="T2422" s="1" t="s">
        <v>29</v>
      </c>
    </row>
    <row r="2423" customFormat="false" ht="18.7" hidden="false" customHeight="true" outlineLevel="0" collapsed="false">
      <c r="A2423" s="1" t="n">
        <v>2422</v>
      </c>
      <c r="B2423" s="6" t="str">
        <f aca="false">HYPERLINK("https://mncourtfraud.com/file/MCRO_27-CR-21-928_Notice of Remote Hearing with Instructions_2021-01-14_20240430075152.pdf","MCRO_27-CR-21-928_Notice of Remote Hearing with Instructions_2021-01-14_20240430075152.pdf")</f>
        <v>MCRO_27-CR-21-928_Notice of Remote Hearing with Instructions_2021-01-14_20240430075152.pdf</v>
      </c>
      <c r="C2423" s="1" t="n">
        <v>5</v>
      </c>
      <c r="D2423" s="1" t="n">
        <v>1</v>
      </c>
      <c r="E2423" s="1" t="n">
        <v>1</v>
      </c>
      <c r="F2423" s="3" t="s">
        <v>20</v>
      </c>
      <c r="G2423" s="3" t="s">
        <v>9831</v>
      </c>
      <c r="H2423" s="1" t="s">
        <v>22</v>
      </c>
      <c r="I2423" s="1" t="n">
        <v>20240430075152</v>
      </c>
      <c r="J2423" s="3" t="s">
        <v>9832</v>
      </c>
      <c r="K2423" s="3" t="s">
        <v>9833</v>
      </c>
      <c r="L2423" s="3" t="s">
        <v>9834</v>
      </c>
      <c r="M2423" s="3" t="n">
        <v>1256901</v>
      </c>
      <c r="N2423" s="3" t="s">
        <v>6697</v>
      </c>
      <c r="O2423" s="1" t="n">
        <v>1240515</v>
      </c>
      <c r="P2423" s="1" t="n">
        <v>98.7</v>
      </c>
      <c r="Q2423" s="1" t="s">
        <v>20</v>
      </c>
      <c r="R2423" s="1" t="s">
        <v>27</v>
      </c>
      <c r="S2423" s="1" t="s">
        <v>28</v>
      </c>
      <c r="T2423" s="1" t="s">
        <v>29</v>
      </c>
    </row>
    <row r="2424" customFormat="false" ht="18.7" hidden="false" customHeight="true" outlineLevel="0" collapsed="false">
      <c r="A2424" s="1" t="n">
        <v>2423</v>
      </c>
      <c r="B2424" s="6" t="str">
        <f aca="false">HYPERLINK("https://mncourtfraud.com/file/MCRO_27-CR-21-928_Notice of Remote Hearing with Instructions_2021-03-25_20240430075151.pdf","MCRO_27-CR-21-928_Notice of Remote Hearing with Instructions_2021-03-25_20240430075151.pdf")</f>
        <v>MCRO_27-CR-21-928_Notice of Remote Hearing with Instructions_2021-03-25_20240430075151.pdf</v>
      </c>
      <c r="C2424" s="1" t="n">
        <v>4</v>
      </c>
      <c r="D2424" s="1" t="n">
        <v>1</v>
      </c>
      <c r="E2424" s="1" t="n">
        <v>1</v>
      </c>
      <c r="F2424" s="3" t="s">
        <v>20</v>
      </c>
      <c r="G2424" s="3" t="s">
        <v>9835</v>
      </c>
      <c r="H2424" s="1" t="s">
        <v>22</v>
      </c>
      <c r="I2424" s="1" t="n">
        <v>20240430075151</v>
      </c>
      <c r="J2424" s="3" t="s">
        <v>9836</v>
      </c>
      <c r="K2424" s="3" t="s">
        <v>9837</v>
      </c>
      <c r="L2424" s="3" t="s">
        <v>9838</v>
      </c>
      <c r="M2424" s="3" t="n">
        <v>238745</v>
      </c>
      <c r="N2424" s="3" t="s">
        <v>1659</v>
      </c>
      <c r="O2424" s="1" t="n">
        <v>222359</v>
      </c>
      <c r="P2424" s="1" t="n">
        <v>93.14</v>
      </c>
      <c r="Q2424" s="1" t="s">
        <v>20</v>
      </c>
      <c r="R2424" s="1" t="s">
        <v>27</v>
      </c>
      <c r="S2424" s="1" t="s">
        <v>28</v>
      </c>
      <c r="T2424" s="1" t="s">
        <v>29</v>
      </c>
    </row>
    <row r="2425" customFormat="false" ht="18.7" hidden="false" customHeight="true" outlineLevel="0" collapsed="false">
      <c r="A2425" s="1" t="n">
        <v>2424</v>
      </c>
      <c r="B2425" s="6" t="str">
        <f aca="false">HYPERLINK("https://mncourtfraud.com/file/MCRO_27-CR-21-928_Order-Evaluation for Competency to Proceed (Rule 20.01)_2023-06-05_20240430075148.pdf","MCRO_27-CR-21-928_Order-Evaluation for Competency to Proceed (Rule 20.01)_2023-06-05_20240430075148.pdf")</f>
        <v>MCRO_27-CR-21-928_Order-Evaluation for Competency to Proceed (Rule 20.01)_2023-06-05_20240430075148.pdf</v>
      </c>
      <c r="C2425" s="1" t="n">
        <v>5</v>
      </c>
      <c r="D2425" s="1" t="n">
        <v>2</v>
      </c>
      <c r="E2425" s="1" t="n">
        <v>2</v>
      </c>
      <c r="F2425" s="3" t="s">
        <v>20</v>
      </c>
      <c r="G2425" s="3" t="s">
        <v>9839</v>
      </c>
      <c r="H2425" s="1" t="s">
        <v>22</v>
      </c>
      <c r="I2425" s="1" t="n">
        <v>20240430075148</v>
      </c>
      <c r="J2425" s="3" t="s">
        <v>9840</v>
      </c>
      <c r="K2425" s="3" t="s">
        <v>9841</v>
      </c>
      <c r="L2425" s="3" t="s">
        <v>9842</v>
      </c>
      <c r="M2425" s="3" t="n">
        <v>1035717</v>
      </c>
      <c r="N2425" s="3" t="s">
        <v>4934</v>
      </c>
      <c r="O2425" s="1" t="n">
        <v>1019331</v>
      </c>
      <c r="P2425" s="1" t="n">
        <v>98.42</v>
      </c>
      <c r="Q2425" s="1" t="s">
        <v>20</v>
      </c>
      <c r="R2425" s="1" t="s">
        <v>27</v>
      </c>
      <c r="S2425" s="1" t="s">
        <v>28</v>
      </c>
      <c r="T2425" s="1" t="s">
        <v>29</v>
      </c>
    </row>
    <row r="2426" customFormat="false" ht="18.7" hidden="false" customHeight="true" outlineLevel="0" collapsed="false">
      <c r="A2426" s="1" t="n">
        <v>2425</v>
      </c>
      <c r="B2426" s="6" t="str">
        <f aca="false">HYPERLINK("https://mncourtfraud.com/file/MCRO_27-CR-21-928_Other Document_2021-05-04_20240430075149.pdf","MCRO_27-CR-21-928_Other Document_2021-05-04_20240430075149.pdf")</f>
        <v>MCRO_27-CR-21-928_Other Document_2021-05-04_20240430075149.pdf</v>
      </c>
      <c r="C2426" s="1" t="n">
        <v>3</v>
      </c>
      <c r="D2426" s="1" t="n">
        <v>1</v>
      </c>
      <c r="E2426" s="1" t="n">
        <v>1</v>
      </c>
      <c r="F2426" s="3" t="s">
        <v>20</v>
      </c>
      <c r="G2426" s="3" t="s">
        <v>9843</v>
      </c>
      <c r="H2426" s="1" t="s">
        <v>22</v>
      </c>
      <c r="I2426" s="1" t="n">
        <v>20240430075149</v>
      </c>
      <c r="J2426" s="3" t="s">
        <v>9844</v>
      </c>
      <c r="K2426" s="3" t="s">
        <v>9845</v>
      </c>
      <c r="L2426" s="3" t="s">
        <v>9846</v>
      </c>
      <c r="M2426" s="3" t="n">
        <v>183066</v>
      </c>
      <c r="N2426" s="3" t="s">
        <v>3668</v>
      </c>
      <c r="O2426" s="1" t="n">
        <v>166680</v>
      </c>
      <c r="P2426" s="1" t="n">
        <v>91.05</v>
      </c>
      <c r="Q2426" s="1" t="s">
        <v>20</v>
      </c>
      <c r="R2426" s="1" t="s">
        <v>27</v>
      </c>
      <c r="S2426" s="1" t="s">
        <v>28</v>
      </c>
      <c r="T2426" s="1" t="s">
        <v>29</v>
      </c>
    </row>
    <row r="2427" customFormat="false" ht="18.7" hidden="false" customHeight="true" outlineLevel="0" collapsed="false">
      <c r="A2427" s="1" t="n">
        <v>2426</v>
      </c>
      <c r="B2427" s="6" t="str">
        <f aca="false">HYPERLINK("https://mncourtfraud.com/file/MCRO_27-CR-21-928_Warrant Issued_2021-04-19_20240430075150.pdf","MCRO_27-CR-21-928_Warrant Issued_2021-04-19_20240430075150.pdf")</f>
        <v>MCRO_27-CR-21-928_Warrant Issued_2021-04-19_20240430075150.pdf</v>
      </c>
      <c r="C2427" s="1" t="n">
        <v>5</v>
      </c>
      <c r="D2427" s="1" t="n">
        <v>1</v>
      </c>
      <c r="E2427" s="1" t="n">
        <v>1</v>
      </c>
      <c r="F2427" s="3" t="s">
        <v>20</v>
      </c>
      <c r="G2427" s="3" t="s">
        <v>9847</v>
      </c>
      <c r="H2427" s="1" t="s">
        <v>22</v>
      </c>
      <c r="I2427" s="1" t="n">
        <v>20240430075150</v>
      </c>
      <c r="J2427" s="3" t="s">
        <v>9848</v>
      </c>
      <c r="K2427" s="3" t="s">
        <v>9849</v>
      </c>
      <c r="L2427" s="3" t="s">
        <v>9850</v>
      </c>
      <c r="M2427" s="3" t="n">
        <v>336670</v>
      </c>
      <c r="N2427" s="3" t="s">
        <v>8593</v>
      </c>
      <c r="O2427" s="1" t="n">
        <v>320284</v>
      </c>
      <c r="P2427" s="1" t="n">
        <v>95.13</v>
      </c>
      <c r="Q2427" s="1" t="s">
        <v>20</v>
      </c>
      <c r="R2427" s="1" t="s">
        <v>27</v>
      </c>
      <c r="S2427" s="1" t="s">
        <v>28</v>
      </c>
      <c r="T2427" s="1" t="s">
        <v>29</v>
      </c>
    </row>
    <row r="2428" customFormat="false" ht="18.7" hidden="false" customHeight="true" outlineLevel="0" collapsed="false">
      <c r="A2428" s="1" t="n">
        <v>2427</v>
      </c>
      <c r="B2428" s="6" t="str">
        <f aca="false">HYPERLINK("https://mncourtfraud.com/file/MCRO_27-CR-21-933_Assignment of Bail_2021-06-08_20240430075238.pdf","MCRO_27-CR-21-933_Assignment of Bail_2021-06-08_20240430075238.pdf")</f>
        <v>MCRO_27-CR-21-933_Assignment of Bail_2021-06-08_20240430075238.pdf</v>
      </c>
      <c r="C2428" s="1" t="n">
        <v>4</v>
      </c>
      <c r="D2428" s="1" t="n">
        <v>1</v>
      </c>
      <c r="E2428" s="1" t="n">
        <v>1</v>
      </c>
      <c r="F2428" s="3" t="s">
        <v>20</v>
      </c>
      <c r="G2428" s="3" t="s">
        <v>9851</v>
      </c>
      <c r="H2428" s="1" t="s">
        <v>22</v>
      </c>
      <c r="I2428" s="1" t="n">
        <v>20240430075238</v>
      </c>
      <c r="J2428" s="3" t="s">
        <v>9852</v>
      </c>
      <c r="K2428" s="3" t="s">
        <v>9853</v>
      </c>
      <c r="L2428" s="3" t="s">
        <v>9854</v>
      </c>
      <c r="M2428" s="3" t="n">
        <v>92393</v>
      </c>
      <c r="N2428" s="3" t="s">
        <v>456</v>
      </c>
      <c r="O2428" s="1" t="n">
        <v>76007</v>
      </c>
      <c r="P2428" s="1" t="n">
        <v>82.26</v>
      </c>
      <c r="Q2428" s="1" t="s">
        <v>20</v>
      </c>
      <c r="R2428" s="1" t="s">
        <v>27</v>
      </c>
      <c r="S2428" s="1" t="s">
        <v>28</v>
      </c>
      <c r="T2428" s="1" t="s">
        <v>29</v>
      </c>
    </row>
    <row r="2429" customFormat="false" ht="18.7" hidden="false" customHeight="true" outlineLevel="0" collapsed="false">
      <c r="A2429" s="1" t="n">
        <v>2428</v>
      </c>
      <c r="B2429" s="6" t="str">
        <f aca="false">HYPERLINK("https://mncourtfraud.com/file/MCRO_27-CR-21-933_Demand or Request for Discovery_2021-01-15_20240430075242.pdf","MCRO_27-CR-21-933_Demand or Request for Discovery_2021-01-15_20240430075242.pdf")</f>
        <v>MCRO_27-CR-21-933_Demand or Request for Discovery_2021-01-15_20240430075242.pdf</v>
      </c>
      <c r="C2429" s="1" t="n">
        <v>3</v>
      </c>
      <c r="D2429" s="1" t="n">
        <v>1</v>
      </c>
      <c r="E2429" s="1" t="n">
        <v>1</v>
      </c>
      <c r="F2429" s="3" t="s">
        <v>20</v>
      </c>
      <c r="G2429" s="3" t="s">
        <v>9855</v>
      </c>
      <c r="H2429" s="1" t="s">
        <v>22</v>
      </c>
      <c r="I2429" s="1" t="n">
        <v>20240430075242</v>
      </c>
      <c r="J2429" s="3" t="s">
        <v>9856</v>
      </c>
      <c r="K2429" s="3" t="s">
        <v>9857</v>
      </c>
      <c r="L2429" s="3" t="s">
        <v>9858</v>
      </c>
      <c r="M2429" s="3" t="n">
        <v>374079</v>
      </c>
      <c r="N2429" s="3" t="s">
        <v>7942</v>
      </c>
      <c r="O2429" s="1" t="n">
        <v>357693</v>
      </c>
      <c r="P2429" s="1" t="n">
        <v>95.62</v>
      </c>
      <c r="Q2429" s="1" t="s">
        <v>20</v>
      </c>
      <c r="R2429" s="1" t="s">
        <v>27</v>
      </c>
      <c r="S2429" s="1" t="s">
        <v>28</v>
      </c>
      <c r="T2429" s="1" t="s">
        <v>29</v>
      </c>
    </row>
    <row r="2430" customFormat="false" ht="18.7" hidden="false" customHeight="true" outlineLevel="0" collapsed="false">
      <c r="A2430" s="1" t="n">
        <v>2429</v>
      </c>
      <c r="B2430" s="6" t="str">
        <f aca="false">HYPERLINK("https://mncourtfraud.com/file/MCRO_27-CR-21-933_E-filed Comp-Order for Detention_2021-01-14_20240430075243.pdf","MCRO_27-CR-21-933_E-filed Comp-Order for Detention_2021-01-14_20240430075243.pdf")</f>
        <v>MCRO_27-CR-21-933_E-filed Comp-Order for Detention_2021-01-14_20240430075243.pdf</v>
      </c>
      <c r="C2430" s="1" t="n">
        <v>4</v>
      </c>
      <c r="D2430" s="1" t="n">
        <v>2</v>
      </c>
      <c r="E2430" s="1" t="n">
        <v>2</v>
      </c>
      <c r="F2430" s="3" t="s">
        <v>20</v>
      </c>
      <c r="G2430" s="3" t="s">
        <v>9859</v>
      </c>
      <c r="H2430" s="1" t="s">
        <v>22</v>
      </c>
      <c r="I2430" s="1" t="n">
        <v>20240430075243</v>
      </c>
      <c r="J2430" s="3" t="s">
        <v>9860</v>
      </c>
      <c r="K2430" s="3" t="s">
        <v>9861</v>
      </c>
      <c r="L2430" s="3" t="s">
        <v>9862</v>
      </c>
      <c r="M2430" s="3" t="n">
        <v>487095</v>
      </c>
      <c r="N2430" s="3" t="s">
        <v>9863</v>
      </c>
      <c r="O2430" s="1" t="n">
        <v>470709</v>
      </c>
      <c r="P2430" s="1" t="n">
        <v>96.64</v>
      </c>
      <c r="Q2430" s="1" t="s">
        <v>20</v>
      </c>
      <c r="R2430" s="1" t="s">
        <v>27</v>
      </c>
      <c r="S2430" s="1" t="s">
        <v>28</v>
      </c>
      <c r="T2430" s="1" t="s">
        <v>29</v>
      </c>
    </row>
    <row r="2431" customFormat="false" ht="18.7" hidden="false" customHeight="true" outlineLevel="0" collapsed="false">
      <c r="A2431" s="1" t="n">
        <v>2430</v>
      </c>
      <c r="B2431" s="6" t="str">
        <f aca="false">HYPERLINK("https://mncourtfraud.com/file/MCRO_27-CR-21-933_Finding of Incompetency and Order_2024-01-23_20240430075226.pdf","MCRO_27-CR-21-933_Finding of Incompetency and Order_2024-01-23_20240430075226.pdf")</f>
        <v>MCRO_27-CR-21-933_Finding of Incompetency and Order_2024-01-23_20240430075226.pdf</v>
      </c>
      <c r="C2431" s="1" t="n">
        <v>5</v>
      </c>
      <c r="D2431" s="1" t="n">
        <v>1</v>
      </c>
      <c r="E2431" s="1" t="n">
        <v>1</v>
      </c>
      <c r="F2431" s="3" t="s">
        <v>20</v>
      </c>
      <c r="G2431" s="3" t="s">
        <v>9864</v>
      </c>
      <c r="H2431" s="1" t="s">
        <v>22</v>
      </c>
      <c r="I2431" s="1" t="n">
        <v>20240430075226</v>
      </c>
      <c r="J2431" s="3" t="s">
        <v>9865</v>
      </c>
      <c r="K2431" s="3" t="s">
        <v>9866</v>
      </c>
      <c r="L2431" s="3" t="s">
        <v>9867</v>
      </c>
      <c r="M2431" s="3" t="n">
        <v>803920</v>
      </c>
      <c r="N2431" s="3" t="s">
        <v>922</v>
      </c>
      <c r="O2431" s="1" t="n">
        <v>787534</v>
      </c>
      <c r="P2431" s="1" t="n">
        <v>97.96</v>
      </c>
      <c r="Q2431" s="1" t="s">
        <v>20</v>
      </c>
      <c r="R2431" s="1" t="s">
        <v>27</v>
      </c>
      <c r="S2431" s="1" t="s">
        <v>28</v>
      </c>
      <c r="T2431" s="1" t="s">
        <v>29</v>
      </c>
    </row>
    <row r="2432" customFormat="false" ht="18.7" hidden="false" customHeight="true" outlineLevel="0" collapsed="false">
      <c r="A2432" s="1" t="n">
        <v>2431</v>
      </c>
      <c r="B2432" s="6" t="str">
        <f aca="false">HYPERLINK("https://mncourtfraud.com/file/MCRO_27-CR-21-933_Findings and Order_2022-12-06_20240430075230.pdf","MCRO_27-CR-21-933_Findings and Order_2022-12-06_20240430075230.pdf")</f>
        <v>MCRO_27-CR-21-933_Findings and Order_2022-12-06_20240430075230.pdf</v>
      </c>
      <c r="C2432" s="1" t="n">
        <v>4</v>
      </c>
      <c r="D2432" s="1" t="n">
        <v>2</v>
      </c>
      <c r="E2432" s="1" t="n">
        <v>2</v>
      </c>
      <c r="F2432" s="3" t="s">
        <v>20</v>
      </c>
      <c r="G2432" s="3" t="s">
        <v>9868</v>
      </c>
      <c r="H2432" s="1" t="s">
        <v>22</v>
      </c>
      <c r="I2432" s="1" t="n">
        <v>20240430075230</v>
      </c>
      <c r="J2432" s="3" t="s">
        <v>9869</v>
      </c>
      <c r="K2432" s="3" t="s">
        <v>9870</v>
      </c>
      <c r="L2432" s="3" t="s">
        <v>9871</v>
      </c>
      <c r="M2432" s="3" t="n">
        <v>333013</v>
      </c>
      <c r="N2432" s="3" t="s">
        <v>1024</v>
      </c>
      <c r="O2432" s="1" t="n">
        <v>316627</v>
      </c>
      <c r="P2432" s="1" t="n">
        <v>95.08</v>
      </c>
      <c r="Q2432" s="1" t="s">
        <v>20</v>
      </c>
      <c r="R2432" s="1" t="s">
        <v>27</v>
      </c>
      <c r="S2432" s="1" t="s">
        <v>28</v>
      </c>
      <c r="T2432" s="1" t="s">
        <v>29</v>
      </c>
    </row>
    <row r="2433" customFormat="false" ht="18.7" hidden="false" customHeight="true" outlineLevel="0" collapsed="false">
      <c r="A2433" s="1" t="n">
        <v>2432</v>
      </c>
      <c r="B2433" s="6" t="str">
        <f aca="false">HYPERLINK("https://mncourtfraud.com/file/MCRO_27-CR-21-933_Law Enforcement Notice of Release and Appearance_2021-02-16_20240430075240.pdf","MCRO_27-CR-21-933_Law Enforcement Notice of Release and Appearance_2021-02-16_20240430075240.pdf")</f>
        <v>MCRO_27-CR-21-933_Law Enforcement Notice of Release and Appearance_2021-02-16_20240430075240.pdf</v>
      </c>
      <c r="C2433" s="1" t="n">
        <v>4</v>
      </c>
      <c r="D2433" s="1" t="n">
        <v>1</v>
      </c>
      <c r="E2433" s="1" t="n">
        <v>1</v>
      </c>
      <c r="F2433" s="3" t="s">
        <v>20</v>
      </c>
      <c r="G2433" s="3" t="s">
        <v>9872</v>
      </c>
      <c r="H2433" s="1" t="s">
        <v>22</v>
      </c>
      <c r="I2433" s="1" t="n">
        <v>20240430075240</v>
      </c>
      <c r="J2433" s="3" t="s">
        <v>9873</v>
      </c>
      <c r="K2433" s="3" t="s">
        <v>9874</v>
      </c>
      <c r="L2433" s="3" t="s">
        <v>9875</v>
      </c>
      <c r="M2433" s="3" t="n">
        <v>111278</v>
      </c>
      <c r="N2433" s="3" t="s">
        <v>456</v>
      </c>
      <c r="O2433" s="1" t="n">
        <v>94892</v>
      </c>
      <c r="P2433" s="1" t="n">
        <v>85.27</v>
      </c>
      <c r="Q2433" s="1" t="s">
        <v>20</v>
      </c>
      <c r="R2433" s="1" t="s">
        <v>27</v>
      </c>
      <c r="S2433" s="1" t="s">
        <v>28</v>
      </c>
      <c r="T2433" s="1" t="s">
        <v>29</v>
      </c>
    </row>
    <row r="2434" customFormat="false" ht="18.7" hidden="false" customHeight="true" outlineLevel="0" collapsed="false">
      <c r="A2434" s="1" t="n">
        <v>2433</v>
      </c>
      <c r="B2434" s="6" t="str">
        <f aca="false">HYPERLINK("https://mncourtfraud.com/file/MCRO_27-CR-21-933_Notice of Intent to Prosecute_2022-12-06_20240430075231.pdf","MCRO_27-CR-21-933_Notice of Intent to Prosecute_2022-12-06_20240430075231.pdf")</f>
        <v>MCRO_27-CR-21-933_Notice of Intent to Prosecute_2022-12-06_20240430075231.pdf</v>
      </c>
      <c r="C2434" s="1" t="n">
        <v>3</v>
      </c>
      <c r="D2434" s="1" t="n">
        <v>1</v>
      </c>
      <c r="E2434" s="1" t="n">
        <v>1</v>
      </c>
      <c r="F2434" s="3" t="s">
        <v>20</v>
      </c>
      <c r="G2434" s="3" t="s">
        <v>9876</v>
      </c>
      <c r="H2434" s="1" t="s">
        <v>22</v>
      </c>
      <c r="I2434" s="1" t="n">
        <v>20240430075231</v>
      </c>
      <c r="J2434" s="3" t="s">
        <v>9869</v>
      </c>
      <c r="K2434" s="3" t="s">
        <v>9870</v>
      </c>
      <c r="L2434" s="3" t="s">
        <v>9877</v>
      </c>
      <c r="M2434" s="3" t="n">
        <v>114952</v>
      </c>
      <c r="N2434" s="3" t="s">
        <v>650</v>
      </c>
      <c r="O2434" s="1" t="n">
        <v>98566</v>
      </c>
      <c r="P2434" s="1" t="n">
        <v>85.75</v>
      </c>
      <c r="Q2434" s="1" t="s">
        <v>20</v>
      </c>
      <c r="R2434" s="1" t="s">
        <v>27</v>
      </c>
      <c r="S2434" s="1" t="s">
        <v>28</v>
      </c>
      <c r="T2434" s="1" t="s">
        <v>29</v>
      </c>
    </row>
    <row r="2435" customFormat="false" ht="18.7" hidden="false" customHeight="true" outlineLevel="0" collapsed="false">
      <c r="A2435" s="1" t="n">
        <v>2434</v>
      </c>
      <c r="B2435" s="6" t="str">
        <f aca="false">HYPERLINK("https://mncourtfraud.com/file/MCRO_27-CR-21-933_Notice of Motion and Motion_2022-11-03_20240430075232.pdf","MCRO_27-CR-21-933_Notice of Motion and Motion_2022-11-03_20240430075232.pdf")</f>
        <v>MCRO_27-CR-21-933_Notice of Motion and Motion_2022-11-03_20240430075232.pdf</v>
      </c>
      <c r="C2435" s="1" t="n">
        <v>3</v>
      </c>
      <c r="D2435" s="1" t="n">
        <v>1</v>
      </c>
      <c r="E2435" s="1" t="n">
        <v>1</v>
      </c>
      <c r="F2435" s="3" t="s">
        <v>20</v>
      </c>
      <c r="G2435" s="3" t="s">
        <v>9878</v>
      </c>
      <c r="H2435" s="1" t="s">
        <v>22</v>
      </c>
      <c r="I2435" s="1" t="n">
        <v>20240430075232</v>
      </c>
      <c r="J2435" s="3" t="s">
        <v>9879</v>
      </c>
      <c r="K2435" s="3" t="s">
        <v>9880</v>
      </c>
      <c r="L2435" s="3" t="s">
        <v>9881</v>
      </c>
      <c r="M2435" s="3" t="n">
        <v>287741</v>
      </c>
      <c r="N2435" s="3" t="s">
        <v>192</v>
      </c>
      <c r="O2435" s="1" t="n">
        <v>271355</v>
      </c>
      <c r="P2435" s="1" t="n">
        <v>94.31</v>
      </c>
      <c r="Q2435" s="1" t="s">
        <v>20</v>
      </c>
      <c r="R2435" s="1" t="s">
        <v>27</v>
      </c>
      <c r="S2435" s="1" t="s">
        <v>28</v>
      </c>
      <c r="T2435" s="1" t="s">
        <v>29</v>
      </c>
    </row>
    <row r="2436" customFormat="false" ht="18.7" hidden="false" customHeight="true" outlineLevel="0" collapsed="false">
      <c r="A2436" s="1" t="n">
        <v>2435</v>
      </c>
      <c r="B2436" s="6" t="str">
        <f aca="false">HYPERLINK("https://mncourtfraud.com/file/MCRO_27-CR-21-933_Notice of Remote Hearing with Instructions_2021-11-30_20240430075237.pdf","MCRO_27-CR-21-933_Notice of Remote Hearing with Instructions_2021-11-30_20240430075237.pdf")</f>
        <v>MCRO_27-CR-21-933_Notice of Remote Hearing with Instructions_2021-11-30_20240430075237.pdf</v>
      </c>
      <c r="C2436" s="1" t="n">
        <v>4</v>
      </c>
      <c r="D2436" s="1" t="n">
        <v>1</v>
      </c>
      <c r="E2436" s="1" t="n">
        <v>1</v>
      </c>
      <c r="F2436" s="3" t="s">
        <v>20</v>
      </c>
      <c r="G2436" s="3" t="s">
        <v>9882</v>
      </c>
      <c r="H2436" s="1" t="s">
        <v>22</v>
      </c>
      <c r="I2436" s="1" t="n">
        <v>20240430075237</v>
      </c>
      <c r="J2436" s="3" t="s">
        <v>9883</v>
      </c>
      <c r="K2436" s="3" t="s">
        <v>9884</v>
      </c>
      <c r="L2436" s="3" t="s">
        <v>5095</v>
      </c>
      <c r="M2436" s="3" t="n">
        <v>1273165</v>
      </c>
      <c r="N2436" s="3" t="s">
        <v>5096</v>
      </c>
      <c r="O2436" s="1" t="n">
        <v>1256779</v>
      </c>
      <c r="P2436" s="1" t="n">
        <v>98.71</v>
      </c>
      <c r="Q2436" s="1" t="s">
        <v>20</v>
      </c>
      <c r="R2436" s="1" t="s">
        <v>27</v>
      </c>
      <c r="S2436" s="1" t="s">
        <v>28</v>
      </c>
      <c r="T2436" s="1" t="s">
        <v>29</v>
      </c>
    </row>
    <row r="2437" customFormat="false" ht="18.7" hidden="false" customHeight="true" outlineLevel="0" collapsed="false">
      <c r="A2437" s="1" t="n">
        <v>2436</v>
      </c>
      <c r="B2437" s="6" t="str">
        <f aca="false">HYPERLINK("https://mncourtfraud.com/file/MCRO_27-CR-21-933_Notice of Remote Hearing with Instructions_2023-12-05_20240430075228.pdf","MCRO_27-CR-21-933_Notice of Remote Hearing with Instructions_2023-12-05_20240430075228.pdf")</f>
        <v>MCRO_27-CR-21-933_Notice of Remote Hearing with Instructions_2023-12-05_20240430075228.pdf</v>
      </c>
      <c r="C2437" s="1" t="n">
        <v>5</v>
      </c>
      <c r="D2437" s="1" t="n">
        <v>1</v>
      </c>
      <c r="E2437" s="1" t="n">
        <v>1</v>
      </c>
      <c r="F2437" s="3" t="s">
        <v>20</v>
      </c>
      <c r="G2437" s="3" t="s">
        <v>9885</v>
      </c>
      <c r="H2437" s="1" t="s">
        <v>22</v>
      </c>
      <c r="I2437" s="1" t="n">
        <v>20240430075228</v>
      </c>
      <c r="J2437" s="3" t="s">
        <v>9886</v>
      </c>
      <c r="K2437" s="3" t="s">
        <v>9887</v>
      </c>
      <c r="L2437" s="3" t="s">
        <v>9888</v>
      </c>
      <c r="M2437" s="3" t="n">
        <v>844350</v>
      </c>
      <c r="N2437" s="3" t="s">
        <v>2852</v>
      </c>
      <c r="O2437" s="1" t="n">
        <v>827964</v>
      </c>
      <c r="P2437" s="1" t="n">
        <v>98.06</v>
      </c>
      <c r="Q2437" s="1" t="s">
        <v>20</v>
      </c>
      <c r="R2437" s="1" t="s">
        <v>27</v>
      </c>
      <c r="S2437" s="1" t="s">
        <v>28</v>
      </c>
      <c r="T2437" s="1" t="s">
        <v>29</v>
      </c>
    </row>
    <row r="2438" customFormat="false" ht="18.7" hidden="false" customHeight="true" outlineLevel="0" collapsed="false">
      <c r="A2438" s="1" t="n">
        <v>2437</v>
      </c>
      <c r="B2438" s="6" t="str">
        <f aca="false">HYPERLINK("https://mncourtfraud.com/file/MCRO_27-CR-21-933_Notice of Remote Hearing with Instructions_2024-01-23_20240430075225.pdf","MCRO_27-CR-21-933_Notice of Remote Hearing with Instructions_2024-01-23_20240430075225.pdf")</f>
        <v>MCRO_27-CR-21-933_Notice of Remote Hearing with Instructions_2024-01-23_20240430075225.pdf</v>
      </c>
      <c r="C2438" s="1" t="n">
        <v>5</v>
      </c>
      <c r="D2438" s="1" t="n">
        <v>1</v>
      </c>
      <c r="E2438" s="1" t="n">
        <v>1</v>
      </c>
      <c r="F2438" s="3" t="s">
        <v>20</v>
      </c>
      <c r="G2438" s="3" t="s">
        <v>9889</v>
      </c>
      <c r="H2438" s="1" t="s">
        <v>22</v>
      </c>
      <c r="I2438" s="1" t="n">
        <v>20240430075225</v>
      </c>
      <c r="J2438" s="3" t="s">
        <v>9890</v>
      </c>
      <c r="K2438" s="3" t="s">
        <v>9891</v>
      </c>
      <c r="L2438" s="3" t="s">
        <v>9892</v>
      </c>
      <c r="M2438" s="3" t="n">
        <v>844336</v>
      </c>
      <c r="N2438" s="3" t="s">
        <v>510</v>
      </c>
      <c r="O2438" s="1" t="n">
        <v>827950</v>
      </c>
      <c r="P2438" s="1" t="n">
        <v>98.06</v>
      </c>
      <c r="Q2438" s="1" t="s">
        <v>20</v>
      </c>
      <c r="R2438" s="1" t="s">
        <v>27</v>
      </c>
      <c r="S2438" s="1" t="s">
        <v>28</v>
      </c>
      <c r="T2438" s="1" t="s">
        <v>29</v>
      </c>
    </row>
    <row r="2439" customFormat="false" ht="18.7" hidden="false" customHeight="true" outlineLevel="0" collapsed="false">
      <c r="A2439" s="1" t="n">
        <v>2438</v>
      </c>
      <c r="B2439" s="6" t="str">
        <f aca="false">HYPERLINK("https://mncourtfraud.com/file/MCRO_27-CR-21-933_Order-Evaluation for Competency to Proceed (Rule 20.01)_2022-11-02_20240430075233.pdf","MCRO_27-CR-21-933_Order-Evaluation for Competency to Proceed (Rule 20.01)_2022-11-02_20240430075233.pdf")</f>
        <v>MCRO_27-CR-21-933_Order-Evaluation for Competency to Proceed (Rule 20.01)_2022-11-02_20240430075233.pdf</v>
      </c>
      <c r="C2439" s="1" t="n">
        <v>5</v>
      </c>
      <c r="D2439" s="1" t="n">
        <v>2</v>
      </c>
      <c r="E2439" s="1" t="n">
        <v>2</v>
      </c>
      <c r="F2439" s="3" t="s">
        <v>20</v>
      </c>
      <c r="G2439" s="3" t="s">
        <v>9893</v>
      </c>
      <c r="H2439" s="1" t="s">
        <v>22</v>
      </c>
      <c r="I2439" s="1" t="n">
        <v>20240430075233</v>
      </c>
      <c r="J2439" s="3" t="s">
        <v>9894</v>
      </c>
      <c r="K2439" s="3" t="s">
        <v>9895</v>
      </c>
      <c r="L2439" s="3" t="s">
        <v>9896</v>
      </c>
      <c r="M2439" s="3" t="n">
        <v>1000496</v>
      </c>
      <c r="N2439" s="3" t="s">
        <v>6298</v>
      </c>
      <c r="O2439" s="1" t="n">
        <v>984110</v>
      </c>
      <c r="P2439" s="1" t="n">
        <v>98.36</v>
      </c>
      <c r="Q2439" s="1" t="s">
        <v>20</v>
      </c>
      <c r="R2439" s="1" t="s">
        <v>27</v>
      </c>
      <c r="S2439" s="1" t="s">
        <v>28</v>
      </c>
      <c r="T2439" s="1" t="s">
        <v>29</v>
      </c>
    </row>
    <row r="2440" customFormat="false" ht="18.7" hidden="false" customHeight="true" outlineLevel="0" collapsed="false">
      <c r="A2440" s="1" t="n">
        <v>2439</v>
      </c>
      <c r="B2440" s="6" t="str">
        <f aca="false">HYPERLINK("https://mncourtfraud.com/file/MCRO_27-CR-21-933_Order-Evaluation for Competency to Proceed (Rule 20.01)_2023-09-28_20240430075229.pdf","MCRO_27-CR-21-933_Order-Evaluation for Competency to Proceed (Rule 20.01)_2023-09-28_20240430075229.pdf")</f>
        <v>MCRO_27-CR-21-933_Order-Evaluation for Competency to Proceed (Rule 20.01)_2023-09-28_20240430075229.pdf</v>
      </c>
      <c r="C2440" s="1" t="n">
        <v>7</v>
      </c>
      <c r="D2440" s="1" t="n">
        <v>2</v>
      </c>
      <c r="E2440" s="1" t="n">
        <v>2</v>
      </c>
      <c r="F2440" s="3" t="s">
        <v>27</v>
      </c>
      <c r="G2440" s="3" t="s">
        <v>9897</v>
      </c>
      <c r="H2440" s="1" t="s">
        <v>22</v>
      </c>
      <c r="I2440" s="1" t="n">
        <v>20240430075229</v>
      </c>
      <c r="J2440" s="3" t="s">
        <v>9898</v>
      </c>
      <c r="K2440" s="3" t="s">
        <v>9899</v>
      </c>
      <c r="L2440" s="3" t="s">
        <v>9900</v>
      </c>
      <c r="M2440" s="3" t="n">
        <v>922283</v>
      </c>
      <c r="N2440" s="3" t="s">
        <v>5109</v>
      </c>
      <c r="O2440" s="1" t="n">
        <v>905897</v>
      </c>
      <c r="P2440" s="1" t="n">
        <v>98.22</v>
      </c>
      <c r="Q2440" s="1" t="s">
        <v>20</v>
      </c>
      <c r="R2440" s="1" t="s">
        <v>27</v>
      </c>
      <c r="S2440" s="1" t="s">
        <v>28</v>
      </c>
      <c r="T2440" s="1" t="s">
        <v>29</v>
      </c>
    </row>
    <row r="2441" customFormat="false" ht="18.7" hidden="false" customHeight="true" outlineLevel="0" collapsed="false">
      <c r="A2441" s="1" t="n">
        <v>2440</v>
      </c>
      <c r="B2441" s="6" t="str">
        <f aca="false">HYPERLINK("https://mncourtfraud.com/file/MCRO_27-CR-21-933_Other Document_2022-08-18_20240430075235.pdf","MCRO_27-CR-21-933_Other Document_2022-08-18_20240430075235.pdf")</f>
        <v>MCRO_27-CR-21-933_Other Document_2022-08-18_20240430075235.pdf</v>
      </c>
      <c r="C2441" s="1" t="n">
        <v>4</v>
      </c>
      <c r="D2441" s="1" t="n">
        <v>1</v>
      </c>
      <c r="E2441" s="1" t="n">
        <v>1</v>
      </c>
      <c r="F2441" s="3" t="s">
        <v>20</v>
      </c>
      <c r="G2441" s="3" t="s">
        <v>9901</v>
      </c>
      <c r="H2441" s="1" t="s">
        <v>22</v>
      </c>
      <c r="I2441" s="1" t="n">
        <v>20240430075235</v>
      </c>
      <c r="J2441" s="3" t="s">
        <v>9902</v>
      </c>
      <c r="K2441" s="3" t="s">
        <v>9903</v>
      </c>
      <c r="L2441" s="3" t="s">
        <v>9904</v>
      </c>
      <c r="M2441" s="3" t="n">
        <v>108474</v>
      </c>
      <c r="N2441" s="3" t="s">
        <v>456</v>
      </c>
      <c r="O2441" s="1" t="n">
        <v>92088</v>
      </c>
      <c r="P2441" s="1" t="n">
        <v>84.89</v>
      </c>
      <c r="Q2441" s="1" t="s">
        <v>20</v>
      </c>
      <c r="R2441" s="1" t="s">
        <v>27</v>
      </c>
      <c r="S2441" s="1" t="s">
        <v>28</v>
      </c>
      <c r="T2441" s="1" t="s">
        <v>29</v>
      </c>
    </row>
    <row r="2442" customFormat="false" ht="18.7" hidden="false" customHeight="true" outlineLevel="0" collapsed="false">
      <c r="A2442" s="1" t="n">
        <v>2441</v>
      </c>
      <c r="B2442" s="6" t="str">
        <f aca="false">HYPERLINK("https://mncourtfraud.com/file/MCRO_27-CR-21-933_Probation Referral Notification_2021-02-02_20240430075241.pdf","MCRO_27-CR-21-933_Probation Referral Notification_2021-02-02_20240430075241.pdf")</f>
        <v>MCRO_27-CR-21-933_Probation Referral Notification_2021-02-02_20240430075241.pdf</v>
      </c>
      <c r="C2442" s="1" t="n">
        <v>4</v>
      </c>
      <c r="D2442" s="1" t="n">
        <v>1</v>
      </c>
      <c r="E2442" s="1" t="n">
        <v>1</v>
      </c>
      <c r="F2442" s="3" t="s">
        <v>20</v>
      </c>
      <c r="G2442" s="3" t="s">
        <v>9905</v>
      </c>
      <c r="H2442" s="1" t="s">
        <v>22</v>
      </c>
      <c r="I2442" s="1" t="n">
        <v>20240430075241</v>
      </c>
      <c r="J2442" s="3" t="s">
        <v>9906</v>
      </c>
      <c r="K2442" s="3" t="s">
        <v>9907</v>
      </c>
      <c r="L2442" s="3" t="s">
        <v>9908</v>
      </c>
      <c r="M2442" s="3" t="n">
        <v>100173</v>
      </c>
      <c r="N2442" s="3" t="s">
        <v>614</v>
      </c>
      <c r="O2442" s="1" t="n">
        <v>83787</v>
      </c>
      <c r="P2442" s="1" t="n">
        <v>83.64</v>
      </c>
      <c r="Q2442" s="1" t="s">
        <v>20</v>
      </c>
      <c r="R2442" s="1" t="s">
        <v>27</v>
      </c>
      <c r="S2442" s="1" t="s">
        <v>28</v>
      </c>
      <c r="T2442" s="1" t="s">
        <v>29</v>
      </c>
    </row>
    <row r="2443" customFormat="false" ht="18.7" hidden="false" customHeight="true" outlineLevel="0" collapsed="false">
      <c r="A2443" s="1" t="n">
        <v>2442</v>
      </c>
      <c r="B2443" s="6" t="str">
        <f aca="false">HYPERLINK("https://mncourtfraud.com/file/MCRO_27-CR-21-933_Returned Mail_2021-12-22_20240430075236.pdf","MCRO_27-CR-21-933_Returned Mail_2021-12-22_20240430075236.pdf")</f>
        <v>MCRO_27-CR-21-933_Returned Mail_2021-12-22_20240430075236.pdf</v>
      </c>
      <c r="C2443" s="1" t="n">
        <v>4</v>
      </c>
      <c r="D2443" s="1" t="n">
        <v>1</v>
      </c>
      <c r="E2443" s="1" t="n">
        <v>1</v>
      </c>
      <c r="F2443" s="3" t="s">
        <v>20</v>
      </c>
      <c r="G2443" s="3" t="s">
        <v>9909</v>
      </c>
      <c r="H2443" s="1" t="s">
        <v>22</v>
      </c>
      <c r="I2443" s="1" t="n">
        <v>20240430075236</v>
      </c>
      <c r="J2443" s="3" t="s">
        <v>9910</v>
      </c>
      <c r="K2443" s="3" t="s">
        <v>9911</v>
      </c>
      <c r="L2443" s="3" t="s">
        <v>9912</v>
      </c>
      <c r="M2443" s="3" t="n">
        <v>215584</v>
      </c>
      <c r="N2443" s="3" t="s">
        <v>456</v>
      </c>
      <c r="O2443" s="1" t="n">
        <v>199198</v>
      </c>
      <c r="P2443" s="1" t="n">
        <v>92.4</v>
      </c>
      <c r="Q2443" s="1" t="s">
        <v>20</v>
      </c>
      <c r="R2443" s="1" t="s">
        <v>27</v>
      </c>
      <c r="S2443" s="1" t="s">
        <v>28</v>
      </c>
      <c r="T2443" s="1" t="s">
        <v>29</v>
      </c>
    </row>
    <row r="2444" customFormat="false" ht="18.7" hidden="false" customHeight="true" outlineLevel="0" collapsed="false">
      <c r="A2444" s="1" t="n">
        <v>2443</v>
      </c>
      <c r="B2444" s="6" t="str">
        <f aca="false">HYPERLINK("https://mncourtfraud.com/file/MCRO_27-CR-21-933_Witness List_2021-05-21_20240430075239.pdf","MCRO_27-CR-21-933_Witness List_2021-05-21_20240430075239.pdf")</f>
        <v>MCRO_27-CR-21-933_Witness List_2021-05-21_20240430075239.pdf</v>
      </c>
      <c r="C2444" s="1" t="n">
        <v>3</v>
      </c>
      <c r="D2444" s="1" t="n">
        <v>1</v>
      </c>
      <c r="E2444" s="1" t="n">
        <v>1</v>
      </c>
      <c r="F2444" s="3" t="s">
        <v>20</v>
      </c>
      <c r="G2444" s="3" t="s">
        <v>9913</v>
      </c>
      <c r="H2444" s="1" t="s">
        <v>22</v>
      </c>
      <c r="I2444" s="1" t="n">
        <v>20240430075239</v>
      </c>
      <c r="J2444" s="3" t="s">
        <v>9914</v>
      </c>
      <c r="K2444" s="3" t="s">
        <v>9915</v>
      </c>
      <c r="L2444" s="3" t="s">
        <v>9916</v>
      </c>
      <c r="M2444" s="3" t="n">
        <v>252735</v>
      </c>
      <c r="N2444" s="3" t="s">
        <v>2813</v>
      </c>
      <c r="O2444" s="1" t="n">
        <v>236349</v>
      </c>
      <c r="P2444" s="1" t="n">
        <v>93.52</v>
      </c>
      <c r="Q2444" s="1" t="s">
        <v>20</v>
      </c>
      <c r="R2444" s="1" t="s">
        <v>27</v>
      </c>
      <c r="S2444" s="1" t="s">
        <v>28</v>
      </c>
      <c r="T2444" s="1" t="s">
        <v>29</v>
      </c>
    </row>
    <row r="2445" customFormat="false" ht="18.7" hidden="false" customHeight="true" outlineLevel="0" collapsed="false">
      <c r="A2445" s="1" t="n">
        <v>2444</v>
      </c>
      <c r="B2445" s="6" t="str">
        <f aca="false">HYPERLINK("https://mncourtfraud.com/file/MCRO_27-CR-21-933_Witness List_2022-10-21_20240430075234.pdf","MCRO_27-CR-21-933_Witness List_2022-10-21_20240430075234.pdf")</f>
        <v>MCRO_27-CR-21-933_Witness List_2022-10-21_20240430075234.pdf</v>
      </c>
      <c r="C2445" s="1" t="n">
        <v>3</v>
      </c>
      <c r="D2445" s="1" t="n">
        <v>1</v>
      </c>
      <c r="E2445" s="1" t="n">
        <v>1</v>
      </c>
      <c r="F2445" s="3" t="s">
        <v>20</v>
      </c>
      <c r="G2445" s="3" t="s">
        <v>9917</v>
      </c>
      <c r="H2445" s="1" t="s">
        <v>22</v>
      </c>
      <c r="I2445" s="1" t="n">
        <v>20240430075234</v>
      </c>
      <c r="J2445" s="3" t="s">
        <v>9918</v>
      </c>
      <c r="K2445" s="3" t="s">
        <v>9919</v>
      </c>
      <c r="L2445" s="3" t="s">
        <v>9920</v>
      </c>
      <c r="M2445" s="3" t="n">
        <v>250434</v>
      </c>
      <c r="N2445" s="3" t="s">
        <v>2813</v>
      </c>
      <c r="O2445" s="1" t="n">
        <v>234048</v>
      </c>
      <c r="P2445" s="1" t="n">
        <v>93.46</v>
      </c>
      <c r="Q2445" s="1" t="s">
        <v>20</v>
      </c>
      <c r="R2445" s="1" t="s">
        <v>27</v>
      </c>
      <c r="S2445" s="1" t="s">
        <v>28</v>
      </c>
      <c r="T2445" s="1" t="s">
        <v>29</v>
      </c>
    </row>
    <row r="2446" customFormat="false" ht="18.7" hidden="false" customHeight="true" outlineLevel="0" collapsed="false">
      <c r="A2446" s="1" t="n">
        <v>2445</v>
      </c>
      <c r="B2446" s="6" t="str">
        <f aca="false">HYPERLINK("https://mncourtfraud.com/file/MCRO_27-CR-22-10055_Law Enforcement Bail Bond Receipt_2024-04-03_20240429152743.pdf","MCRO_27-CR-22-10055_Law Enforcement Bail Bond Receipt_2024-04-03_20240429152743.pdf")</f>
        <v>MCRO_27-CR-22-10055_Law Enforcement Bail Bond Receipt_2024-04-03_20240429152743.pdf</v>
      </c>
      <c r="C2446" s="1" t="n">
        <v>4</v>
      </c>
      <c r="D2446" s="1" t="n">
        <v>1</v>
      </c>
      <c r="E2446" s="1" t="n">
        <v>1</v>
      </c>
      <c r="F2446" s="3" t="s">
        <v>20</v>
      </c>
      <c r="G2446" s="3" t="s">
        <v>9921</v>
      </c>
      <c r="H2446" s="1" t="s">
        <v>22</v>
      </c>
      <c r="I2446" s="1" t="n">
        <v>20240429152743</v>
      </c>
      <c r="J2446" s="3" t="s">
        <v>9922</v>
      </c>
      <c r="K2446" s="3" t="s">
        <v>9923</v>
      </c>
      <c r="L2446" s="3" t="s">
        <v>9924</v>
      </c>
      <c r="M2446" s="3" t="n">
        <v>239275</v>
      </c>
      <c r="N2446" s="3" t="s">
        <v>1159</v>
      </c>
      <c r="O2446" s="1" t="n">
        <v>222889</v>
      </c>
      <c r="P2446" s="1" t="n">
        <v>93.15</v>
      </c>
      <c r="Q2446" s="1" t="s">
        <v>20</v>
      </c>
      <c r="R2446" s="1" t="s">
        <v>27</v>
      </c>
      <c r="S2446" s="1" t="s">
        <v>28</v>
      </c>
      <c r="T2446" s="1" t="s">
        <v>29</v>
      </c>
    </row>
    <row r="2447" customFormat="false" ht="18.7" hidden="false" customHeight="true" outlineLevel="0" collapsed="false">
      <c r="A2447" s="1" t="n">
        <v>2446</v>
      </c>
      <c r="B2447" s="6" t="str">
        <f aca="false">HYPERLINK("https://mncourtfraud.com/file/MCRO_27-CR-22-10055_Notice of Hearing_2023-04-06_20240429152801.pdf","MCRO_27-CR-22-10055_Notice of Hearing_2023-04-06_20240429152801.pdf")</f>
        <v>MCRO_27-CR-22-10055_Notice of Hearing_2023-04-06_20240429152801.pdf</v>
      </c>
      <c r="C2447" s="1" t="n">
        <v>4</v>
      </c>
      <c r="D2447" s="1" t="n">
        <v>1</v>
      </c>
      <c r="E2447" s="1" t="n">
        <v>1</v>
      </c>
      <c r="F2447" s="3" t="s">
        <v>20</v>
      </c>
      <c r="G2447" s="3" t="s">
        <v>9925</v>
      </c>
      <c r="H2447" s="1" t="s">
        <v>22</v>
      </c>
      <c r="I2447" s="1" t="n">
        <v>20240429152801</v>
      </c>
      <c r="J2447" s="3" t="s">
        <v>9926</v>
      </c>
      <c r="K2447" s="3" t="s">
        <v>9927</v>
      </c>
      <c r="L2447" s="3" t="s">
        <v>9928</v>
      </c>
      <c r="M2447" s="3" t="n">
        <v>566840</v>
      </c>
      <c r="N2447" s="3" t="s">
        <v>1128</v>
      </c>
      <c r="O2447" s="1" t="n">
        <v>550454</v>
      </c>
      <c r="P2447" s="1" t="n">
        <v>97.11</v>
      </c>
      <c r="Q2447" s="1" t="s">
        <v>20</v>
      </c>
      <c r="R2447" s="1" t="s">
        <v>27</v>
      </c>
      <c r="S2447" s="1" t="s">
        <v>28</v>
      </c>
      <c r="T2447" s="1" t="s">
        <v>29</v>
      </c>
    </row>
    <row r="2448" customFormat="false" ht="18.7" hidden="false" customHeight="true" outlineLevel="0" collapsed="false">
      <c r="A2448" s="1" t="n">
        <v>2447</v>
      </c>
      <c r="B2448" s="6" t="str">
        <f aca="false">HYPERLINK("https://mncourtfraud.com/file/MCRO_27-CR-22-10055_Notice of Hearing_2023-04-20_20240429152759.pdf","MCRO_27-CR-22-10055_Notice of Hearing_2023-04-20_20240429152759.pdf")</f>
        <v>MCRO_27-CR-22-10055_Notice of Hearing_2023-04-20_20240429152759.pdf</v>
      </c>
      <c r="C2448" s="1" t="n">
        <v>4</v>
      </c>
      <c r="D2448" s="1" t="n">
        <v>1</v>
      </c>
      <c r="E2448" s="1" t="n">
        <v>1</v>
      </c>
      <c r="F2448" s="3" t="s">
        <v>20</v>
      </c>
      <c r="G2448" s="3" t="s">
        <v>9929</v>
      </c>
      <c r="H2448" s="1" t="s">
        <v>22</v>
      </c>
      <c r="I2448" s="1" t="n">
        <v>20240429152759</v>
      </c>
      <c r="J2448" s="3" t="s">
        <v>9930</v>
      </c>
      <c r="K2448" s="3" t="s">
        <v>9931</v>
      </c>
      <c r="L2448" s="3" t="s">
        <v>9932</v>
      </c>
      <c r="M2448" s="3" t="n">
        <v>102408</v>
      </c>
      <c r="N2448" s="3" t="s">
        <v>435</v>
      </c>
      <c r="O2448" s="1" t="n">
        <v>86022</v>
      </c>
      <c r="P2448" s="1" t="n">
        <v>84</v>
      </c>
      <c r="Q2448" s="1" t="s">
        <v>20</v>
      </c>
      <c r="R2448" s="1" t="s">
        <v>27</v>
      </c>
      <c r="S2448" s="1" t="s">
        <v>28</v>
      </c>
      <c r="T2448" s="1" t="s">
        <v>29</v>
      </c>
    </row>
    <row r="2449" customFormat="false" ht="18.7" hidden="false" customHeight="true" outlineLevel="0" collapsed="false">
      <c r="A2449" s="1" t="n">
        <v>2448</v>
      </c>
      <c r="B2449" s="6" t="str">
        <f aca="false">HYPERLINK("https://mncourtfraud.com/file/MCRO_27-CR-22-10055_Notice of Hearing_2023-05-08_20240429152758.pdf","MCRO_27-CR-22-10055_Notice of Hearing_2023-05-08_20240429152758.pdf")</f>
        <v>MCRO_27-CR-22-10055_Notice of Hearing_2023-05-08_20240429152758.pdf</v>
      </c>
      <c r="C2449" s="1" t="n">
        <v>4</v>
      </c>
      <c r="D2449" s="1" t="n">
        <v>1</v>
      </c>
      <c r="E2449" s="1" t="n">
        <v>1</v>
      </c>
      <c r="F2449" s="3" t="s">
        <v>20</v>
      </c>
      <c r="G2449" s="3" t="s">
        <v>9933</v>
      </c>
      <c r="H2449" s="1" t="s">
        <v>22</v>
      </c>
      <c r="I2449" s="1" t="n">
        <v>20240429152758</v>
      </c>
      <c r="J2449" s="3" t="s">
        <v>9934</v>
      </c>
      <c r="K2449" s="3" t="s">
        <v>9935</v>
      </c>
      <c r="L2449" s="3" t="s">
        <v>9936</v>
      </c>
      <c r="M2449" s="3" t="n">
        <v>436206</v>
      </c>
      <c r="N2449" s="3" t="s">
        <v>158</v>
      </c>
      <c r="O2449" s="1" t="n">
        <v>419820</v>
      </c>
      <c r="P2449" s="1" t="n">
        <v>96.24</v>
      </c>
      <c r="Q2449" s="1" t="s">
        <v>20</v>
      </c>
      <c r="R2449" s="1" t="s">
        <v>27</v>
      </c>
      <c r="S2449" s="1" t="s">
        <v>28</v>
      </c>
      <c r="T2449" s="1" t="s">
        <v>29</v>
      </c>
    </row>
    <row r="2450" customFormat="false" ht="18.7" hidden="false" customHeight="true" outlineLevel="0" collapsed="false">
      <c r="A2450" s="1" t="n">
        <v>2449</v>
      </c>
      <c r="B2450" s="6" t="str">
        <f aca="false">HYPERLINK("https://mncourtfraud.com/file/MCRO_27-CR-22-10055_Notice of Hearing_2023-07-03_20240429152757.pdf","MCRO_27-CR-22-10055_Notice of Hearing_2023-07-03_20240429152757.pdf")</f>
        <v>MCRO_27-CR-22-10055_Notice of Hearing_2023-07-03_20240429152757.pdf</v>
      </c>
      <c r="C2450" s="1" t="n">
        <v>4</v>
      </c>
      <c r="D2450" s="1" t="n">
        <v>1</v>
      </c>
      <c r="E2450" s="1" t="n">
        <v>1</v>
      </c>
      <c r="F2450" s="3" t="s">
        <v>20</v>
      </c>
      <c r="G2450" s="3" t="s">
        <v>9937</v>
      </c>
      <c r="H2450" s="1" t="s">
        <v>22</v>
      </c>
      <c r="I2450" s="1" t="n">
        <v>20240429152757</v>
      </c>
      <c r="J2450" s="3" t="s">
        <v>9938</v>
      </c>
      <c r="K2450" s="3" t="s">
        <v>9939</v>
      </c>
      <c r="L2450" s="3" t="s">
        <v>9940</v>
      </c>
      <c r="M2450" s="3" t="n">
        <v>103505</v>
      </c>
      <c r="N2450" s="3" t="s">
        <v>435</v>
      </c>
      <c r="O2450" s="1" t="n">
        <v>87119</v>
      </c>
      <c r="P2450" s="1" t="n">
        <v>84.17</v>
      </c>
      <c r="Q2450" s="1" t="s">
        <v>20</v>
      </c>
      <c r="R2450" s="1" t="s">
        <v>27</v>
      </c>
      <c r="S2450" s="1" t="s">
        <v>28</v>
      </c>
      <c r="T2450" s="1" t="s">
        <v>29</v>
      </c>
    </row>
    <row r="2451" customFormat="false" ht="18.7" hidden="false" customHeight="true" outlineLevel="0" collapsed="false">
      <c r="A2451" s="1" t="n">
        <v>2450</v>
      </c>
      <c r="B2451" s="6" t="str">
        <f aca="false">HYPERLINK("https://mncourtfraud.com/file/MCRO_27-CR-22-10055_Notice of Hearing_2023-07-19_20240429152754.pdf","MCRO_27-CR-22-10055_Notice of Hearing_2023-07-19_20240429152754.pdf")</f>
        <v>MCRO_27-CR-22-10055_Notice of Hearing_2023-07-19_20240429152754.pdf</v>
      </c>
      <c r="C2451" s="1" t="n">
        <v>5</v>
      </c>
      <c r="D2451" s="1" t="n">
        <v>1</v>
      </c>
      <c r="E2451" s="1" t="n">
        <v>1</v>
      </c>
      <c r="F2451" s="3" t="s">
        <v>20</v>
      </c>
      <c r="G2451" s="3" t="s">
        <v>9941</v>
      </c>
      <c r="H2451" s="1" t="s">
        <v>22</v>
      </c>
      <c r="I2451" s="1" t="n">
        <v>20240429152754</v>
      </c>
      <c r="J2451" s="3" t="s">
        <v>9942</v>
      </c>
      <c r="K2451" s="3" t="s">
        <v>9943</v>
      </c>
      <c r="L2451" s="3" t="s">
        <v>9944</v>
      </c>
      <c r="M2451" s="3" t="n">
        <v>740057</v>
      </c>
      <c r="N2451" s="3" t="s">
        <v>722</v>
      </c>
      <c r="O2451" s="1" t="n">
        <v>723671</v>
      </c>
      <c r="P2451" s="1" t="n">
        <v>97.79</v>
      </c>
      <c r="Q2451" s="1" t="s">
        <v>20</v>
      </c>
      <c r="R2451" s="1" t="s">
        <v>27</v>
      </c>
      <c r="S2451" s="1" t="s">
        <v>28</v>
      </c>
      <c r="T2451" s="1" t="s">
        <v>29</v>
      </c>
    </row>
    <row r="2452" customFormat="false" ht="18.7" hidden="false" customHeight="true" outlineLevel="0" collapsed="false">
      <c r="A2452" s="1" t="n">
        <v>2451</v>
      </c>
      <c r="B2452" s="6" t="str">
        <f aca="false">HYPERLINK("https://mncourtfraud.com/file/MCRO_27-CR-22-10055_Notice of Hearing_2023-09-21_20240429152750.pdf","MCRO_27-CR-22-10055_Notice of Hearing_2023-09-21_20240429152750.pdf")</f>
        <v>MCRO_27-CR-22-10055_Notice of Hearing_2023-09-21_20240429152750.pdf</v>
      </c>
      <c r="C2452" s="1" t="n">
        <v>4</v>
      </c>
      <c r="D2452" s="1" t="n">
        <v>1</v>
      </c>
      <c r="E2452" s="1" t="n">
        <v>1</v>
      </c>
      <c r="F2452" s="3" t="s">
        <v>20</v>
      </c>
      <c r="G2452" s="3" t="s">
        <v>9945</v>
      </c>
      <c r="H2452" s="1" t="s">
        <v>22</v>
      </c>
      <c r="I2452" s="1" t="n">
        <v>20240429152750</v>
      </c>
      <c r="J2452" s="3" t="s">
        <v>9946</v>
      </c>
      <c r="K2452" s="3" t="s">
        <v>9947</v>
      </c>
      <c r="L2452" s="3" t="s">
        <v>9948</v>
      </c>
      <c r="M2452" s="3" t="n">
        <v>97365</v>
      </c>
      <c r="N2452" s="3" t="s">
        <v>435</v>
      </c>
      <c r="O2452" s="1" t="n">
        <v>80979</v>
      </c>
      <c r="P2452" s="1" t="n">
        <v>83.17</v>
      </c>
      <c r="Q2452" s="1" t="s">
        <v>20</v>
      </c>
      <c r="R2452" s="1" t="s">
        <v>27</v>
      </c>
      <c r="S2452" s="1" t="s">
        <v>28</v>
      </c>
      <c r="T2452" s="1" t="s">
        <v>29</v>
      </c>
    </row>
    <row r="2453" customFormat="false" ht="18.7" hidden="false" customHeight="true" outlineLevel="0" collapsed="false">
      <c r="A2453" s="1" t="n">
        <v>2452</v>
      </c>
      <c r="B2453" s="6" t="str">
        <f aca="false">HYPERLINK("https://mncourtfraud.com/file/MCRO_27-CR-22-10055_Notice of Hearing_2023-12-12_20240429152747.pdf","MCRO_27-CR-22-10055_Notice of Hearing_2023-12-12_20240429152747.pdf")</f>
        <v>MCRO_27-CR-22-10055_Notice of Hearing_2023-12-12_20240429152747.pdf</v>
      </c>
      <c r="C2453" s="1" t="n">
        <v>5</v>
      </c>
      <c r="D2453" s="1" t="n">
        <v>1</v>
      </c>
      <c r="E2453" s="1" t="n">
        <v>1</v>
      </c>
      <c r="F2453" s="3" t="s">
        <v>20</v>
      </c>
      <c r="G2453" s="3" t="s">
        <v>9949</v>
      </c>
      <c r="H2453" s="1" t="s">
        <v>22</v>
      </c>
      <c r="I2453" s="1" t="n">
        <v>20240429152747</v>
      </c>
      <c r="J2453" s="3" t="s">
        <v>9950</v>
      </c>
      <c r="K2453" s="3" t="s">
        <v>9951</v>
      </c>
      <c r="L2453" s="3" t="s">
        <v>3997</v>
      </c>
      <c r="M2453" s="3" t="n">
        <v>729329</v>
      </c>
      <c r="N2453" s="3" t="s">
        <v>1278</v>
      </c>
      <c r="O2453" s="1" t="n">
        <v>712943</v>
      </c>
      <c r="P2453" s="1" t="n">
        <v>97.75</v>
      </c>
      <c r="Q2453" s="1" t="s">
        <v>20</v>
      </c>
      <c r="R2453" s="1" t="s">
        <v>27</v>
      </c>
      <c r="S2453" s="1" t="s">
        <v>28</v>
      </c>
      <c r="T2453" s="1" t="s">
        <v>29</v>
      </c>
    </row>
    <row r="2454" customFormat="false" ht="18.7" hidden="false" customHeight="true" outlineLevel="0" collapsed="false">
      <c r="A2454" s="1" t="n">
        <v>2453</v>
      </c>
      <c r="B2454" s="6" t="str">
        <f aca="false">HYPERLINK("https://mncourtfraud.com/file/MCRO_27-CR-22-10055_Notice of Hearing_2024-04-18_20240429152742.pdf","MCRO_27-CR-22-10055_Notice of Hearing_2024-04-18_20240429152742.pdf")</f>
        <v>MCRO_27-CR-22-10055_Notice of Hearing_2024-04-18_20240429152742.pdf</v>
      </c>
      <c r="C2454" s="1" t="n">
        <v>4</v>
      </c>
      <c r="D2454" s="1" t="n">
        <v>1</v>
      </c>
      <c r="E2454" s="1" t="n">
        <v>1</v>
      </c>
      <c r="F2454" s="3" t="s">
        <v>20</v>
      </c>
      <c r="G2454" s="3" t="s">
        <v>9952</v>
      </c>
      <c r="H2454" s="1" t="s">
        <v>22</v>
      </c>
      <c r="I2454" s="1" t="n">
        <v>20240429152742</v>
      </c>
      <c r="J2454" s="3" t="s">
        <v>9953</v>
      </c>
      <c r="K2454" s="3" t="s">
        <v>9954</v>
      </c>
      <c r="L2454" s="3" t="s">
        <v>9955</v>
      </c>
      <c r="M2454" s="3" t="n">
        <v>431538</v>
      </c>
      <c r="N2454" s="3" t="s">
        <v>158</v>
      </c>
      <c r="O2454" s="1" t="n">
        <v>415152</v>
      </c>
      <c r="P2454" s="1" t="n">
        <v>96.2</v>
      </c>
      <c r="Q2454" s="1" t="s">
        <v>20</v>
      </c>
      <c r="R2454" s="1" t="s">
        <v>27</v>
      </c>
      <c r="S2454" s="1" t="s">
        <v>28</v>
      </c>
      <c r="T2454" s="1" t="s">
        <v>29</v>
      </c>
    </row>
    <row r="2455" customFormat="false" ht="18.7" hidden="false" customHeight="true" outlineLevel="0" collapsed="false">
      <c r="A2455" s="1" t="n">
        <v>2454</v>
      </c>
      <c r="B2455" s="6" t="str">
        <f aca="false">HYPERLINK("https://mncourtfraud.com/file/MCRO_27-CR-22-10055_Notice of Remote Hearing with Instructions_2022-06-06_20240429152802.pdf","MCRO_27-CR-22-10055_Notice of Remote Hearing with Instructions_2022-06-06_20240429152802.pdf")</f>
        <v>MCRO_27-CR-22-10055_Notice of Remote Hearing with Instructions_2022-06-06_20240429152802.pdf</v>
      </c>
      <c r="C2455" s="1" t="n">
        <v>5</v>
      </c>
      <c r="D2455" s="1" t="n">
        <v>1</v>
      </c>
      <c r="E2455" s="1" t="n">
        <v>1</v>
      </c>
      <c r="F2455" s="3" t="s">
        <v>20</v>
      </c>
      <c r="G2455" s="3" t="s">
        <v>9956</v>
      </c>
      <c r="H2455" s="1" t="s">
        <v>22</v>
      </c>
      <c r="I2455" s="1" t="n">
        <v>20240429152802</v>
      </c>
      <c r="J2455" s="3" t="s">
        <v>9957</v>
      </c>
      <c r="K2455" s="3" t="s">
        <v>9958</v>
      </c>
      <c r="L2455" s="3" t="s">
        <v>9959</v>
      </c>
      <c r="M2455" s="3" t="n">
        <v>888706</v>
      </c>
      <c r="N2455" s="3" t="s">
        <v>854</v>
      </c>
      <c r="O2455" s="1" t="n">
        <v>872320</v>
      </c>
      <c r="P2455" s="1" t="n">
        <v>98.16</v>
      </c>
      <c r="Q2455" s="1" t="s">
        <v>20</v>
      </c>
      <c r="R2455" s="1" t="s">
        <v>27</v>
      </c>
      <c r="S2455" s="1" t="s">
        <v>28</v>
      </c>
      <c r="T2455" s="1" t="s">
        <v>29</v>
      </c>
    </row>
    <row r="2456" customFormat="false" ht="18.7" hidden="false" customHeight="true" outlineLevel="0" collapsed="false">
      <c r="A2456" s="1" t="n">
        <v>2455</v>
      </c>
      <c r="B2456" s="6" t="str">
        <f aca="false">HYPERLINK("https://mncourtfraud.com/file/MCRO_27-CR-22-10055_Notice of Remote Hearing with Instructions_2023-07-19_20240429152755.pdf","MCRO_27-CR-22-10055_Notice of Remote Hearing with Instructions_2023-07-19_20240429152755.pdf")</f>
        <v>MCRO_27-CR-22-10055_Notice of Remote Hearing with Instructions_2023-07-19_20240429152755.pdf</v>
      </c>
      <c r="C2456" s="1" t="n">
        <v>5</v>
      </c>
      <c r="D2456" s="1" t="n">
        <v>1</v>
      </c>
      <c r="E2456" s="1" t="n">
        <v>1</v>
      </c>
      <c r="F2456" s="3" t="s">
        <v>20</v>
      </c>
      <c r="G2456" s="3" t="s">
        <v>9960</v>
      </c>
      <c r="H2456" s="1" t="s">
        <v>22</v>
      </c>
      <c r="I2456" s="1" t="n">
        <v>20240429152755</v>
      </c>
      <c r="J2456" s="3" t="s">
        <v>9961</v>
      </c>
      <c r="K2456" s="3" t="s">
        <v>9962</v>
      </c>
      <c r="L2456" s="3" t="s">
        <v>6004</v>
      </c>
      <c r="M2456" s="3" t="n">
        <v>846139</v>
      </c>
      <c r="N2456" s="3" t="s">
        <v>1239</v>
      </c>
      <c r="O2456" s="1" t="n">
        <v>829753</v>
      </c>
      <c r="P2456" s="1" t="n">
        <v>98.06</v>
      </c>
      <c r="Q2456" s="1" t="s">
        <v>20</v>
      </c>
      <c r="R2456" s="1" t="s">
        <v>27</v>
      </c>
      <c r="S2456" s="1" t="s">
        <v>28</v>
      </c>
      <c r="T2456" s="1" t="s">
        <v>29</v>
      </c>
    </row>
    <row r="2457" customFormat="false" ht="18.7" hidden="false" customHeight="true" outlineLevel="0" collapsed="false">
      <c r="A2457" s="1" t="n">
        <v>2456</v>
      </c>
      <c r="B2457" s="6" t="str">
        <f aca="false">HYPERLINK("https://mncourtfraud.com/file/MCRO_27-CR-22-10055_Notice of Remote Hearing with Instructions_2023-09-19_20240429152753.pdf","MCRO_27-CR-22-10055_Notice of Remote Hearing with Instructions_2023-09-19_20240429152753.pdf")</f>
        <v>MCRO_27-CR-22-10055_Notice of Remote Hearing with Instructions_2023-09-19_20240429152753.pdf</v>
      </c>
      <c r="C2457" s="1" t="n">
        <v>5</v>
      </c>
      <c r="D2457" s="1" t="n">
        <v>1</v>
      </c>
      <c r="E2457" s="1" t="n">
        <v>1</v>
      </c>
      <c r="F2457" s="3" t="s">
        <v>20</v>
      </c>
      <c r="G2457" s="3" t="s">
        <v>9963</v>
      </c>
      <c r="H2457" s="1" t="s">
        <v>22</v>
      </c>
      <c r="I2457" s="1" t="n">
        <v>20240429152753</v>
      </c>
      <c r="J2457" s="3" t="s">
        <v>9964</v>
      </c>
      <c r="K2457" s="3" t="s">
        <v>9965</v>
      </c>
      <c r="L2457" s="3" t="s">
        <v>9966</v>
      </c>
      <c r="M2457" s="3" t="n">
        <v>859426</v>
      </c>
      <c r="N2457" s="3" t="s">
        <v>1009</v>
      </c>
      <c r="O2457" s="1" t="n">
        <v>843040</v>
      </c>
      <c r="P2457" s="1" t="n">
        <v>98.09</v>
      </c>
      <c r="Q2457" s="1" t="s">
        <v>20</v>
      </c>
      <c r="R2457" s="1" t="s">
        <v>27</v>
      </c>
      <c r="S2457" s="1" t="s">
        <v>28</v>
      </c>
      <c r="T2457" s="1" t="s">
        <v>29</v>
      </c>
    </row>
    <row r="2458" customFormat="false" ht="18.7" hidden="false" customHeight="true" outlineLevel="0" collapsed="false">
      <c r="A2458" s="1" t="n">
        <v>2457</v>
      </c>
      <c r="B2458" s="6" t="str">
        <f aca="false">HYPERLINK("https://mncourtfraud.com/file/MCRO_27-CR-22-10055_Notice of Remote Hearing with Instructions_2023-12-12_20240429152747.pdf","MCRO_27-CR-22-10055_Notice of Remote Hearing with Instructions_2023-12-12_20240429152747.pdf")</f>
        <v>MCRO_27-CR-22-10055_Notice of Remote Hearing with Instructions_2023-12-12_20240429152747.pdf</v>
      </c>
      <c r="C2458" s="1" t="n">
        <v>5</v>
      </c>
      <c r="D2458" s="1" t="n">
        <v>1</v>
      </c>
      <c r="E2458" s="1" t="n">
        <v>1</v>
      </c>
      <c r="F2458" s="3" t="s">
        <v>20</v>
      </c>
      <c r="G2458" s="3" t="s">
        <v>9967</v>
      </c>
      <c r="H2458" s="1" t="s">
        <v>22</v>
      </c>
      <c r="I2458" s="1" t="n">
        <v>20240429152747</v>
      </c>
      <c r="J2458" s="3" t="s">
        <v>9968</v>
      </c>
      <c r="K2458" s="3" t="s">
        <v>9969</v>
      </c>
      <c r="L2458" s="3" t="s">
        <v>9970</v>
      </c>
      <c r="M2458" s="3" t="n">
        <v>855819</v>
      </c>
      <c r="N2458" s="3" t="s">
        <v>1248</v>
      </c>
      <c r="O2458" s="1" t="n">
        <v>839433</v>
      </c>
      <c r="P2458" s="1" t="n">
        <v>98.09</v>
      </c>
      <c r="Q2458" s="1" t="s">
        <v>20</v>
      </c>
      <c r="R2458" s="1" t="s">
        <v>27</v>
      </c>
      <c r="S2458" s="1" t="s">
        <v>28</v>
      </c>
      <c r="T2458" s="1" t="s">
        <v>29</v>
      </c>
    </row>
    <row r="2459" customFormat="false" ht="18.7" hidden="false" customHeight="true" outlineLevel="0" collapsed="false">
      <c r="A2459" s="1" t="n">
        <v>2458</v>
      </c>
      <c r="B2459" s="6" t="str">
        <f aca="false">HYPERLINK("https://mncourtfraud.com/file/MCRO_27-CR-22-10055_Order-Evaluation for Competency to Proceed (Rule 20.01)_2023-07-18_20240429152756.pdf","MCRO_27-CR-22-10055_Order-Evaluation for Competency to Proceed (Rule 20.01)_2023-07-18_20240429152756.pdf")</f>
        <v>MCRO_27-CR-22-10055_Order-Evaluation for Competency to Proceed (Rule 20.01)_2023-07-18_20240429152756.pdf</v>
      </c>
      <c r="C2459" s="1" t="n">
        <v>5</v>
      </c>
      <c r="D2459" s="1" t="n">
        <v>1</v>
      </c>
      <c r="E2459" s="1" t="n">
        <v>1</v>
      </c>
      <c r="F2459" s="3" t="s">
        <v>20</v>
      </c>
      <c r="G2459" s="3" t="s">
        <v>9971</v>
      </c>
      <c r="H2459" s="1" t="s">
        <v>22</v>
      </c>
      <c r="I2459" s="1" t="n">
        <v>20240429152756</v>
      </c>
      <c r="J2459" s="3" t="s">
        <v>9972</v>
      </c>
      <c r="K2459" s="3" t="s">
        <v>9973</v>
      </c>
      <c r="L2459" s="3" t="s">
        <v>9974</v>
      </c>
      <c r="M2459" s="3" t="n">
        <v>760682</v>
      </c>
      <c r="N2459" s="3" t="s">
        <v>1091</v>
      </c>
      <c r="O2459" s="1" t="n">
        <v>744296</v>
      </c>
      <c r="P2459" s="1" t="n">
        <v>97.85</v>
      </c>
      <c r="Q2459" s="1" t="s">
        <v>20</v>
      </c>
      <c r="R2459" s="1" t="s">
        <v>27</v>
      </c>
      <c r="S2459" s="1" t="s">
        <v>28</v>
      </c>
      <c r="T2459" s="1" t="s">
        <v>29</v>
      </c>
    </row>
    <row r="2460" customFormat="false" ht="18.7" hidden="false" customHeight="true" outlineLevel="0" collapsed="false">
      <c r="A2460" s="1" t="n">
        <v>2459</v>
      </c>
      <c r="B2460" s="6" t="str">
        <f aca="false">HYPERLINK("https://mncourtfraud.com/file/MCRO_27-CR-22-10055_Order-Evaluation for Competency to Proceed (Rule 20.01)_2023-10-10_20240429152748.pdf","MCRO_27-CR-22-10055_Order-Evaluation for Competency to Proceed (Rule 20.01)_2023-10-10_20240429152748.pdf")</f>
        <v>MCRO_27-CR-22-10055_Order-Evaluation for Competency to Proceed (Rule 20.01)_2023-10-10_20240429152748.pdf</v>
      </c>
      <c r="C2460" s="1" t="n">
        <v>5</v>
      </c>
      <c r="D2460" s="1" t="n">
        <v>1</v>
      </c>
      <c r="E2460" s="1" t="n">
        <v>1</v>
      </c>
      <c r="F2460" s="3" t="s">
        <v>20</v>
      </c>
      <c r="G2460" s="3" t="s">
        <v>9975</v>
      </c>
      <c r="H2460" s="1" t="s">
        <v>22</v>
      </c>
      <c r="I2460" s="1" t="n">
        <v>20240429152748</v>
      </c>
      <c r="J2460" s="3" t="s">
        <v>9976</v>
      </c>
      <c r="K2460" s="3" t="s">
        <v>9977</v>
      </c>
      <c r="L2460" s="3" t="s">
        <v>4051</v>
      </c>
      <c r="M2460" s="3" t="n">
        <v>763578</v>
      </c>
      <c r="N2460" s="3" t="s">
        <v>1257</v>
      </c>
      <c r="O2460" s="1" t="n">
        <v>747192</v>
      </c>
      <c r="P2460" s="1" t="n">
        <v>97.85</v>
      </c>
      <c r="Q2460" s="1" t="s">
        <v>20</v>
      </c>
      <c r="R2460" s="1" t="s">
        <v>27</v>
      </c>
      <c r="S2460" s="1" t="s">
        <v>28</v>
      </c>
      <c r="T2460" s="1" t="s">
        <v>29</v>
      </c>
    </row>
    <row r="2461" customFormat="false" ht="18.7" hidden="false" customHeight="true" outlineLevel="0" collapsed="false">
      <c r="A2461" s="1" t="n">
        <v>2460</v>
      </c>
      <c r="B2461" s="6" t="str">
        <f aca="false">HYPERLINK("https://mncourtfraud.com/file/MCRO_27-CR-22-10055_Order for Conditional Release_2024-02-29_20240429152744.pdf","MCRO_27-CR-22-10055_Order for Conditional Release_2024-02-29_20240429152744.pdf")</f>
        <v>MCRO_27-CR-22-10055_Order for Conditional Release_2024-02-29_20240429152744.pdf</v>
      </c>
      <c r="C2461" s="1" t="n">
        <v>4</v>
      </c>
      <c r="D2461" s="1" t="n">
        <v>1</v>
      </c>
      <c r="E2461" s="1" t="n">
        <v>1</v>
      </c>
      <c r="F2461" s="3" t="s">
        <v>20</v>
      </c>
      <c r="G2461" s="3" t="s">
        <v>9978</v>
      </c>
      <c r="H2461" s="1" t="s">
        <v>22</v>
      </c>
      <c r="I2461" s="1" t="n">
        <v>20240429152744</v>
      </c>
      <c r="J2461" s="3" t="s">
        <v>9979</v>
      </c>
      <c r="K2461" s="3" t="s">
        <v>9980</v>
      </c>
      <c r="L2461" s="3" t="s">
        <v>9981</v>
      </c>
      <c r="M2461" s="3" t="n">
        <v>853113</v>
      </c>
      <c r="N2461" s="3" t="s">
        <v>158</v>
      </c>
      <c r="O2461" s="1" t="n">
        <v>836727</v>
      </c>
      <c r="P2461" s="1" t="n">
        <v>98.08</v>
      </c>
      <c r="Q2461" s="1" t="s">
        <v>20</v>
      </c>
      <c r="R2461" s="1" t="s">
        <v>27</v>
      </c>
      <c r="S2461" s="1" t="s">
        <v>28</v>
      </c>
      <c r="T2461" s="1" t="s">
        <v>29</v>
      </c>
    </row>
    <row r="2462" customFormat="false" ht="18.7" hidden="false" customHeight="true" outlineLevel="0" collapsed="false">
      <c r="A2462" s="1" t="n">
        <v>2461</v>
      </c>
      <c r="B2462" s="6" t="str">
        <f aca="false">HYPERLINK("https://mncourtfraud.com/file/MCRO_27-CR-22-10055_Prosecutions Recommendation for Bail_2024-02-01_20240429152745.pdf","MCRO_27-CR-22-10055_Prosecutions Recommendation for Bail_2024-02-01_20240429152745.pdf")</f>
        <v>MCRO_27-CR-22-10055_Prosecutions Recommendation for Bail_2024-02-01_20240429152745.pdf</v>
      </c>
      <c r="C2462" s="1" t="n">
        <v>3</v>
      </c>
      <c r="D2462" s="1" t="n">
        <v>1</v>
      </c>
      <c r="E2462" s="1" t="n">
        <v>1</v>
      </c>
      <c r="F2462" s="3" t="s">
        <v>20</v>
      </c>
      <c r="G2462" s="3" t="s">
        <v>9982</v>
      </c>
      <c r="H2462" s="1" t="s">
        <v>22</v>
      </c>
      <c r="I2462" s="1" t="n">
        <v>20240429152745</v>
      </c>
      <c r="J2462" s="3" t="s">
        <v>9983</v>
      </c>
      <c r="K2462" s="3" t="s">
        <v>9984</v>
      </c>
      <c r="L2462" s="3" t="s">
        <v>9985</v>
      </c>
      <c r="M2462" s="3" t="n">
        <v>129569</v>
      </c>
      <c r="N2462" s="3" t="s">
        <v>3103</v>
      </c>
      <c r="O2462" s="1" t="n">
        <v>113183</v>
      </c>
      <c r="P2462" s="1" t="n">
        <v>87.35</v>
      </c>
      <c r="Q2462" s="1" t="s">
        <v>20</v>
      </c>
      <c r="R2462" s="1" t="s">
        <v>27</v>
      </c>
      <c r="S2462" s="1" t="s">
        <v>28</v>
      </c>
      <c r="T2462" s="1" t="s">
        <v>29</v>
      </c>
    </row>
    <row r="2463" customFormat="false" ht="18.7" hidden="false" customHeight="true" outlineLevel="0" collapsed="false">
      <c r="A2463" s="1" t="n">
        <v>2462</v>
      </c>
      <c r="B2463" s="6" t="str">
        <f aca="false">HYPERLINK("https://mncourtfraud.com/file/MCRO_27-CR-22-10055_Returned Mail_2023-04-17_20240429152800.pdf","MCRO_27-CR-22-10055_Returned Mail_2023-04-17_20240429152800.pdf")</f>
        <v>MCRO_27-CR-22-10055_Returned Mail_2023-04-17_20240429152800.pdf</v>
      </c>
      <c r="C2463" s="1" t="n">
        <v>4</v>
      </c>
      <c r="D2463" s="1" t="n">
        <v>1</v>
      </c>
      <c r="E2463" s="1" t="n">
        <v>1</v>
      </c>
      <c r="F2463" s="3" t="s">
        <v>20</v>
      </c>
      <c r="G2463" s="3" t="s">
        <v>9986</v>
      </c>
      <c r="H2463" s="1" t="s">
        <v>22</v>
      </c>
      <c r="I2463" s="1" t="n">
        <v>20240429152800</v>
      </c>
      <c r="J2463" s="3" t="s">
        <v>9987</v>
      </c>
      <c r="K2463" s="3" t="s">
        <v>9988</v>
      </c>
      <c r="L2463" s="3" t="s">
        <v>1457</v>
      </c>
      <c r="M2463" s="3" t="n">
        <v>235084</v>
      </c>
      <c r="N2463" s="3" t="s">
        <v>119</v>
      </c>
      <c r="O2463" s="1" t="n">
        <v>218698</v>
      </c>
      <c r="P2463" s="1" t="n">
        <v>93.03</v>
      </c>
      <c r="Q2463" s="1" t="s">
        <v>20</v>
      </c>
      <c r="R2463" s="1" t="s">
        <v>27</v>
      </c>
      <c r="S2463" s="1" t="s">
        <v>28</v>
      </c>
      <c r="T2463" s="1" t="s">
        <v>29</v>
      </c>
    </row>
    <row r="2464" customFormat="false" ht="18.7" hidden="false" customHeight="true" outlineLevel="0" collapsed="false">
      <c r="A2464" s="1" t="n">
        <v>2463</v>
      </c>
      <c r="B2464" s="6" t="str">
        <f aca="false">HYPERLINK("https://mncourtfraud.com/file/MCRO_27-CR-22-10055_Returned Mail_2023-09-26_20240429152749.pdf","MCRO_27-CR-22-10055_Returned Mail_2023-09-26_20240429152749.pdf")</f>
        <v>MCRO_27-CR-22-10055_Returned Mail_2023-09-26_20240429152749.pdf</v>
      </c>
      <c r="C2464" s="1" t="n">
        <v>4</v>
      </c>
      <c r="D2464" s="1" t="n">
        <v>1</v>
      </c>
      <c r="E2464" s="1" t="n">
        <v>1</v>
      </c>
      <c r="F2464" s="3" t="s">
        <v>20</v>
      </c>
      <c r="G2464" s="3" t="s">
        <v>9989</v>
      </c>
      <c r="H2464" s="1" t="s">
        <v>22</v>
      </c>
      <c r="I2464" s="1" t="n">
        <v>20240429152749</v>
      </c>
      <c r="J2464" s="3" t="s">
        <v>9990</v>
      </c>
      <c r="K2464" s="3" t="s">
        <v>9991</v>
      </c>
      <c r="L2464" s="3" t="s">
        <v>9992</v>
      </c>
      <c r="M2464" s="3" t="n">
        <v>274401</v>
      </c>
      <c r="N2464" s="3" t="s">
        <v>158</v>
      </c>
      <c r="O2464" s="1" t="n">
        <v>258015</v>
      </c>
      <c r="P2464" s="1" t="n">
        <v>94.03</v>
      </c>
      <c r="Q2464" s="1" t="s">
        <v>20</v>
      </c>
      <c r="R2464" s="1" t="s">
        <v>27</v>
      </c>
      <c r="S2464" s="1" t="s">
        <v>28</v>
      </c>
      <c r="T2464" s="1" t="s">
        <v>29</v>
      </c>
    </row>
    <row r="2465" customFormat="false" ht="18.7" hidden="false" customHeight="true" outlineLevel="0" collapsed="false">
      <c r="A2465" s="1" t="n">
        <v>2464</v>
      </c>
      <c r="B2465" s="6" t="str">
        <f aca="false">HYPERLINK("https://mncourtfraud.com/file/MCRO_27-CR-22-10055_Summons_2022-05-26_20240429152803.pdf","MCRO_27-CR-22-10055_Summons_2022-05-26_20240429152803.pdf")</f>
        <v>MCRO_27-CR-22-10055_Summons_2022-05-26_20240429152803.pdf</v>
      </c>
      <c r="C2465" s="1" t="n">
        <v>5</v>
      </c>
      <c r="D2465" s="1" t="n">
        <v>1</v>
      </c>
      <c r="E2465" s="1" t="n">
        <v>1</v>
      </c>
      <c r="F2465" s="3" t="s">
        <v>20</v>
      </c>
      <c r="G2465" s="3" t="s">
        <v>9993</v>
      </c>
      <c r="H2465" s="1" t="s">
        <v>22</v>
      </c>
      <c r="I2465" s="1" t="n">
        <v>20240429152803</v>
      </c>
      <c r="J2465" s="3" t="s">
        <v>9994</v>
      </c>
      <c r="K2465" s="3" t="s">
        <v>9995</v>
      </c>
      <c r="L2465" s="3" t="s">
        <v>9996</v>
      </c>
      <c r="M2465" s="3" t="n">
        <v>695861</v>
      </c>
      <c r="N2465" s="3" t="s">
        <v>9997</v>
      </c>
      <c r="O2465" s="1" t="n">
        <v>679475</v>
      </c>
      <c r="P2465" s="1" t="n">
        <v>97.65</v>
      </c>
      <c r="Q2465" s="1" t="s">
        <v>20</v>
      </c>
      <c r="R2465" s="1" t="s">
        <v>27</v>
      </c>
      <c r="S2465" s="1" t="s">
        <v>28</v>
      </c>
      <c r="T2465" s="1" t="s">
        <v>29</v>
      </c>
    </row>
    <row r="2466" customFormat="false" ht="18.7" hidden="false" customHeight="true" outlineLevel="0" collapsed="false">
      <c r="A2466" s="1" t="n">
        <v>2465</v>
      </c>
      <c r="B2466" s="6" t="str">
        <f aca="false">HYPERLINK("https://mncourtfraud.com/file/MCRO_27-CR-22-10646_E-filed Comp-Order for Detention_2022-06-03_20240429153003.pdf","MCRO_27-CR-22-10646_E-filed Comp-Order for Detention_2022-06-03_20240429153003.pdf")</f>
        <v>MCRO_27-CR-22-10646_E-filed Comp-Order for Detention_2022-06-03_20240429153003.pdf</v>
      </c>
      <c r="C2466" s="1" t="n">
        <v>4</v>
      </c>
      <c r="D2466" s="1" t="n">
        <v>2</v>
      </c>
      <c r="E2466" s="1" t="n">
        <v>2</v>
      </c>
      <c r="F2466" s="3" t="s">
        <v>20</v>
      </c>
      <c r="G2466" s="3" t="s">
        <v>9998</v>
      </c>
      <c r="H2466" s="1" t="s">
        <v>22</v>
      </c>
      <c r="I2466" s="1" t="n">
        <v>20240429153003</v>
      </c>
      <c r="J2466" s="3" t="s">
        <v>9999</v>
      </c>
      <c r="K2466" s="3" t="s">
        <v>10000</v>
      </c>
      <c r="L2466" s="3" t="s">
        <v>10001</v>
      </c>
      <c r="M2466" s="3" t="n">
        <v>502073</v>
      </c>
      <c r="N2466" s="3" t="s">
        <v>796</v>
      </c>
      <c r="O2466" s="1" t="n">
        <v>485687</v>
      </c>
      <c r="P2466" s="1" t="n">
        <v>96.74</v>
      </c>
      <c r="Q2466" s="1" t="s">
        <v>20</v>
      </c>
      <c r="R2466" s="1" t="s">
        <v>27</v>
      </c>
      <c r="S2466" s="1" t="s">
        <v>28</v>
      </c>
      <c r="T2466" s="1" t="s">
        <v>29</v>
      </c>
    </row>
    <row r="2467" customFormat="false" ht="18.7" hidden="false" customHeight="true" outlineLevel="0" collapsed="false">
      <c r="A2467" s="1" t="n">
        <v>2466</v>
      </c>
      <c r="B2467" s="6" t="str">
        <f aca="false">HYPERLINK("https://mncourtfraud.com/file/MCRO_27-CR-22-10646_Finding of Incompetency and Order_2023-11-28_20240429152949.pdf","MCRO_27-CR-22-10646_Finding of Incompetency and Order_2023-11-28_20240429152949.pdf")</f>
        <v>MCRO_27-CR-22-10646_Finding of Incompetency and Order_2023-11-28_20240429152949.pdf</v>
      </c>
      <c r="C2467" s="1" t="n">
        <v>9</v>
      </c>
      <c r="D2467" s="1" t="n">
        <v>3</v>
      </c>
      <c r="E2467" s="1" t="n">
        <v>3</v>
      </c>
      <c r="F2467" s="3" t="s">
        <v>20</v>
      </c>
      <c r="G2467" s="3" t="s">
        <v>10002</v>
      </c>
      <c r="H2467" s="1" t="s">
        <v>22</v>
      </c>
      <c r="I2467" s="1" t="n">
        <v>20240429152949</v>
      </c>
      <c r="J2467" s="3" t="s">
        <v>10003</v>
      </c>
      <c r="K2467" s="3" t="s">
        <v>10004</v>
      </c>
      <c r="L2467" s="3" t="s">
        <v>10005</v>
      </c>
      <c r="M2467" s="3" t="n">
        <v>926610</v>
      </c>
      <c r="N2467" s="3" t="s">
        <v>1503</v>
      </c>
      <c r="O2467" s="1" t="n">
        <v>910224</v>
      </c>
      <c r="P2467" s="1" t="n">
        <v>98.23</v>
      </c>
      <c r="Q2467" s="1" t="s">
        <v>20</v>
      </c>
      <c r="R2467" s="1" t="s">
        <v>27</v>
      </c>
      <c r="S2467" s="1" t="s">
        <v>28</v>
      </c>
      <c r="T2467" s="1" t="s">
        <v>29</v>
      </c>
    </row>
    <row r="2468" customFormat="false" ht="18.7" hidden="false" customHeight="true" outlineLevel="0" collapsed="false">
      <c r="A2468" s="1" t="n">
        <v>2467</v>
      </c>
      <c r="B2468" s="6" t="str">
        <f aca="false">HYPERLINK("https://mncourtfraud.com/file/MCRO_27-CR-22-10646_Findings and Order_2022-09-13_20240429152959.pdf","MCRO_27-CR-22-10646_Findings and Order_2022-09-13_20240429152959.pdf")</f>
        <v>MCRO_27-CR-22-10646_Findings and Order_2022-09-13_20240429152959.pdf</v>
      </c>
      <c r="C2468" s="1" t="n">
        <v>6</v>
      </c>
      <c r="D2468" s="1" t="n">
        <v>1</v>
      </c>
      <c r="E2468" s="1" t="n">
        <v>1</v>
      </c>
      <c r="F2468" s="3" t="s">
        <v>20</v>
      </c>
      <c r="G2468" s="3" t="s">
        <v>10006</v>
      </c>
      <c r="H2468" s="1" t="s">
        <v>22</v>
      </c>
      <c r="I2468" s="1" t="n">
        <v>20240429152959</v>
      </c>
      <c r="J2468" s="3" t="s">
        <v>10007</v>
      </c>
      <c r="K2468" s="3" t="s">
        <v>10008</v>
      </c>
      <c r="L2468" s="3" t="s">
        <v>10009</v>
      </c>
      <c r="M2468" s="3" t="n">
        <v>268327</v>
      </c>
      <c r="N2468" s="3" t="s">
        <v>3837</v>
      </c>
      <c r="O2468" s="1" t="n">
        <v>251941</v>
      </c>
      <c r="P2468" s="1" t="n">
        <v>93.89</v>
      </c>
      <c r="Q2468" s="1" t="s">
        <v>20</v>
      </c>
      <c r="R2468" s="1" t="s">
        <v>27</v>
      </c>
      <c r="S2468" s="1" t="s">
        <v>28</v>
      </c>
      <c r="T2468" s="1" t="s">
        <v>29</v>
      </c>
    </row>
    <row r="2469" customFormat="false" ht="18.7" hidden="false" customHeight="true" outlineLevel="0" collapsed="false">
      <c r="A2469" s="1" t="n">
        <v>2468</v>
      </c>
      <c r="B2469" s="6" t="str">
        <f aca="false">HYPERLINK("https://mncourtfraud.com/file/MCRO_27-CR-22-10646_Notice of Intent to Prosecute_2022-09-14_20240429152958.pdf","MCRO_27-CR-22-10646_Notice of Intent to Prosecute_2022-09-14_20240429152958.pdf")</f>
        <v>MCRO_27-CR-22-10646_Notice of Intent to Prosecute_2022-09-14_20240429152958.pdf</v>
      </c>
      <c r="C2469" s="1" t="n">
        <v>3</v>
      </c>
      <c r="D2469" s="1" t="n">
        <v>1</v>
      </c>
      <c r="E2469" s="1" t="n">
        <v>1</v>
      </c>
      <c r="F2469" s="3" t="s">
        <v>20</v>
      </c>
      <c r="G2469" s="3" t="s">
        <v>10010</v>
      </c>
      <c r="H2469" s="1" t="s">
        <v>22</v>
      </c>
      <c r="I2469" s="1" t="n">
        <v>20240429152958</v>
      </c>
      <c r="J2469" s="3" t="s">
        <v>10011</v>
      </c>
      <c r="K2469" s="3" t="s">
        <v>10012</v>
      </c>
      <c r="L2469" s="3" t="s">
        <v>10013</v>
      </c>
      <c r="M2469" s="3" t="n">
        <v>114988</v>
      </c>
      <c r="N2469" s="3" t="s">
        <v>650</v>
      </c>
      <c r="O2469" s="1" t="n">
        <v>98602</v>
      </c>
      <c r="P2469" s="1" t="n">
        <v>85.75</v>
      </c>
      <c r="Q2469" s="1" t="s">
        <v>20</v>
      </c>
      <c r="R2469" s="1" t="s">
        <v>27</v>
      </c>
      <c r="S2469" s="1" t="s">
        <v>28</v>
      </c>
      <c r="T2469" s="1" t="s">
        <v>29</v>
      </c>
    </row>
    <row r="2470" customFormat="false" ht="18.7" hidden="false" customHeight="true" outlineLevel="0" collapsed="false">
      <c r="A2470" s="1" t="n">
        <v>2469</v>
      </c>
      <c r="B2470" s="6" t="str">
        <f aca="false">HYPERLINK("https://mncourtfraud.com/file/MCRO_27-CR-22-10646_Notice of Remote Hearing with Instructions_2023-01-25_20240429152956.pdf","MCRO_27-CR-22-10646_Notice of Remote Hearing with Instructions_2023-01-25_20240429152956.pdf")</f>
        <v>MCRO_27-CR-22-10646_Notice of Remote Hearing with Instructions_2023-01-25_20240429152956.pdf</v>
      </c>
      <c r="C2470" s="1" t="n">
        <v>4</v>
      </c>
      <c r="D2470" s="1" t="n">
        <v>1</v>
      </c>
      <c r="E2470" s="1" t="n">
        <v>1</v>
      </c>
      <c r="F2470" s="3" t="s">
        <v>20</v>
      </c>
      <c r="G2470" s="3" t="s">
        <v>10014</v>
      </c>
      <c r="H2470" s="1" t="s">
        <v>22</v>
      </c>
      <c r="I2470" s="1" t="n">
        <v>20240429152956</v>
      </c>
      <c r="J2470" s="3" t="s">
        <v>10015</v>
      </c>
      <c r="K2470" s="3" t="s">
        <v>10016</v>
      </c>
      <c r="L2470" s="3" t="s">
        <v>10017</v>
      </c>
      <c r="M2470" s="3" t="n">
        <v>257927</v>
      </c>
      <c r="N2470" s="3" t="s">
        <v>8498</v>
      </c>
      <c r="O2470" s="1" t="n">
        <v>241541</v>
      </c>
      <c r="P2470" s="1" t="n">
        <v>93.65</v>
      </c>
      <c r="Q2470" s="1" t="s">
        <v>20</v>
      </c>
      <c r="R2470" s="1" t="s">
        <v>27</v>
      </c>
      <c r="S2470" s="1" t="s">
        <v>28</v>
      </c>
      <c r="T2470" s="1" t="s">
        <v>29</v>
      </c>
    </row>
    <row r="2471" customFormat="false" ht="18.7" hidden="false" customHeight="true" outlineLevel="0" collapsed="false">
      <c r="A2471" s="1" t="n">
        <v>2470</v>
      </c>
      <c r="B2471" s="6" t="str">
        <f aca="false">HYPERLINK("https://mncourtfraud.com/file/MCRO_27-CR-22-10646_Notice of Remote Hearing with Instructions_2023-08-01_20240429152953.pdf","MCRO_27-CR-22-10646_Notice of Remote Hearing with Instructions_2023-08-01_20240429152953.pdf")</f>
        <v>MCRO_27-CR-22-10646_Notice of Remote Hearing with Instructions_2023-08-01_20240429152953.pdf</v>
      </c>
      <c r="C2471" s="1" t="n">
        <v>5</v>
      </c>
      <c r="D2471" s="1" t="n">
        <v>1</v>
      </c>
      <c r="E2471" s="1" t="n">
        <v>1</v>
      </c>
      <c r="F2471" s="3" t="s">
        <v>20</v>
      </c>
      <c r="G2471" s="3" t="s">
        <v>10018</v>
      </c>
      <c r="H2471" s="1" t="s">
        <v>22</v>
      </c>
      <c r="I2471" s="1" t="n">
        <v>20240429152953</v>
      </c>
      <c r="J2471" s="3" t="s">
        <v>10019</v>
      </c>
      <c r="K2471" s="3" t="s">
        <v>10020</v>
      </c>
      <c r="L2471" s="3" t="s">
        <v>10021</v>
      </c>
      <c r="M2471" s="3" t="n">
        <v>844180</v>
      </c>
      <c r="N2471" s="3" t="s">
        <v>510</v>
      </c>
      <c r="O2471" s="1" t="n">
        <v>827794</v>
      </c>
      <c r="P2471" s="1" t="n">
        <v>98.06</v>
      </c>
      <c r="Q2471" s="1" t="s">
        <v>20</v>
      </c>
      <c r="R2471" s="1" t="s">
        <v>27</v>
      </c>
      <c r="S2471" s="1" t="s">
        <v>28</v>
      </c>
      <c r="T2471" s="1" t="s">
        <v>29</v>
      </c>
    </row>
    <row r="2472" customFormat="false" ht="18.7" hidden="false" customHeight="true" outlineLevel="0" collapsed="false">
      <c r="A2472" s="1" t="n">
        <v>2471</v>
      </c>
      <c r="B2472" s="6" t="str">
        <f aca="false">HYPERLINK("https://mncourtfraud.com/file/MCRO_27-CR-22-10646_Notice of Remote Hearing with Instructions_2023-10-10_20240429152951.pdf","MCRO_27-CR-22-10646_Notice of Remote Hearing with Instructions_2023-10-10_20240429152951.pdf")</f>
        <v>MCRO_27-CR-22-10646_Notice of Remote Hearing with Instructions_2023-10-10_20240429152951.pdf</v>
      </c>
      <c r="C2472" s="1" t="n">
        <v>5</v>
      </c>
      <c r="D2472" s="1" t="n">
        <v>1</v>
      </c>
      <c r="E2472" s="1" t="n">
        <v>1</v>
      </c>
      <c r="F2472" s="3" t="s">
        <v>20</v>
      </c>
      <c r="G2472" s="3" t="s">
        <v>10022</v>
      </c>
      <c r="H2472" s="1" t="s">
        <v>22</v>
      </c>
      <c r="I2472" s="1" t="n">
        <v>20240429152951</v>
      </c>
      <c r="J2472" s="3" t="s">
        <v>10023</v>
      </c>
      <c r="K2472" s="3" t="s">
        <v>10024</v>
      </c>
      <c r="L2472" s="3" t="s">
        <v>10025</v>
      </c>
      <c r="M2472" s="3" t="n">
        <v>843861</v>
      </c>
      <c r="N2472" s="3" t="s">
        <v>510</v>
      </c>
      <c r="O2472" s="1" t="n">
        <v>827475</v>
      </c>
      <c r="P2472" s="1" t="n">
        <v>98.06</v>
      </c>
      <c r="Q2472" s="1" t="s">
        <v>20</v>
      </c>
      <c r="R2472" s="1" t="s">
        <v>27</v>
      </c>
      <c r="S2472" s="1" t="s">
        <v>28</v>
      </c>
      <c r="T2472" s="1" t="s">
        <v>29</v>
      </c>
    </row>
    <row r="2473" customFormat="false" ht="18.7" hidden="false" customHeight="true" outlineLevel="0" collapsed="false">
      <c r="A2473" s="1" t="n">
        <v>2472</v>
      </c>
      <c r="B2473" s="6" t="str">
        <f aca="false">HYPERLINK("https://mncourtfraud.com/file/MCRO_27-CR-22-10646_Notice of Remote Hearing with Instructions_2023-11-21_20240429152949.pdf","MCRO_27-CR-22-10646_Notice of Remote Hearing with Instructions_2023-11-21_20240429152949.pdf")</f>
        <v>MCRO_27-CR-22-10646_Notice of Remote Hearing with Instructions_2023-11-21_20240429152949.pdf</v>
      </c>
      <c r="C2473" s="1" t="n">
        <v>5</v>
      </c>
      <c r="D2473" s="1" t="n">
        <v>1</v>
      </c>
      <c r="E2473" s="1" t="n">
        <v>1</v>
      </c>
      <c r="F2473" s="3" t="s">
        <v>20</v>
      </c>
      <c r="G2473" s="3" t="s">
        <v>10026</v>
      </c>
      <c r="H2473" s="1" t="s">
        <v>22</v>
      </c>
      <c r="I2473" s="1" t="n">
        <v>20240429152949</v>
      </c>
      <c r="J2473" s="3" t="s">
        <v>10027</v>
      </c>
      <c r="K2473" s="3" t="s">
        <v>10028</v>
      </c>
      <c r="L2473" s="3" t="s">
        <v>10029</v>
      </c>
      <c r="M2473" s="3" t="n">
        <v>854773</v>
      </c>
      <c r="N2473" s="3" t="s">
        <v>1248</v>
      </c>
      <c r="O2473" s="1" t="n">
        <v>838387</v>
      </c>
      <c r="P2473" s="1" t="n">
        <v>98.08</v>
      </c>
      <c r="Q2473" s="1" t="s">
        <v>20</v>
      </c>
      <c r="R2473" s="1" t="s">
        <v>27</v>
      </c>
      <c r="S2473" s="1" t="s">
        <v>28</v>
      </c>
      <c r="T2473" s="1" t="s">
        <v>29</v>
      </c>
    </row>
    <row r="2474" customFormat="false" ht="18.7" hidden="false" customHeight="true" outlineLevel="0" collapsed="false">
      <c r="A2474" s="1" t="n">
        <v>2473</v>
      </c>
      <c r="B2474" s="6" t="str">
        <f aca="false">HYPERLINK("https://mncourtfraud.com/file/MCRO_27-CR-22-10646_Notice of Remote Hearing with Instructions_2023-11-28_20240429152947.pdf","MCRO_27-CR-22-10646_Notice of Remote Hearing with Instructions_2023-11-28_20240429152947.pdf")</f>
        <v>MCRO_27-CR-22-10646_Notice of Remote Hearing with Instructions_2023-11-28_20240429152947.pdf</v>
      </c>
      <c r="C2474" s="1" t="n">
        <v>4</v>
      </c>
      <c r="D2474" s="1" t="n">
        <v>1</v>
      </c>
      <c r="E2474" s="1" t="n">
        <v>1</v>
      </c>
      <c r="F2474" s="3" t="s">
        <v>20</v>
      </c>
      <c r="G2474" s="3" t="s">
        <v>10030</v>
      </c>
      <c r="H2474" s="1" t="s">
        <v>22</v>
      </c>
      <c r="I2474" s="1" t="n">
        <v>20240429152947</v>
      </c>
      <c r="J2474" s="3" t="s">
        <v>10031</v>
      </c>
      <c r="K2474" s="3" t="s">
        <v>10032</v>
      </c>
      <c r="L2474" s="3" t="s">
        <v>10033</v>
      </c>
      <c r="M2474" s="3" t="n">
        <v>269707</v>
      </c>
      <c r="N2474" s="3" t="s">
        <v>74</v>
      </c>
      <c r="O2474" s="1" t="n">
        <v>253321</v>
      </c>
      <c r="P2474" s="1" t="n">
        <v>93.92</v>
      </c>
      <c r="Q2474" s="1" t="s">
        <v>20</v>
      </c>
      <c r="R2474" s="1" t="s">
        <v>27</v>
      </c>
      <c r="S2474" s="1" t="s">
        <v>28</v>
      </c>
      <c r="T2474" s="1" t="s">
        <v>29</v>
      </c>
    </row>
    <row r="2475" customFormat="false" ht="18.7" hidden="false" customHeight="true" outlineLevel="0" collapsed="false">
      <c r="A2475" s="1" t="n">
        <v>2474</v>
      </c>
      <c r="B2475" s="6" t="str">
        <f aca="false">HYPERLINK("https://mncourtfraud.com/file/MCRO_27-CR-22-10646_Order-Evaluation for Competency to Proceed (Rule 20.01)_2022-08-10_20240429153000.pdf","MCRO_27-CR-22-10646_Order-Evaluation for Competency to Proceed (Rule 20.01)_2022-08-10_20240429153000.pdf")</f>
        <v>MCRO_27-CR-22-10646_Order-Evaluation for Competency to Proceed (Rule 20.01)_2022-08-10_20240429153000.pdf</v>
      </c>
      <c r="C2475" s="1" t="n">
        <v>5</v>
      </c>
      <c r="D2475" s="1" t="n">
        <v>5</v>
      </c>
      <c r="E2475" s="1" t="n">
        <v>5</v>
      </c>
      <c r="F2475" s="3" t="s">
        <v>20</v>
      </c>
      <c r="G2475" s="3" t="s">
        <v>10034</v>
      </c>
      <c r="H2475" s="1" t="s">
        <v>22</v>
      </c>
      <c r="I2475" s="1" t="n">
        <v>20240429153000</v>
      </c>
      <c r="J2475" s="3" t="s">
        <v>10035</v>
      </c>
      <c r="K2475" s="3" t="s">
        <v>10036</v>
      </c>
      <c r="L2475" s="3" t="s">
        <v>10037</v>
      </c>
      <c r="M2475" s="3" t="n">
        <v>454551</v>
      </c>
      <c r="N2475" s="3" t="s">
        <v>79</v>
      </c>
      <c r="O2475" s="1" t="n">
        <v>438165</v>
      </c>
      <c r="P2475" s="1" t="n">
        <v>96.4</v>
      </c>
      <c r="Q2475" s="1" t="s">
        <v>20</v>
      </c>
      <c r="R2475" s="1" t="s">
        <v>27</v>
      </c>
      <c r="S2475" s="1" t="s">
        <v>28</v>
      </c>
      <c r="T2475" s="1" t="s">
        <v>29</v>
      </c>
    </row>
    <row r="2476" customFormat="false" ht="18.7" hidden="false" customHeight="true" outlineLevel="0" collapsed="false">
      <c r="A2476" s="1" t="n">
        <v>2475</v>
      </c>
      <c r="B2476" s="6" t="str">
        <f aca="false">HYPERLINK("https://mncourtfraud.com/file/MCRO_27-CR-22-10646_Order-Evaluation for Competency to Proceed (Rule 20.01)_2023-01-05_20240429152957.pdf","MCRO_27-CR-22-10646_Order-Evaluation for Competency to Proceed (Rule 20.01)_2023-01-05_20240429152957.pdf")</f>
        <v>MCRO_27-CR-22-10646_Order-Evaluation for Competency to Proceed (Rule 20.01)_2023-01-05_20240429152957.pdf</v>
      </c>
      <c r="C2476" s="1" t="n">
        <v>6</v>
      </c>
      <c r="D2476" s="1" t="n">
        <v>2</v>
      </c>
      <c r="E2476" s="1" t="n">
        <v>2</v>
      </c>
      <c r="F2476" s="3" t="s">
        <v>27</v>
      </c>
      <c r="G2476" s="3" t="s">
        <v>10038</v>
      </c>
      <c r="H2476" s="1" t="s">
        <v>22</v>
      </c>
      <c r="I2476" s="1" t="n">
        <v>20240429152957</v>
      </c>
      <c r="J2476" s="3" t="s">
        <v>10039</v>
      </c>
      <c r="K2476" s="3" t="s">
        <v>10040</v>
      </c>
      <c r="L2476" s="3" t="s">
        <v>10041</v>
      </c>
      <c r="M2476" s="3" t="n">
        <v>893399</v>
      </c>
      <c r="N2476" s="3" t="s">
        <v>810</v>
      </c>
      <c r="O2476" s="1" t="n">
        <v>877013</v>
      </c>
      <c r="P2476" s="1" t="n">
        <v>98.17</v>
      </c>
      <c r="Q2476" s="1" t="s">
        <v>20</v>
      </c>
      <c r="R2476" s="1" t="s">
        <v>27</v>
      </c>
      <c r="S2476" s="1" t="s">
        <v>28</v>
      </c>
      <c r="T2476" s="1" t="s">
        <v>29</v>
      </c>
    </row>
    <row r="2477" customFormat="false" ht="18.7" hidden="false" customHeight="true" outlineLevel="0" collapsed="false">
      <c r="A2477" s="1" t="n">
        <v>2476</v>
      </c>
      <c r="B2477" s="6" t="str">
        <f aca="false">HYPERLINK("https://mncourtfraud.com/file/MCRO_27-CR-22-10646_Order-Evaluation for Competency to Proceed (Rule 20.01)_2023-05-31_20240429152954.pdf","MCRO_27-CR-22-10646_Order-Evaluation for Competency to Proceed (Rule 20.01)_2023-05-31_20240429152954.pdf")</f>
        <v>MCRO_27-CR-22-10646_Order-Evaluation for Competency to Proceed (Rule 20.01)_2023-05-31_20240429152954.pdf</v>
      </c>
      <c r="C2477" s="1" t="n">
        <v>9</v>
      </c>
      <c r="D2477" s="1" t="n">
        <v>3</v>
      </c>
      <c r="E2477" s="1" t="n">
        <v>3</v>
      </c>
      <c r="F2477" s="3" t="s">
        <v>27</v>
      </c>
      <c r="G2477" s="3" t="s">
        <v>10042</v>
      </c>
      <c r="H2477" s="1" t="s">
        <v>22</v>
      </c>
      <c r="I2477" s="1" t="n">
        <v>20240429152954</v>
      </c>
      <c r="J2477" s="3" t="s">
        <v>10043</v>
      </c>
      <c r="K2477" s="3" t="s">
        <v>10044</v>
      </c>
      <c r="L2477" s="3" t="s">
        <v>10045</v>
      </c>
      <c r="M2477" s="3" t="n">
        <v>917466</v>
      </c>
      <c r="N2477" s="3" t="s">
        <v>963</v>
      </c>
      <c r="O2477" s="1" t="n">
        <v>901080</v>
      </c>
      <c r="P2477" s="1" t="n">
        <v>98.21</v>
      </c>
      <c r="Q2477" s="1" t="s">
        <v>20</v>
      </c>
      <c r="R2477" s="1" t="s">
        <v>27</v>
      </c>
      <c r="S2477" s="1" t="s">
        <v>28</v>
      </c>
      <c r="T2477" s="1" t="s">
        <v>29</v>
      </c>
    </row>
    <row r="2478" customFormat="false" ht="18.7" hidden="false" customHeight="true" outlineLevel="0" collapsed="false">
      <c r="A2478" s="1" t="n">
        <v>2477</v>
      </c>
      <c r="B2478" s="6" t="str">
        <f aca="false">HYPERLINK("https://mncourtfraud.com/file/MCRO_27-CR-22-10646_Order-Evaluation for Competency to Proceed (Rule 20.01)_2024-04-01_20240429152945.pdf","MCRO_27-CR-22-10646_Order-Evaluation for Competency to Proceed (Rule 20.01)_2024-04-01_20240429152945.pdf")</f>
        <v>MCRO_27-CR-22-10646_Order-Evaluation for Competency to Proceed (Rule 20.01)_2024-04-01_20240429152945.pdf</v>
      </c>
      <c r="C2478" s="1" t="n">
        <v>4</v>
      </c>
      <c r="D2478" s="1" t="n">
        <v>1</v>
      </c>
      <c r="E2478" s="1" t="n">
        <v>1</v>
      </c>
      <c r="F2478" s="3" t="s">
        <v>20</v>
      </c>
      <c r="G2478" s="3" t="s">
        <v>10046</v>
      </c>
      <c r="H2478" s="1" t="s">
        <v>22</v>
      </c>
      <c r="I2478" s="1" t="n">
        <v>20240429152945</v>
      </c>
      <c r="J2478" s="3" t="s">
        <v>10047</v>
      </c>
      <c r="K2478" s="3" t="s">
        <v>10048</v>
      </c>
      <c r="L2478" s="3" t="s">
        <v>10049</v>
      </c>
      <c r="M2478" s="3" t="n">
        <v>212781</v>
      </c>
      <c r="N2478" s="3" t="s">
        <v>3198</v>
      </c>
      <c r="O2478" s="1" t="n">
        <v>196395</v>
      </c>
      <c r="P2478" s="1" t="n">
        <v>92.3</v>
      </c>
      <c r="Q2478" s="1" t="s">
        <v>20</v>
      </c>
      <c r="R2478" s="1" t="s">
        <v>27</v>
      </c>
      <c r="S2478" s="1" t="s">
        <v>28</v>
      </c>
      <c r="T2478" s="1" t="s">
        <v>29</v>
      </c>
    </row>
    <row r="2479" customFormat="false" ht="18.7" hidden="false" customHeight="true" outlineLevel="0" collapsed="false">
      <c r="A2479" s="1" t="n">
        <v>2478</v>
      </c>
      <c r="B2479" s="6" t="str">
        <f aca="false">HYPERLINK("https://mncourtfraud.com/file/MCRO_27-CR-22-10646_Proposed Order or Document_2023-05-24_20240429152955.pdf","MCRO_27-CR-22-10646_Proposed Order or Document_2023-05-24_20240429152955.pdf")</f>
        <v>MCRO_27-CR-22-10646_Proposed Order or Document_2023-05-24_20240429152955.pdf</v>
      </c>
      <c r="C2479" s="1" t="n">
        <v>3</v>
      </c>
      <c r="D2479" s="1" t="n">
        <v>1</v>
      </c>
      <c r="E2479" s="1" t="n">
        <v>1</v>
      </c>
      <c r="F2479" s="3" t="s">
        <v>20</v>
      </c>
      <c r="G2479" s="3" t="s">
        <v>10050</v>
      </c>
      <c r="H2479" s="1" t="s">
        <v>22</v>
      </c>
      <c r="I2479" s="1" t="n">
        <v>20240429152955</v>
      </c>
      <c r="J2479" s="3" t="s">
        <v>10051</v>
      </c>
      <c r="K2479" s="3" t="s">
        <v>10052</v>
      </c>
      <c r="L2479" s="3" t="s">
        <v>10053</v>
      </c>
      <c r="M2479" s="3" t="n">
        <v>178702</v>
      </c>
      <c r="N2479" s="3" t="s">
        <v>2557</v>
      </c>
      <c r="O2479" s="1" t="n">
        <v>162316</v>
      </c>
      <c r="P2479" s="1" t="n">
        <v>90.83</v>
      </c>
      <c r="Q2479" s="1" t="s">
        <v>20</v>
      </c>
      <c r="R2479" s="1" t="s">
        <v>27</v>
      </c>
      <c r="S2479" s="1" t="s">
        <v>28</v>
      </c>
      <c r="T2479" s="1" t="s">
        <v>29</v>
      </c>
    </row>
    <row r="2480" customFormat="false" ht="18.7" hidden="false" customHeight="true" outlineLevel="0" collapsed="false">
      <c r="A2480" s="1" t="n">
        <v>2479</v>
      </c>
      <c r="B2480" s="6" t="str">
        <f aca="false">HYPERLINK("https://mncourtfraud.com/file/MCRO_27-CR-22-10646_Returned Mail_2023-08-11_20240429152951.pdf","MCRO_27-CR-22-10646_Returned Mail_2023-08-11_20240429152951.pdf")</f>
        <v>MCRO_27-CR-22-10646_Returned Mail_2023-08-11_20240429152951.pdf</v>
      </c>
      <c r="C2480" s="1" t="n">
        <v>4</v>
      </c>
      <c r="D2480" s="1" t="n">
        <v>1</v>
      </c>
      <c r="E2480" s="1" t="n">
        <v>1</v>
      </c>
      <c r="F2480" s="3" t="s">
        <v>20</v>
      </c>
      <c r="G2480" s="3" t="s">
        <v>10054</v>
      </c>
      <c r="H2480" s="1" t="s">
        <v>22</v>
      </c>
      <c r="I2480" s="1" t="n">
        <v>20240429152951</v>
      </c>
      <c r="J2480" s="3" t="s">
        <v>10055</v>
      </c>
      <c r="K2480" s="3" t="s">
        <v>10056</v>
      </c>
      <c r="L2480" s="3" t="s">
        <v>10057</v>
      </c>
      <c r="M2480" s="3" t="n">
        <v>96185</v>
      </c>
      <c r="N2480" s="3" t="s">
        <v>435</v>
      </c>
      <c r="O2480" s="1" t="n">
        <v>79799</v>
      </c>
      <c r="P2480" s="1" t="n">
        <v>82.96</v>
      </c>
      <c r="Q2480" s="1" t="s">
        <v>20</v>
      </c>
      <c r="R2480" s="1" t="s">
        <v>27</v>
      </c>
      <c r="S2480" s="1" t="s">
        <v>28</v>
      </c>
      <c r="T2480" s="1" t="s">
        <v>29</v>
      </c>
    </row>
    <row r="2481" customFormat="false" ht="18.7" hidden="false" customHeight="true" outlineLevel="0" collapsed="false">
      <c r="A2481" s="1" t="n">
        <v>2480</v>
      </c>
      <c r="B2481" s="6" t="str">
        <f aca="false">HYPERLINK("https://mncourtfraud.com/file/MCRO_27-CR-22-10646_Returned Mail_2023-12-05_20240429152946.pdf","MCRO_27-CR-22-10646_Returned Mail_2023-12-05_20240429152946.pdf")</f>
        <v>MCRO_27-CR-22-10646_Returned Mail_2023-12-05_20240429152946.pdf</v>
      </c>
      <c r="C2481" s="1" t="n">
        <v>4</v>
      </c>
      <c r="D2481" s="1" t="n">
        <v>1</v>
      </c>
      <c r="E2481" s="1" t="n">
        <v>1</v>
      </c>
      <c r="F2481" s="3" t="s">
        <v>20</v>
      </c>
      <c r="G2481" s="3" t="s">
        <v>10058</v>
      </c>
      <c r="H2481" s="1" t="s">
        <v>22</v>
      </c>
      <c r="I2481" s="1" t="n">
        <v>20240429152946</v>
      </c>
      <c r="J2481" s="3" t="s">
        <v>10059</v>
      </c>
      <c r="K2481" s="3" t="s">
        <v>10060</v>
      </c>
      <c r="L2481" s="3" t="s">
        <v>10061</v>
      </c>
      <c r="M2481" s="3" t="n">
        <v>97564</v>
      </c>
      <c r="N2481" s="3" t="s">
        <v>435</v>
      </c>
      <c r="O2481" s="1" t="n">
        <v>81178</v>
      </c>
      <c r="P2481" s="1" t="n">
        <v>83.2</v>
      </c>
      <c r="Q2481" s="1" t="s">
        <v>20</v>
      </c>
      <c r="R2481" s="1" t="s">
        <v>27</v>
      </c>
      <c r="S2481" s="1" t="s">
        <v>28</v>
      </c>
      <c r="T2481" s="1" t="s">
        <v>29</v>
      </c>
    </row>
    <row r="2482" customFormat="false" ht="18.7" hidden="false" customHeight="true" outlineLevel="0" collapsed="false">
      <c r="A2482" s="1" t="n">
        <v>2481</v>
      </c>
      <c r="B2482" s="6" t="str">
        <f aca="false">HYPERLINK("https://mncourtfraud.com/file/MCRO_27-CR-22-10646_Scheduling Order_2022-06-30_20240429153003.pdf","MCRO_27-CR-22-10646_Scheduling Order_2022-06-30_20240429153003.pdf")</f>
        <v>MCRO_27-CR-22-10646_Scheduling Order_2022-06-30_20240429153003.pdf</v>
      </c>
      <c r="C2482" s="1" t="n">
        <v>5</v>
      </c>
      <c r="D2482" s="1" t="n">
        <v>2</v>
      </c>
      <c r="E2482" s="1" t="n">
        <v>2</v>
      </c>
      <c r="F2482" s="3" t="s">
        <v>20</v>
      </c>
      <c r="G2482" s="3" t="s">
        <v>10062</v>
      </c>
      <c r="H2482" s="1" t="s">
        <v>22</v>
      </c>
      <c r="I2482" s="1" t="n">
        <v>20240429153003</v>
      </c>
      <c r="J2482" s="3" t="s">
        <v>10063</v>
      </c>
      <c r="K2482" s="3" t="s">
        <v>10064</v>
      </c>
      <c r="L2482" s="3" t="s">
        <v>10065</v>
      </c>
      <c r="M2482" s="3" t="n">
        <v>881131</v>
      </c>
      <c r="N2482" s="3" t="s">
        <v>1645</v>
      </c>
      <c r="O2482" s="1" t="n">
        <v>864745</v>
      </c>
      <c r="P2482" s="1" t="n">
        <v>98.14</v>
      </c>
      <c r="Q2482" s="1" t="s">
        <v>20</v>
      </c>
      <c r="R2482" s="1" t="s">
        <v>27</v>
      </c>
      <c r="S2482" s="1" t="s">
        <v>28</v>
      </c>
      <c r="T2482" s="1" t="s">
        <v>29</v>
      </c>
    </row>
    <row r="2483" customFormat="false" ht="18.7" hidden="false" customHeight="true" outlineLevel="0" collapsed="false">
      <c r="A2483" s="1" t="n">
        <v>2482</v>
      </c>
      <c r="B2483" s="6" t="str">
        <f aca="false">HYPERLINK("https://mncourtfraud.com/file/MCRO_27-CR-22-10646_Witness List_2022-08-05_20240429153001.pdf","MCRO_27-CR-22-10646_Witness List_2022-08-05_20240429153001.pdf")</f>
        <v>MCRO_27-CR-22-10646_Witness List_2022-08-05_20240429153001.pdf</v>
      </c>
      <c r="C2483" s="1" t="n">
        <v>4</v>
      </c>
      <c r="D2483" s="1" t="n">
        <v>1</v>
      </c>
      <c r="E2483" s="1" t="n">
        <v>1</v>
      </c>
      <c r="F2483" s="3" t="s">
        <v>20</v>
      </c>
      <c r="G2483" s="3" t="s">
        <v>10066</v>
      </c>
      <c r="H2483" s="1" t="s">
        <v>22</v>
      </c>
      <c r="I2483" s="1" t="n">
        <v>20240429153001</v>
      </c>
      <c r="J2483" s="3" t="s">
        <v>10067</v>
      </c>
      <c r="K2483" s="3" t="s">
        <v>10068</v>
      </c>
      <c r="L2483" s="3" t="s">
        <v>10069</v>
      </c>
      <c r="M2483" s="3" t="n">
        <v>646143</v>
      </c>
      <c r="N2483" s="3" t="s">
        <v>741</v>
      </c>
      <c r="O2483" s="1" t="n">
        <v>629757</v>
      </c>
      <c r="P2483" s="1" t="n">
        <v>97.46</v>
      </c>
      <c r="Q2483" s="1" t="s">
        <v>20</v>
      </c>
      <c r="R2483" s="1" t="s">
        <v>27</v>
      </c>
      <c r="S2483" s="1" t="s">
        <v>28</v>
      </c>
      <c r="T2483" s="1" t="s">
        <v>29</v>
      </c>
    </row>
    <row r="2484" customFormat="false" ht="18.7" hidden="false" customHeight="true" outlineLevel="0" collapsed="false">
      <c r="A2484" s="1" t="n">
        <v>2483</v>
      </c>
      <c r="B2484" s="6" t="str">
        <f aca="false">HYPERLINK("https://mncourtfraud.com/file/MCRO_27-CR-22-1165_Correspondence for Judicial Approval_2022-11-07_20240429030431.pdf","MCRO_27-CR-22-1165_Correspondence for Judicial Approval_2022-11-07_20240429030431.pdf")</f>
        <v>MCRO_27-CR-22-1165_Correspondence for Judicial Approval_2022-11-07_20240429030431.pdf</v>
      </c>
      <c r="C2484" s="1" t="n">
        <v>3</v>
      </c>
      <c r="D2484" s="1" t="n">
        <v>1</v>
      </c>
      <c r="E2484" s="1" t="n">
        <v>1</v>
      </c>
      <c r="F2484" s="3" t="s">
        <v>20</v>
      </c>
      <c r="G2484" s="3" t="s">
        <v>10070</v>
      </c>
      <c r="H2484" s="1" t="s">
        <v>22</v>
      </c>
      <c r="I2484" s="1" t="n">
        <v>20240429030431</v>
      </c>
      <c r="J2484" s="3" t="s">
        <v>10071</v>
      </c>
      <c r="K2484" s="3" t="s">
        <v>10072</v>
      </c>
      <c r="L2484" s="3" t="s">
        <v>10073</v>
      </c>
      <c r="M2484" s="3" t="n">
        <v>211258</v>
      </c>
      <c r="N2484" s="3" t="s">
        <v>629</v>
      </c>
      <c r="O2484" s="1" t="n">
        <v>194872</v>
      </c>
      <c r="P2484" s="1" t="n">
        <v>92.24</v>
      </c>
      <c r="Q2484" s="1" t="s">
        <v>20</v>
      </c>
      <c r="R2484" s="1" t="s">
        <v>27</v>
      </c>
      <c r="S2484" s="1" t="s">
        <v>28</v>
      </c>
      <c r="T2484" s="1" t="s">
        <v>29</v>
      </c>
    </row>
    <row r="2485" customFormat="false" ht="18.7" hidden="false" customHeight="true" outlineLevel="0" collapsed="false">
      <c r="A2485" s="1" t="n">
        <v>2484</v>
      </c>
      <c r="B2485" s="6" t="str">
        <f aca="false">HYPERLINK("https://mncourtfraud.com/file/MCRO_27-CR-22-1165_Demand or Request for Discovery_2022-01-29_20240429030437.pdf","MCRO_27-CR-22-1165_Demand or Request for Discovery_2022-01-29_20240429030437.pdf")</f>
        <v>MCRO_27-CR-22-1165_Demand or Request for Discovery_2022-01-29_20240429030437.pdf</v>
      </c>
      <c r="C2485" s="1" t="n">
        <v>3</v>
      </c>
      <c r="D2485" s="1" t="n">
        <v>1</v>
      </c>
      <c r="E2485" s="1" t="n">
        <v>1</v>
      </c>
      <c r="F2485" s="3" t="s">
        <v>20</v>
      </c>
      <c r="G2485" s="3" t="s">
        <v>10074</v>
      </c>
      <c r="H2485" s="1" t="s">
        <v>22</v>
      </c>
      <c r="I2485" s="1" t="n">
        <v>20240429030437</v>
      </c>
      <c r="J2485" s="3" t="s">
        <v>10075</v>
      </c>
      <c r="K2485" s="3" t="s">
        <v>10076</v>
      </c>
      <c r="L2485" s="3" t="s">
        <v>10077</v>
      </c>
      <c r="M2485" s="3" t="n">
        <v>407032</v>
      </c>
      <c r="N2485" s="3" t="s">
        <v>4424</v>
      </c>
      <c r="O2485" s="1" t="n">
        <v>390646</v>
      </c>
      <c r="P2485" s="1" t="n">
        <v>95.97</v>
      </c>
      <c r="Q2485" s="1" t="s">
        <v>20</v>
      </c>
      <c r="R2485" s="1" t="s">
        <v>27</v>
      </c>
      <c r="S2485" s="1" t="s">
        <v>28</v>
      </c>
      <c r="T2485" s="1" t="s">
        <v>29</v>
      </c>
    </row>
    <row r="2486" customFormat="false" ht="18.7" hidden="false" customHeight="true" outlineLevel="0" collapsed="false">
      <c r="A2486" s="1" t="n">
        <v>2485</v>
      </c>
      <c r="B2486" s="6" t="str">
        <f aca="false">HYPERLINK("https://mncourtfraud.com/file/MCRO_27-CR-22-1165_E-filed Comp-Warrant_2022-01-20_20240429030441.pdf","MCRO_27-CR-22-1165_E-filed Comp-Warrant_2022-01-20_20240429030441.pdf")</f>
        <v>MCRO_27-CR-22-1165_E-filed Comp-Warrant_2022-01-20_20240429030441.pdf</v>
      </c>
      <c r="C2486" s="1" t="n">
        <v>4</v>
      </c>
      <c r="D2486" s="1" t="n">
        <v>2</v>
      </c>
      <c r="E2486" s="1" t="n">
        <v>2</v>
      </c>
      <c r="F2486" s="3" t="s">
        <v>20</v>
      </c>
      <c r="G2486" s="3" t="s">
        <v>10078</v>
      </c>
      <c r="H2486" s="1" t="s">
        <v>22</v>
      </c>
      <c r="I2486" s="1" t="n">
        <v>20240429030441</v>
      </c>
      <c r="J2486" s="3" t="s">
        <v>10079</v>
      </c>
      <c r="K2486" s="3" t="s">
        <v>10080</v>
      </c>
      <c r="L2486" s="3" t="s">
        <v>10081</v>
      </c>
      <c r="M2486" s="3" t="n">
        <v>499046</v>
      </c>
      <c r="N2486" s="3" t="s">
        <v>1480</v>
      </c>
      <c r="O2486" s="1" t="n">
        <v>482660</v>
      </c>
      <c r="P2486" s="1" t="n">
        <v>96.72</v>
      </c>
      <c r="Q2486" s="1" t="s">
        <v>20</v>
      </c>
      <c r="R2486" s="1" t="s">
        <v>27</v>
      </c>
      <c r="S2486" s="1" t="s">
        <v>28</v>
      </c>
      <c r="T2486" s="1" t="s">
        <v>29</v>
      </c>
    </row>
    <row r="2487" customFormat="false" ht="18.7" hidden="false" customHeight="true" outlineLevel="0" collapsed="false">
      <c r="A2487" s="1" t="n">
        <v>2486</v>
      </c>
      <c r="B2487" s="6" t="str">
        <f aca="false">HYPERLINK("https://mncourtfraud.com/file/MCRO_27-CR-22-1165_Finding of Incompetency and Order_2024-03-12_20240429030424.pdf","MCRO_27-CR-22-1165_Finding of Incompetency and Order_2024-03-12_20240429030424.pdf")</f>
        <v>MCRO_27-CR-22-1165_Finding of Incompetency and Order_2024-03-12_20240429030424.pdf</v>
      </c>
      <c r="C2487" s="1" t="n">
        <v>5</v>
      </c>
      <c r="D2487" s="1" t="n">
        <v>1</v>
      </c>
      <c r="E2487" s="1" t="n">
        <v>1</v>
      </c>
      <c r="F2487" s="3" t="s">
        <v>20</v>
      </c>
      <c r="G2487" s="3" t="s">
        <v>10082</v>
      </c>
      <c r="H2487" s="1" t="s">
        <v>22</v>
      </c>
      <c r="I2487" s="1" t="n">
        <v>20240429030424</v>
      </c>
      <c r="J2487" s="3" t="s">
        <v>10083</v>
      </c>
      <c r="K2487" s="3" t="s">
        <v>10084</v>
      </c>
      <c r="L2487" s="3" t="s">
        <v>6493</v>
      </c>
      <c r="M2487" s="3" t="n">
        <v>832563</v>
      </c>
      <c r="N2487" s="3" t="s">
        <v>1489</v>
      </c>
      <c r="O2487" s="1" t="n">
        <v>816177</v>
      </c>
      <c r="P2487" s="1" t="n">
        <v>98.03</v>
      </c>
      <c r="Q2487" s="1" t="s">
        <v>20</v>
      </c>
      <c r="R2487" s="1" t="s">
        <v>27</v>
      </c>
      <c r="S2487" s="1" t="s">
        <v>28</v>
      </c>
      <c r="T2487" s="1" t="s">
        <v>29</v>
      </c>
    </row>
    <row r="2488" customFormat="false" ht="18.7" hidden="false" customHeight="true" outlineLevel="0" collapsed="false">
      <c r="A2488" s="1" t="n">
        <v>2487</v>
      </c>
      <c r="B2488" s="6" t="str">
        <f aca="false">HYPERLINK("https://mncourtfraud.com/file/MCRO_27-CR-22-1165_Findings and Order_2022-03-08_20240429030436.pdf","MCRO_27-CR-22-1165_Findings and Order_2022-03-08_20240429030436.pdf")</f>
        <v>MCRO_27-CR-22-1165_Findings and Order_2022-03-08_20240429030436.pdf</v>
      </c>
      <c r="C2488" s="1" t="n">
        <v>5</v>
      </c>
      <c r="D2488" s="1" t="n">
        <v>1</v>
      </c>
      <c r="E2488" s="1" t="n">
        <v>1</v>
      </c>
      <c r="F2488" s="3" t="s">
        <v>20</v>
      </c>
      <c r="G2488" s="3" t="s">
        <v>10085</v>
      </c>
      <c r="H2488" s="1" t="s">
        <v>22</v>
      </c>
      <c r="I2488" s="1" t="n">
        <v>20240429030436</v>
      </c>
      <c r="J2488" s="3" t="s">
        <v>10086</v>
      </c>
      <c r="K2488" s="3" t="s">
        <v>10087</v>
      </c>
      <c r="L2488" s="3" t="s">
        <v>10088</v>
      </c>
      <c r="M2488" s="3" t="n">
        <v>340926</v>
      </c>
      <c r="N2488" s="3" t="s">
        <v>1494</v>
      </c>
      <c r="O2488" s="1" t="n">
        <v>324540</v>
      </c>
      <c r="P2488" s="1" t="n">
        <v>95.19</v>
      </c>
      <c r="Q2488" s="1" t="s">
        <v>20</v>
      </c>
      <c r="R2488" s="1" t="s">
        <v>27</v>
      </c>
      <c r="S2488" s="1" t="s">
        <v>28</v>
      </c>
      <c r="T2488" s="1" t="s">
        <v>29</v>
      </c>
    </row>
    <row r="2489" customFormat="false" ht="18.7" hidden="false" customHeight="true" outlineLevel="0" collapsed="false">
      <c r="A2489" s="1" t="n">
        <v>2488</v>
      </c>
      <c r="B2489" s="6" t="str">
        <f aca="false">HYPERLINK("https://mncourtfraud.com/file/MCRO_27-CR-22-1165_Notice of Appearance_2022-03-08_20240429030435.pdf","MCRO_27-CR-22-1165_Notice of Appearance_2022-03-08_20240429030435.pdf")</f>
        <v>MCRO_27-CR-22-1165_Notice of Appearance_2022-03-08_20240429030435.pdf</v>
      </c>
      <c r="C2489" s="1" t="n">
        <v>4</v>
      </c>
      <c r="D2489" s="1" t="n">
        <v>1</v>
      </c>
      <c r="E2489" s="1" t="n">
        <v>1</v>
      </c>
      <c r="F2489" s="3" t="s">
        <v>20</v>
      </c>
      <c r="G2489" s="3" t="s">
        <v>10089</v>
      </c>
      <c r="H2489" s="1" t="s">
        <v>22</v>
      </c>
      <c r="I2489" s="1" t="n">
        <v>20240429030435</v>
      </c>
      <c r="J2489" s="3" t="s">
        <v>10090</v>
      </c>
      <c r="K2489" s="3" t="s">
        <v>10091</v>
      </c>
      <c r="L2489" s="3" t="s">
        <v>2057</v>
      </c>
      <c r="M2489" s="3" t="n">
        <v>816220</v>
      </c>
      <c r="N2489" s="3" t="s">
        <v>486</v>
      </c>
      <c r="O2489" s="1" t="n">
        <v>799834</v>
      </c>
      <c r="P2489" s="1" t="n">
        <v>97.99</v>
      </c>
      <c r="Q2489" s="1" t="s">
        <v>20</v>
      </c>
      <c r="R2489" s="1" t="s">
        <v>27</v>
      </c>
      <c r="S2489" s="1" t="s">
        <v>28</v>
      </c>
      <c r="T2489" s="1" t="s">
        <v>29</v>
      </c>
    </row>
    <row r="2490" customFormat="false" ht="18.7" hidden="false" customHeight="true" outlineLevel="0" collapsed="false">
      <c r="A2490" s="1" t="n">
        <v>2489</v>
      </c>
      <c r="B2490" s="6" t="str">
        <f aca="false">HYPERLINK("https://mncourtfraud.com/file/MCRO_27-CR-22-1165_Notice of Hearing_2024-03-12_20240429030422.pdf","MCRO_27-CR-22-1165_Notice of Hearing_2024-03-12_20240429030422.pdf")</f>
        <v>MCRO_27-CR-22-1165_Notice of Hearing_2024-03-12_20240429030422.pdf</v>
      </c>
      <c r="C2490" s="1" t="n">
        <v>4</v>
      </c>
      <c r="D2490" s="1" t="n">
        <v>1</v>
      </c>
      <c r="E2490" s="1" t="n">
        <v>1</v>
      </c>
      <c r="F2490" s="3" t="s">
        <v>20</v>
      </c>
      <c r="G2490" s="3" t="s">
        <v>10092</v>
      </c>
      <c r="H2490" s="1" t="s">
        <v>22</v>
      </c>
      <c r="I2490" s="1" t="n">
        <v>20240429030422</v>
      </c>
      <c r="J2490" s="3" t="s">
        <v>10093</v>
      </c>
      <c r="K2490" s="3" t="s">
        <v>10094</v>
      </c>
      <c r="L2490" s="3" t="s">
        <v>3739</v>
      </c>
      <c r="M2490" s="3" t="n">
        <v>255840</v>
      </c>
      <c r="N2490" s="3" t="s">
        <v>74</v>
      </c>
      <c r="O2490" s="1" t="n">
        <v>239454</v>
      </c>
      <c r="P2490" s="1" t="n">
        <v>93.6</v>
      </c>
      <c r="Q2490" s="1" t="s">
        <v>20</v>
      </c>
      <c r="R2490" s="1" t="s">
        <v>27</v>
      </c>
      <c r="S2490" s="1" t="s">
        <v>28</v>
      </c>
      <c r="T2490" s="1" t="s">
        <v>29</v>
      </c>
    </row>
    <row r="2491" customFormat="false" ht="18.7" hidden="false" customHeight="true" outlineLevel="0" collapsed="false">
      <c r="A2491" s="1" t="n">
        <v>2490</v>
      </c>
      <c r="B2491" s="6" t="str">
        <f aca="false">HYPERLINK("https://mncourtfraud.com/file/MCRO_27-CR-22-1165_Notice of Remote Hearing with Instructions_2022-01-21_20240429030438.pdf","MCRO_27-CR-22-1165_Notice of Remote Hearing with Instructions_2022-01-21_20240429030438.pdf")</f>
        <v>MCRO_27-CR-22-1165_Notice of Remote Hearing with Instructions_2022-01-21_20240429030438.pdf</v>
      </c>
      <c r="C2491" s="1" t="n">
        <v>4</v>
      </c>
      <c r="D2491" s="1" t="n">
        <v>1</v>
      </c>
      <c r="E2491" s="1" t="n">
        <v>1</v>
      </c>
      <c r="F2491" s="3" t="s">
        <v>20</v>
      </c>
      <c r="G2491" s="3" t="s">
        <v>10095</v>
      </c>
      <c r="H2491" s="1" t="s">
        <v>22</v>
      </c>
      <c r="I2491" s="1" t="n">
        <v>20240429030438</v>
      </c>
      <c r="J2491" s="3" t="s">
        <v>10096</v>
      </c>
      <c r="K2491" s="3" t="s">
        <v>10097</v>
      </c>
      <c r="L2491" s="3" t="s">
        <v>10098</v>
      </c>
      <c r="M2491" s="3" t="n">
        <v>342642</v>
      </c>
      <c r="N2491" s="3" t="s">
        <v>104</v>
      </c>
      <c r="O2491" s="1" t="n">
        <v>326256</v>
      </c>
      <c r="P2491" s="1" t="n">
        <v>95.22</v>
      </c>
      <c r="Q2491" s="1" t="s">
        <v>20</v>
      </c>
      <c r="R2491" s="1" t="s">
        <v>27</v>
      </c>
      <c r="S2491" s="1" t="s">
        <v>28</v>
      </c>
      <c r="T2491" s="1" t="s">
        <v>29</v>
      </c>
    </row>
    <row r="2492" customFormat="false" ht="18.7" hidden="false" customHeight="true" outlineLevel="0" collapsed="false">
      <c r="A2492" s="1" t="n">
        <v>2491</v>
      </c>
      <c r="B2492" s="6" t="str">
        <f aca="false">HYPERLINK("https://mncourtfraud.com/file/MCRO_27-CR-22-1165_Notice of Remote Hearing with Instructions_2022-01-21_20240429030439.pdf","MCRO_27-CR-22-1165_Notice of Remote Hearing with Instructions_2022-01-21_20240429030439.pdf")</f>
        <v>MCRO_27-CR-22-1165_Notice of Remote Hearing with Instructions_2022-01-21_20240429030439.pdf</v>
      </c>
      <c r="C2492" s="1" t="n">
        <v>4</v>
      </c>
      <c r="D2492" s="1" t="n">
        <v>1</v>
      </c>
      <c r="E2492" s="1" t="n">
        <v>1</v>
      </c>
      <c r="F2492" s="3" t="s">
        <v>20</v>
      </c>
      <c r="G2492" s="3" t="s">
        <v>10099</v>
      </c>
      <c r="H2492" s="1" t="s">
        <v>22</v>
      </c>
      <c r="I2492" s="1" t="n">
        <v>20240429030439</v>
      </c>
      <c r="J2492" s="3" t="s">
        <v>10100</v>
      </c>
      <c r="K2492" s="3" t="s">
        <v>10101</v>
      </c>
      <c r="L2492" s="3" t="s">
        <v>10102</v>
      </c>
      <c r="M2492" s="3" t="n">
        <v>340684</v>
      </c>
      <c r="N2492" s="3" t="s">
        <v>104</v>
      </c>
      <c r="O2492" s="1" t="n">
        <v>324298</v>
      </c>
      <c r="P2492" s="1" t="n">
        <v>95.19</v>
      </c>
      <c r="Q2492" s="1" t="s">
        <v>20</v>
      </c>
      <c r="R2492" s="1" t="s">
        <v>27</v>
      </c>
      <c r="S2492" s="1" t="s">
        <v>28</v>
      </c>
      <c r="T2492" s="1" t="s">
        <v>29</v>
      </c>
    </row>
    <row r="2493" customFormat="false" ht="18.7" hidden="false" customHeight="true" outlineLevel="0" collapsed="false">
      <c r="A2493" s="1" t="n">
        <v>2492</v>
      </c>
      <c r="B2493" s="6" t="str">
        <f aca="false">HYPERLINK("https://mncourtfraud.com/file/MCRO_27-CR-22-1165_Notice of Remote Hearing with Instructions_2023-08-29_20240429030427.pdf","MCRO_27-CR-22-1165_Notice of Remote Hearing with Instructions_2023-08-29_20240429030427.pdf")</f>
        <v>MCRO_27-CR-22-1165_Notice of Remote Hearing with Instructions_2023-08-29_20240429030427.pdf</v>
      </c>
      <c r="C2493" s="1" t="n">
        <v>5</v>
      </c>
      <c r="D2493" s="1" t="n">
        <v>1</v>
      </c>
      <c r="E2493" s="1" t="n">
        <v>1</v>
      </c>
      <c r="F2493" s="3" t="s">
        <v>20</v>
      </c>
      <c r="G2493" s="3" t="s">
        <v>10103</v>
      </c>
      <c r="H2493" s="1" t="s">
        <v>22</v>
      </c>
      <c r="I2493" s="1" t="n">
        <v>20240429030427</v>
      </c>
      <c r="J2493" s="3" t="s">
        <v>10104</v>
      </c>
      <c r="K2493" s="3" t="s">
        <v>10105</v>
      </c>
      <c r="L2493" s="3" t="s">
        <v>10106</v>
      </c>
      <c r="M2493" s="3" t="n">
        <v>844619</v>
      </c>
      <c r="N2493" s="3" t="s">
        <v>1579</v>
      </c>
      <c r="O2493" s="1" t="n">
        <v>828233</v>
      </c>
      <c r="P2493" s="1" t="n">
        <v>98.06</v>
      </c>
      <c r="Q2493" s="1" t="s">
        <v>20</v>
      </c>
      <c r="R2493" s="1" t="s">
        <v>27</v>
      </c>
      <c r="S2493" s="1" t="s">
        <v>28</v>
      </c>
      <c r="T2493" s="1" t="s">
        <v>29</v>
      </c>
    </row>
    <row r="2494" customFormat="false" ht="18.7" hidden="false" customHeight="true" outlineLevel="0" collapsed="false">
      <c r="A2494" s="1" t="n">
        <v>2493</v>
      </c>
      <c r="B2494" s="6" t="str">
        <f aca="false">HYPERLINK("https://mncourtfraud.com/file/MCRO_27-CR-22-1165_Notice of Remote Hearing with Instructions_2024-03-05_20240429030425.pdf","MCRO_27-CR-22-1165_Notice of Remote Hearing with Instructions_2024-03-05_20240429030425.pdf")</f>
        <v>MCRO_27-CR-22-1165_Notice of Remote Hearing with Instructions_2024-03-05_20240429030425.pdf</v>
      </c>
      <c r="C2494" s="1" t="n">
        <v>4</v>
      </c>
      <c r="D2494" s="1" t="n">
        <v>1</v>
      </c>
      <c r="E2494" s="1" t="n">
        <v>1</v>
      </c>
      <c r="F2494" s="3" t="s">
        <v>20</v>
      </c>
      <c r="G2494" s="3" t="s">
        <v>10107</v>
      </c>
      <c r="H2494" s="1" t="s">
        <v>22</v>
      </c>
      <c r="I2494" s="1" t="n">
        <v>20240429030425</v>
      </c>
      <c r="J2494" s="3" t="s">
        <v>10108</v>
      </c>
      <c r="K2494" s="3" t="s">
        <v>10109</v>
      </c>
      <c r="L2494" s="3" t="s">
        <v>10110</v>
      </c>
      <c r="M2494" s="3" t="n">
        <v>255665</v>
      </c>
      <c r="N2494" s="3" t="s">
        <v>74</v>
      </c>
      <c r="O2494" s="1" t="n">
        <v>239279</v>
      </c>
      <c r="P2494" s="1" t="n">
        <v>93.59</v>
      </c>
      <c r="Q2494" s="1" t="s">
        <v>20</v>
      </c>
      <c r="R2494" s="1" t="s">
        <v>27</v>
      </c>
      <c r="S2494" s="1" t="s">
        <v>28</v>
      </c>
      <c r="T2494" s="1" t="s">
        <v>29</v>
      </c>
    </row>
    <row r="2495" customFormat="false" ht="18.7" hidden="false" customHeight="true" outlineLevel="0" collapsed="false">
      <c r="A2495" s="1" t="n">
        <v>2494</v>
      </c>
      <c r="B2495" s="6" t="str">
        <f aca="false">HYPERLINK("https://mncourtfraud.com/file/MCRO_27-CR-22-1165_Notice of Remote Hearing with Instructions_2024-03-12_20240429030423.pdf","MCRO_27-CR-22-1165_Notice of Remote Hearing with Instructions_2024-03-12_20240429030423.pdf")</f>
        <v>MCRO_27-CR-22-1165_Notice of Remote Hearing with Instructions_2024-03-12_20240429030423.pdf</v>
      </c>
      <c r="C2495" s="1" t="n">
        <v>4</v>
      </c>
      <c r="D2495" s="1" t="n">
        <v>1</v>
      </c>
      <c r="E2495" s="1" t="n">
        <v>1</v>
      </c>
      <c r="F2495" s="3" t="s">
        <v>20</v>
      </c>
      <c r="G2495" s="3" t="s">
        <v>10111</v>
      </c>
      <c r="H2495" s="1" t="s">
        <v>22</v>
      </c>
      <c r="I2495" s="1" t="n">
        <v>20240429030423</v>
      </c>
      <c r="J2495" s="3" t="s">
        <v>10112</v>
      </c>
      <c r="K2495" s="3" t="s">
        <v>10113</v>
      </c>
      <c r="L2495" s="3" t="s">
        <v>10114</v>
      </c>
      <c r="M2495" s="3" t="n">
        <v>255641</v>
      </c>
      <c r="N2495" s="3" t="s">
        <v>74</v>
      </c>
      <c r="O2495" s="1" t="n">
        <v>239255</v>
      </c>
      <c r="P2495" s="1" t="n">
        <v>93.59</v>
      </c>
      <c r="Q2495" s="1" t="s">
        <v>20</v>
      </c>
      <c r="R2495" s="1" t="s">
        <v>27</v>
      </c>
      <c r="S2495" s="1" t="s">
        <v>28</v>
      </c>
      <c r="T2495" s="1" t="s">
        <v>29</v>
      </c>
    </row>
    <row r="2496" customFormat="false" ht="18.7" hidden="false" customHeight="true" outlineLevel="0" collapsed="false">
      <c r="A2496" s="1" t="n">
        <v>2495</v>
      </c>
      <c r="B2496" s="6" t="str">
        <f aca="false">HYPERLINK("https://mncourtfraud.com/file/MCRO_27-CR-22-1165_Order-Evaluation for Competency to Proceed (Rule 20.01)_2022-06-14_20240429030433.pdf","MCRO_27-CR-22-1165_Order-Evaluation for Competency to Proceed (Rule 20.01)_2022-06-14_20240429030433.pdf")</f>
        <v>MCRO_27-CR-22-1165_Order-Evaluation for Competency to Proceed (Rule 20.01)_2022-06-14_20240429030433.pdf</v>
      </c>
      <c r="C2496" s="1" t="n">
        <v>6</v>
      </c>
      <c r="D2496" s="1" t="n">
        <v>1</v>
      </c>
      <c r="E2496" s="1" t="n">
        <v>1</v>
      </c>
      <c r="F2496" s="3" t="s">
        <v>20</v>
      </c>
      <c r="G2496" s="3" t="s">
        <v>10115</v>
      </c>
      <c r="H2496" s="1" t="s">
        <v>22</v>
      </c>
      <c r="I2496" s="1" t="n">
        <v>20240429030433</v>
      </c>
      <c r="J2496" s="3" t="s">
        <v>10116</v>
      </c>
      <c r="K2496" s="3" t="s">
        <v>10117</v>
      </c>
      <c r="L2496" s="3" t="s">
        <v>3758</v>
      </c>
      <c r="M2496" s="3" t="n">
        <v>829221</v>
      </c>
      <c r="N2496" s="3" t="s">
        <v>1614</v>
      </c>
      <c r="O2496" s="1" t="n">
        <v>812835</v>
      </c>
      <c r="P2496" s="1" t="n">
        <v>98.02</v>
      </c>
      <c r="Q2496" s="1" t="s">
        <v>20</v>
      </c>
      <c r="R2496" s="1" t="s">
        <v>27</v>
      </c>
      <c r="S2496" s="1" t="s">
        <v>28</v>
      </c>
      <c r="T2496" s="1" t="s">
        <v>29</v>
      </c>
    </row>
    <row r="2497" customFormat="false" ht="18.7" hidden="false" customHeight="true" outlineLevel="0" collapsed="false">
      <c r="A2497" s="1" t="n">
        <v>2496</v>
      </c>
      <c r="B2497" s="6" t="str">
        <f aca="false">HYPERLINK("https://mncourtfraud.com/file/MCRO_27-CR-22-1165_Order-Evaluation for Competency to Proceed (Rule 20.01)_2022-12-27_20240429030429.pdf","MCRO_27-CR-22-1165_Order-Evaluation for Competency to Proceed (Rule 20.01)_2022-12-27_20240429030429.pdf")</f>
        <v>MCRO_27-CR-22-1165_Order-Evaluation for Competency to Proceed (Rule 20.01)_2022-12-27_20240429030429.pdf</v>
      </c>
      <c r="C2497" s="1" t="n">
        <v>6</v>
      </c>
      <c r="D2497" s="1" t="n">
        <v>1</v>
      </c>
      <c r="E2497" s="1" t="n">
        <v>1</v>
      </c>
      <c r="F2497" s="3" t="s">
        <v>20</v>
      </c>
      <c r="G2497" s="3" t="s">
        <v>10118</v>
      </c>
      <c r="H2497" s="1" t="s">
        <v>22</v>
      </c>
      <c r="I2497" s="1" t="n">
        <v>20240429030429</v>
      </c>
      <c r="J2497" s="3" t="s">
        <v>10119</v>
      </c>
      <c r="K2497" s="3" t="s">
        <v>10120</v>
      </c>
      <c r="L2497" s="3" t="s">
        <v>10121</v>
      </c>
      <c r="M2497" s="3" t="n">
        <v>823507</v>
      </c>
      <c r="N2497" s="3" t="s">
        <v>1619</v>
      </c>
      <c r="O2497" s="1" t="n">
        <v>807121</v>
      </c>
      <c r="P2497" s="1" t="n">
        <v>98.01</v>
      </c>
      <c r="Q2497" s="1" t="s">
        <v>20</v>
      </c>
      <c r="R2497" s="1" t="s">
        <v>27</v>
      </c>
      <c r="S2497" s="1" t="s">
        <v>28</v>
      </c>
      <c r="T2497" s="1" t="s">
        <v>29</v>
      </c>
    </row>
    <row r="2498" customFormat="false" ht="18.7" hidden="false" customHeight="true" outlineLevel="0" collapsed="false">
      <c r="A2498" s="1" t="n">
        <v>2497</v>
      </c>
      <c r="B2498" s="6" t="str">
        <f aca="false">HYPERLINK("https://mncourtfraud.com/file/MCRO_27-CR-22-1165_Order-Evaluation for Competency to Proceed (Rule 20.01)_2023-01-11_20240429030428.pdf","MCRO_27-CR-22-1165_Order-Evaluation for Competency to Proceed (Rule 20.01)_2023-01-11_20240429030428.pdf")</f>
        <v>MCRO_27-CR-22-1165_Order-Evaluation for Competency to Proceed (Rule 20.01)_2023-01-11_20240429030428.pdf</v>
      </c>
      <c r="C2498" s="1" t="n">
        <v>6</v>
      </c>
      <c r="D2498" s="1" t="n">
        <v>2</v>
      </c>
      <c r="E2498" s="1" t="n">
        <v>2</v>
      </c>
      <c r="F2498" s="3" t="s">
        <v>27</v>
      </c>
      <c r="G2498" s="3" t="s">
        <v>10122</v>
      </c>
      <c r="H2498" s="1" t="s">
        <v>22</v>
      </c>
      <c r="I2498" s="1" t="n">
        <v>20240429030428</v>
      </c>
      <c r="J2498" s="3" t="s">
        <v>10123</v>
      </c>
      <c r="K2498" s="3" t="s">
        <v>10124</v>
      </c>
      <c r="L2498" s="3" t="s">
        <v>10125</v>
      </c>
      <c r="M2498" s="3" t="n">
        <v>913100</v>
      </c>
      <c r="N2498" s="3" t="s">
        <v>1624</v>
      </c>
      <c r="O2498" s="1" t="n">
        <v>896714</v>
      </c>
      <c r="P2498" s="1" t="n">
        <v>98.21</v>
      </c>
      <c r="Q2498" s="1" t="s">
        <v>20</v>
      </c>
      <c r="R2498" s="1" t="s">
        <v>27</v>
      </c>
      <c r="S2498" s="1" t="s">
        <v>28</v>
      </c>
      <c r="T2498" s="1" t="s">
        <v>29</v>
      </c>
    </row>
    <row r="2499" customFormat="false" ht="18.7" hidden="false" customHeight="true" outlineLevel="0" collapsed="false">
      <c r="A2499" s="1" t="n">
        <v>2498</v>
      </c>
      <c r="B2499" s="6" t="str">
        <f aca="false">HYPERLINK("https://mncourtfraud.com/file/MCRO_27-CR-22-1165_Order-Evaluation for Competency to Proceed (Rule 20.01)_2023-12-22_20240429030426.pdf","MCRO_27-CR-22-1165_Order-Evaluation for Competency to Proceed (Rule 20.01)_2023-12-22_20240429030426.pdf")</f>
        <v>MCRO_27-CR-22-1165_Order-Evaluation for Competency to Proceed (Rule 20.01)_2023-12-22_20240429030426.pdf</v>
      </c>
      <c r="C2499" s="1" t="n">
        <v>5</v>
      </c>
      <c r="D2499" s="1" t="n">
        <v>1</v>
      </c>
      <c r="E2499" s="1" t="n">
        <v>1</v>
      </c>
      <c r="F2499" s="3" t="s">
        <v>20</v>
      </c>
      <c r="G2499" s="3" t="s">
        <v>10126</v>
      </c>
      <c r="H2499" s="1" t="s">
        <v>22</v>
      </c>
      <c r="I2499" s="1" t="n">
        <v>20240429030426</v>
      </c>
      <c r="J2499" s="3" t="s">
        <v>10127</v>
      </c>
      <c r="K2499" s="3" t="s">
        <v>10128</v>
      </c>
      <c r="L2499" s="3" t="s">
        <v>2139</v>
      </c>
      <c r="M2499" s="3" t="n">
        <v>761665</v>
      </c>
      <c r="N2499" s="3" t="s">
        <v>1091</v>
      </c>
      <c r="O2499" s="1" t="n">
        <v>745279</v>
      </c>
      <c r="P2499" s="1" t="n">
        <v>97.85</v>
      </c>
      <c r="Q2499" s="1" t="s">
        <v>20</v>
      </c>
      <c r="R2499" s="1" t="s">
        <v>27</v>
      </c>
      <c r="S2499" s="1" t="s">
        <v>28</v>
      </c>
      <c r="T2499" s="1" t="s">
        <v>29</v>
      </c>
    </row>
    <row r="2500" customFormat="false" ht="18.7" hidden="false" customHeight="true" outlineLevel="0" collapsed="false">
      <c r="A2500" s="1" t="n">
        <v>2499</v>
      </c>
      <c r="B2500" s="6" t="str">
        <f aca="false">HYPERLINK("https://mncourtfraud.com/file/MCRO_27-CR-22-1165_Order for Conditional Release_2022-01-21_20240429030440.pdf","MCRO_27-CR-22-1165_Order for Conditional Release_2022-01-21_20240429030440.pdf")</f>
        <v>MCRO_27-CR-22-1165_Order for Conditional Release_2022-01-21_20240429030440.pdf</v>
      </c>
      <c r="C2500" s="1" t="n">
        <v>4</v>
      </c>
      <c r="D2500" s="1" t="n">
        <v>54</v>
      </c>
      <c r="E2500" s="1" t="n">
        <v>2</v>
      </c>
      <c r="F2500" s="3" t="s">
        <v>20</v>
      </c>
      <c r="G2500" s="3" t="s">
        <v>10129</v>
      </c>
      <c r="H2500" s="1" t="s">
        <v>22</v>
      </c>
      <c r="I2500" s="1" t="n">
        <v>20240429030440</v>
      </c>
      <c r="J2500" s="3" t="s">
        <v>10130</v>
      </c>
      <c r="K2500" s="3" t="s">
        <v>10131</v>
      </c>
      <c r="L2500" s="3" t="s">
        <v>10132</v>
      </c>
      <c r="M2500" s="3" t="n">
        <v>410326</v>
      </c>
      <c r="N2500" s="3" t="s">
        <v>10133</v>
      </c>
      <c r="O2500" s="1" t="n">
        <v>393940</v>
      </c>
      <c r="P2500" s="1" t="n">
        <v>96.01</v>
      </c>
      <c r="Q2500" s="1" t="s">
        <v>20</v>
      </c>
      <c r="R2500" s="1" t="s">
        <v>27</v>
      </c>
      <c r="S2500" s="1" t="s">
        <v>28</v>
      </c>
      <c r="T2500" s="1" t="s">
        <v>29</v>
      </c>
    </row>
    <row r="2501" customFormat="false" ht="18.7" hidden="false" customHeight="true" outlineLevel="0" collapsed="false">
      <c r="A2501" s="1" t="n">
        <v>2500</v>
      </c>
      <c r="B2501" s="6" t="str">
        <f aca="false">HYPERLINK("https://mncourtfraud.com/file/MCRO_27-CR-22-1165_Order for Conditional Release_2022-03-11_20240429030433.pdf","MCRO_27-CR-22-1165_Order for Conditional Release_2022-03-11_20240429030433.pdf")</f>
        <v>MCRO_27-CR-22-1165_Order for Conditional Release_2022-03-11_20240429030433.pdf</v>
      </c>
      <c r="C2501" s="1" t="n">
        <v>3</v>
      </c>
      <c r="D2501" s="1" t="n">
        <v>1</v>
      </c>
      <c r="E2501" s="1" t="n">
        <v>1</v>
      </c>
      <c r="F2501" s="3" t="s">
        <v>20</v>
      </c>
      <c r="G2501" s="3" t="s">
        <v>10134</v>
      </c>
      <c r="H2501" s="1" t="s">
        <v>22</v>
      </c>
      <c r="I2501" s="1" t="n">
        <v>20240429030433</v>
      </c>
      <c r="J2501" s="3" t="s">
        <v>10135</v>
      </c>
      <c r="K2501" s="3" t="s">
        <v>10136</v>
      </c>
      <c r="L2501" s="3" t="s">
        <v>10137</v>
      </c>
      <c r="M2501" s="3" t="n">
        <v>194379</v>
      </c>
      <c r="N2501" s="3" t="s">
        <v>1316</v>
      </c>
      <c r="O2501" s="1" t="n">
        <v>177993</v>
      </c>
      <c r="P2501" s="1" t="n">
        <v>91.57</v>
      </c>
      <c r="Q2501" s="1" t="s">
        <v>20</v>
      </c>
      <c r="R2501" s="1" t="s">
        <v>27</v>
      </c>
      <c r="S2501" s="1" t="s">
        <v>28</v>
      </c>
      <c r="T2501" s="1" t="s">
        <v>29</v>
      </c>
    </row>
    <row r="2502" customFormat="false" ht="18.7" hidden="false" customHeight="true" outlineLevel="0" collapsed="false">
      <c r="A2502" s="1" t="n">
        <v>2501</v>
      </c>
      <c r="B2502" s="6" t="str">
        <f aca="false">HYPERLINK("https://mncourtfraud.com/file/MCRO_27-CR-22-1165_Proposed Order or Document_2022-11-07_20240429030430.pdf","MCRO_27-CR-22-1165_Proposed Order or Document_2022-11-07_20240429030430.pdf")</f>
        <v>MCRO_27-CR-22-1165_Proposed Order or Document_2022-11-07_20240429030430.pdf</v>
      </c>
      <c r="C2502" s="1" t="n">
        <v>3</v>
      </c>
      <c r="D2502" s="1" t="n">
        <v>1</v>
      </c>
      <c r="E2502" s="1" t="n">
        <v>1</v>
      </c>
      <c r="F2502" s="3" t="s">
        <v>20</v>
      </c>
      <c r="G2502" s="3" t="s">
        <v>10138</v>
      </c>
      <c r="H2502" s="1" t="s">
        <v>22</v>
      </c>
      <c r="I2502" s="1" t="n">
        <v>20240429030430</v>
      </c>
      <c r="J2502" s="3" t="s">
        <v>10139</v>
      </c>
      <c r="K2502" s="3" t="s">
        <v>10140</v>
      </c>
      <c r="L2502" s="3" t="s">
        <v>10141</v>
      </c>
      <c r="M2502" s="3" t="n">
        <v>178713</v>
      </c>
      <c r="N2502" s="3" t="s">
        <v>1673</v>
      </c>
      <c r="O2502" s="1" t="n">
        <v>162327</v>
      </c>
      <c r="P2502" s="1" t="n">
        <v>90.83</v>
      </c>
      <c r="Q2502" s="1" t="s">
        <v>20</v>
      </c>
      <c r="R2502" s="1" t="s">
        <v>27</v>
      </c>
      <c r="S2502" s="1" t="s">
        <v>28</v>
      </c>
      <c r="T2502" s="1" t="s">
        <v>29</v>
      </c>
    </row>
    <row r="2503" customFormat="false" ht="18.7" hidden="false" customHeight="true" outlineLevel="0" collapsed="false">
      <c r="A2503" s="1" t="n">
        <v>2502</v>
      </c>
      <c r="B2503" s="6" t="str">
        <f aca="false">HYPERLINK("https://mncourtfraud.com/file/MCRO_27-CR-22-1165_Returned Mail_2024-03-19_20240429030420.pdf","MCRO_27-CR-22-1165_Returned Mail_2024-03-19_20240429030420.pdf")</f>
        <v>MCRO_27-CR-22-1165_Returned Mail_2024-03-19_20240429030420.pdf</v>
      </c>
      <c r="C2503" s="1" t="n">
        <v>4</v>
      </c>
      <c r="D2503" s="1" t="n">
        <v>1</v>
      </c>
      <c r="E2503" s="1" t="n">
        <v>1</v>
      </c>
      <c r="F2503" s="3" t="s">
        <v>20</v>
      </c>
      <c r="G2503" s="3" t="s">
        <v>10142</v>
      </c>
      <c r="H2503" s="1" t="s">
        <v>22</v>
      </c>
      <c r="I2503" s="1" t="n">
        <v>20240429030420</v>
      </c>
      <c r="J2503" s="3" t="s">
        <v>10143</v>
      </c>
      <c r="K2503" s="3" t="s">
        <v>10144</v>
      </c>
      <c r="L2503" s="3" t="s">
        <v>10145</v>
      </c>
      <c r="M2503" s="3" t="n">
        <v>88249</v>
      </c>
      <c r="N2503" s="3" t="s">
        <v>435</v>
      </c>
      <c r="O2503" s="1" t="n">
        <v>71863</v>
      </c>
      <c r="P2503" s="1" t="n">
        <v>81.43</v>
      </c>
      <c r="Q2503" s="1" t="s">
        <v>20</v>
      </c>
      <c r="R2503" s="1" t="s">
        <v>27</v>
      </c>
      <c r="S2503" s="1" t="s">
        <v>28</v>
      </c>
      <c r="T2503" s="1" t="s">
        <v>29</v>
      </c>
    </row>
    <row r="2504" customFormat="false" ht="18.7" hidden="false" customHeight="true" outlineLevel="0" collapsed="false">
      <c r="A2504" s="1" t="n">
        <v>2503</v>
      </c>
      <c r="B2504" s="6" t="str">
        <f aca="false">HYPERLINK("https://mncourtfraud.com/file/MCRO_27-CR-22-12076_Amended Order_2023-04-06_20240429153156.pdf","MCRO_27-CR-22-12076_Amended Order_2023-04-06_20240429153156.pdf")</f>
        <v>MCRO_27-CR-22-12076_Amended Order_2023-04-06_20240429153156.pdf</v>
      </c>
      <c r="C2504" s="1" t="n">
        <v>3</v>
      </c>
      <c r="D2504" s="1" t="n">
        <v>1</v>
      </c>
      <c r="E2504" s="1" t="n">
        <v>1</v>
      </c>
      <c r="F2504" s="3" t="s">
        <v>20</v>
      </c>
      <c r="G2504" s="3" t="s">
        <v>10146</v>
      </c>
      <c r="H2504" s="1" t="s">
        <v>22</v>
      </c>
      <c r="I2504" s="1" t="n">
        <v>20240429153156</v>
      </c>
      <c r="J2504" s="3" t="s">
        <v>10147</v>
      </c>
      <c r="K2504" s="3" t="s">
        <v>10148</v>
      </c>
      <c r="L2504" s="3" t="s">
        <v>10149</v>
      </c>
      <c r="M2504" s="3" t="n">
        <v>201648</v>
      </c>
      <c r="N2504" s="3" t="s">
        <v>104</v>
      </c>
      <c r="O2504" s="1" t="n">
        <v>185262</v>
      </c>
      <c r="P2504" s="1" t="n">
        <v>91.87</v>
      </c>
      <c r="Q2504" s="1" t="s">
        <v>20</v>
      </c>
      <c r="R2504" s="1" t="s">
        <v>27</v>
      </c>
      <c r="S2504" s="1" t="s">
        <v>28</v>
      </c>
      <c r="T2504" s="1" t="s">
        <v>29</v>
      </c>
    </row>
    <row r="2505" customFormat="false" ht="18.7" hidden="false" customHeight="true" outlineLevel="0" collapsed="false">
      <c r="A2505" s="1" t="n">
        <v>2504</v>
      </c>
      <c r="B2505" s="6" t="str">
        <f aca="false">HYPERLINK("https://mncourtfraud.com/file/MCRO_27-CR-22-12076_Citation Data Summary_2022-06-22_20240429153205.pdf","MCRO_27-CR-22-12076_Citation Data Summary_2022-06-22_20240429153205.pdf")</f>
        <v>MCRO_27-CR-22-12076_Citation Data Summary_2022-06-22_20240429153205.pdf</v>
      </c>
      <c r="C2505" s="1" t="n">
        <v>4</v>
      </c>
      <c r="D2505" s="1" t="n">
        <v>2</v>
      </c>
      <c r="E2505" s="1" t="n">
        <v>2</v>
      </c>
      <c r="F2505" s="3" t="s">
        <v>20</v>
      </c>
      <c r="G2505" s="3" t="s">
        <v>10150</v>
      </c>
      <c r="H2505" s="1" t="s">
        <v>22</v>
      </c>
      <c r="I2505" s="1" t="n">
        <v>20240429153205</v>
      </c>
      <c r="J2505" s="3" t="s">
        <v>10151</v>
      </c>
      <c r="K2505" s="3" t="s">
        <v>10152</v>
      </c>
      <c r="L2505" s="3" t="s">
        <v>10153</v>
      </c>
      <c r="M2505" s="3" t="n">
        <v>112598</v>
      </c>
      <c r="N2505" s="3" t="s">
        <v>3445</v>
      </c>
      <c r="O2505" s="1" t="n">
        <v>96212</v>
      </c>
      <c r="P2505" s="1" t="n">
        <v>85.45</v>
      </c>
      <c r="Q2505" s="1" t="s">
        <v>20</v>
      </c>
      <c r="R2505" s="1" t="s">
        <v>27</v>
      </c>
      <c r="S2505" s="1" t="s">
        <v>28</v>
      </c>
      <c r="T2505" s="1" t="s">
        <v>29</v>
      </c>
    </row>
    <row r="2506" customFormat="false" ht="18.7" hidden="false" customHeight="true" outlineLevel="0" collapsed="false">
      <c r="A2506" s="1" t="n">
        <v>2505</v>
      </c>
      <c r="B2506" s="6" t="str">
        <f aca="false">HYPERLINK("https://mncourtfraud.com/file/MCRO_27-CR-22-12076_Finding of Incompetency and Order_2024-02-02_20240429153145.pdf","MCRO_27-CR-22-12076_Finding of Incompetency and Order_2024-02-02_20240429153145.pdf")</f>
        <v>MCRO_27-CR-22-12076_Finding of Incompetency and Order_2024-02-02_20240429153145.pdf</v>
      </c>
      <c r="C2506" s="1" t="n">
        <v>6</v>
      </c>
      <c r="D2506" s="1" t="n">
        <v>2</v>
      </c>
      <c r="E2506" s="1" t="n">
        <v>2</v>
      </c>
      <c r="F2506" s="3" t="s">
        <v>20</v>
      </c>
      <c r="G2506" s="3" t="s">
        <v>10154</v>
      </c>
      <c r="H2506" s="1" t="s">
        <v>22</v>
      </c>
      <c r="I2506" s="1" t="n">
        <v>20240429153145</v>
      </c>
      <c r="J2506" s="3" t="s">
        <v>10155</v>
      </c>
      <c r="K2506" s="3" t="s">
        <v>10156</v>
      </c>
      <c r="L2506" s="3" t="s">
        <v>10157</v>
      </c>
      <c r="M2506" s="3" t="n">
        <v>775867</v>
      </c>
      <c r="N2506" s="3" t="s">
        <v>973</v>
      </c>
      <c r="O2506" s="1" t="n">
        <v>759481</v>
      </c>
      <c r="P2506" s="1" t="n">
        <v>97.89</v>
      </c>
      <c r="Q2506" s="1" t="s">
        <v>20</v>
      </c>
      <c r="R2506" s="1" t="s">
        <v>27</v>
      </c>
      <c r="S2506" s="1" t="s">
        <v>28</v>
      </c>
      <c r="T2506" s="1" t="s">
        <v>29</v>
      </c>
    </row>
    <row r="2507" customFormat="false" ht="18.7" hidden="false" customHeight="true" outlineLevel="0" collapsed="false">
      <c r="A2507" s="1" t="n">
        <v>2506</v>
      </c>
      <c r="B2507" s="6" t="str">
        <f aca="false">HYPERLINK("https://mncourtfraud.com/file/MCRO_27-CR-22-12076_Law Enforcement Notice of Release and Appearance_2022-10-20_20240429153203.pdf","MCRO_27-CR-22-12076_Law Enforcement Notice of Release and Appearance_2022-10-20_20240429153203.pdf")</f>
        <v>MCRO_27-CR-22-12076_Law Enforcement Notice of Release and Appearance_2022-10-20_20240429153203.pdf</v>
      </c>
      <c r="C2507" s="1" t="n">
        <v>4</v>
      </c>
      <c r="D2507" s="1" t="n">
        <v>1</v>
      </c>
      <c r="E2507" s="1" t="n">
        <v>1</v>
      </c>
      <c r="F2507" s="3" t="s">
        <v>20</v>
      </c>
      <c r="G2507" s="3" t="s">
        <v>10158</v>
      </c>
      <c r="H2507" s="1" t="s">
        <v>22</v>
      </c>
      <c r="I2507" s="1" t="n">
        <v>20240429153203</v>
      </c>
      <c r="J2507" s="3" t="s">
        <v>10159</v>
      </c>
      <c r="K2507" s="3" t="s">
        <v>10160</v>
      </c>
      <c r="L2507" s="3" t="s">
        <v>10161</v>
      </c>
      <c r="M2507" s="3" t="n">
        <v>130254</v>
      </c>
      <c r="N2507" s="3" t="s">
        <v>435</v>
      </c>
      <c r="O2507" s="1" t="n">
        <v>113868</v>
      </c>
      <c r="P2507" s="1" t="n">
        <v>87.42</v>
      </c>
      <c r="Q2507" s="1" t="s">
        <v>20</v>
      </c>
      <c r="R2507" s="1" t="s">
        <v>27</v>
      </c>
      <c r="S2507" s="1" t="s">
        <v>28</v>
      </c>
      <c r="T2507" s="1" t="s">
        <v>29</v>
      </c>
    </row>
    <row r="2508" customFormat="false" ht="18.7" hidden="false" customHeight="true" outlineLevel="0" collapsed="false">
      <c r="A2508" s="1" t="n">
        <v>2507</v>
      </c>
      <c r="B2508" s="6" t="str">
        <f aca="false">HYPERLINK("https://mncourtfraud.com/file/MCRO_27-CR-22-12076_Law Enforcement Notice of Release and Appearance_2023-01-11_20240429153201.pdf","MCRO_27-CR-22-12076_Law Enforcement Notice of Release and Appearance_2023-01-11_20240429153201.pdf")</f>
        <v>MCRO_27-CR-22-12076_Law Enforcement Notice of Release and Appearance_2023-01-11_20240429153201.pdf</v>
      </c>
      <c r="C2508" s="1" t="n">
        <v>4</v>
      </c>
      <c r="D2508" s="1" t="n">
        <v>1</v>
      </c>
      <c r="E2508" s="1" t="n">
        <v>1</v>
      </c>
      <c r="F2508" s="3" t="s">
        <v>20</v>
      </c>
      <c r="G2508" s="3" t="s">
        <v>10162</v>
      </c>
      <c r="H2508" s="1" t="s">
        <v>22</v>
      </c>
      <c r="I2508" s="1" t="n">
        <v>20240429153201</v>
      </c>
      <c r="J2508" s="3" t="s">
        <v>10163</v>
      </c>
      <c r="K2508" s="3" t="s">
        <v>10164</v>
      </c>
      <c r="L2508" s="3" t="s">
        <v>10165</v>
      </c>
      <c r="M2508" s="3" t="n">
        <v>113319</v>
      </c>
      <c r="N2508" s="3" t="s">
        <v>435</v>
      </c>
      <c r="O2508" s="1" t="n">
        <v>96933</v>
      </c>
      <c r="P2508" s="1" t="n">
        <v>85.54</v>
      </c>
      <c r="Q2508" s="1" t="s">
        <v>20</v>
      </c>
      <c r="R2508" s="1" t="s">
        <v>27</v>
      </c>
      <c r="S2508" s="1" t="s">
        <v>28</v>
      </c>
      <c r="T2508" s="1" t="s">
        <v>29</v>
      </c>
    </row>
    <row r="2509" customFormat="false" ht="18.7" hidden="false" customHeight="true" outlineLevel="0" collapsed="false">
      <c r="A2509" s="1" t="n">
        <v>2508</v>
      </c>
      <c r="B2509" s="6" t="str">
        <f aca="false">HYPERLINK("https://mncourtfraud.com/file/MCRO_27-CR-22-12076_Notice of Hearing_2022-10-20_20240429153202.pdf","MCRO_27-CR-22-12076_Notice of Hearing_2022-10-20_20240429153202.pdf")</f>
        <v>MCRO_27-CR-22-12076_Notice of Hearing_2022-10-20_20240429153202.pdf</v>
      </c>
      <c r="C2509" s="1" t="n">
        <v>4</v>
      </c>
      <c r="D2509" s="1" t="n">
        <v>1</v>
      </c>
      <c r="E2509" s="1" t="n">
        <v>1</v>
      </c>
      <c r="F2509" s="3" t="s">
        <v>20</v>
      </c>
      <c r="G2509" s="3" t="s">
        <v>10166</v>
      </c>
      <c r="H2509" s="1" t="s">
        <v>22</v>
      </c>
      <c r="I2509" s="1" t="n">
        <v>20240429153202</v>
      </c>
      <c r="J2509" s="3" t="s">
        <v>10167</v>
      </c>
      <c r="K2509" s="3" t="s">
        <v>10168</v>
      </c>
      <c r="L2509" s="3" t="s">
        <v>10169</v>
      </c>
      <c r="M2509" s="3" t="n">
        <v>98717</v>
      </c>
      <c r="N2509" s="3" t="s">
        <v>435</v>
      </c>
      <c r="O2509" s="1" t="n">
        <v>82331</v>
      </c>
      <c r="P2509" s="1" t="n">
        <v>83.4</v>
      </c>
      <c r="Q2509" s="1" t="s">
        <v>20</v>
      </c>
      <c r="R2509" s="1" t="s">
        <v>27</v>
      </c>
      <c r="S2509" s="1" t="s">
        <v>28</v>
      </c>
      <c r="T2509" s="1" t="s">
        <v>29</v>
      </c>
    </row>
    <row r="2510" customFormat="false" ht="18.7" hidden="false" customHeight="true" outlineLevel="0" collapsed="false">
      <c r="A2510" s="1" t="n">
        <v>2509</v>
      </c>
      <c r="B2510" s="6" t="str">
        <f aca="false">HYPERLINK("https://mncourtfraud.com/file/MCRO_27-CR-22-12076_Notice of Hearing_2023-01-11_20240429153200.pdf","MCRO_27-CR-22-12076_Notice of Hearing_2023-01-11_20240429153200.pdf")</f>
        <v>MCRO_27-CR-22-12076_Notice of Hearing_2023-01-11_20240429153200.pdf</v>
      </c>
      <c r="C2510" s="1" t="n">
        <v>4</v>
      </c>
      <c r="D2510" s="1" t="n">
        <v>1</v>
      </c>
      <c r="E2510" s="1" t="n">
        <v>1</v>
      </c>
      <c r="F2510" s="3" t="s">
        <v>20</v>
      </c>
      <c r="G2510" s="3" t="s">
        <v>10170</v>
      </c>
      <c r="H2510" s="1" t="s">
        <v>22</v>
      </c>
      <c r="I2510" s="1" t="n">
        <v>20240429153200</v>
      </c>
      <c r="J2510" s="3" t="s">
        <v>10171</v>
      </c>
      <c r="K2510" s="3" t="s">
        <v>10172</v>
      </c>
      <c r="L2510" s="3" t="s">
        <v>10173</v>
      </c>
      <c r="M2510" s="3" t="n">
        <v>98345</v>
      </c>
      <c r="N2510" s="3" t="s">
        <v>435</v>
      </c>
      <c r="O2510" s="1" t="n">
        <v>81959</v>
      </c>
      <c r="P2510" s="1" t="n">
        <v>83.34</v>
      </c>
      <c r="Q2510" s="1" t="s">
        <v>20</v>
      </c>
      <c r="R2510" s="1" t="s">
        <v>27</v>
      </c>
      <c r="S2510" s="1" t="s">
        <v>28</v>
      </c>
      <c r="T2510" s="1" t="s">
        <v>29</v>
      </c>
    </row>
    <row r="2511" customFormat="false" ht="18.7" hidden="false" customHeight="true" outlineLevel="0" collapsed="false">
      <c r="A2511" s="1" t="n">
        <v>2510</v>
      </c>
      <c r="B2511" s="6" t="str">
        <f aca="false">HYPERLINK("https://mncourtfraud.com/file/MCRO_27-CR-22-12076_Notice of Hearing_2023-02-27_20240429153159.pdf","MCRO_27-CR-22-12076_Notice of Hearing_2023-02-27_20240429153159.pdf")</f>
        <v>MCRO_27-CR-22-12076_Notice of Hearing_2023-02-27_20240429153159.pdf</v>
      </c>
      <c r="C2511" s="1" t="n">
        <v>4</v>
      </c>
      <c r="D2511" s="1" t="n">
        <v>1</v>
      </c>
      <c r="E2511" s="1" t="n">
        <v>1</v>
      </c>
      <c r="F2511" s="3" t="s">
        <v>20</v>
      </c>
      <c r="G2511" s="3" t="s">
        <v>10174</v>
      </c>
      <c r="H2511" s="1" t="s">
        <v>22</v>
      </c>
      <c r="I2511" s="1" t="n">
        <v>20240429153159</v>
      </c>
      <c r="J2511" s="3" t="s">
        <v>10175</v>
      </c>
      <c r="K2511" s="3" t="s">
        <v>10176</v>
      </c>
      <c r="L2511" s="3" t="s">
        <v>10177</v>
      </c>
      <c r="M2511" s="3" t="n">
        <v>449897</v>
      </c>
      <c r="N2511" s="3" t="s">
        <v>158</v>
      </c>
      <c r="O2511" s="1" t="n">
        <v>433511</v>
      </c>
      <c r="P2511" s="1" t="n">
        <v>96.36</v>
      </c>
      <c r="Q2511" s="1" t="s">
        <v>20</v>
      </c>
      <c r="R2511" s="1" t="s">
        <v>27</v>
      </c>
      <c r="S2511" s="1" t="s">
        <v>28</v>
      </c>
      <c r="T2511" s="1" t="s">
        <v>29</v>
      </c>
    </row>
    <row r="2512" customFormat="false" ht="18.7" hidden="false" customHeight="true" outlineLevel="0" collapsed="false">
      <c r="A2512" s="1" t="n">
        <v>2511</v>
      </c>
      <c r="B2512" s="6" t="str">
        <f aca="false">HYPERLINK("https://mncourtfraud.com/file/MCRO_27-CR-22-12076_Notice of Hearing_2023-07-19_20240429153152.pdf","MCRO_27-CR-22-12076_Notice of Hearing_2023-07-19_20240429153152.pdf")</f>
        <v>MCRO_27-CR-22-12076_Notice of Hearing_2023-07-19_20240429153152.pdf</v>
      </c>
      <c r="C2512" s="1" t="n">
        <v>4</v>
      </c>
      <c r="D2512" s="1" t="n">
        <v>1</v>
      </c>
      <c r="E2512" s="1" t="n">
        <v>1</v>
      </c>
      <c r="F2512" s="3" t="s">
        <v>20</v>
      </c>
      <c r="G2512" s="3" t="s">
        <v>10178</v>
      </c>
      <c r="H2512" s="1" t="s">
        <v>22</v>
      </c>
      <c r="I2512" s="1" t="n">
        <v>20240429153152</v>
      </c>
      <c r="J2512" s="3" t="s">
        <v>10179</v>
      </c>
      <c r="K2512" s="3" t="s">
        <v>10180</v>
      </c>
      <c r="L2512" s="3" t="s">
        <v>10181</v>
      </c>
      <c r="M2512" s="3" t="n">
        <v>467608</v>
      </c>
      <c r="N2512" s="3" t="s">
        <v>158</v>
      </c>
      <c r="O2512" s="1" t="n">
        <v>451222</v>
      </c>
      <c r="P2512" s="1" t="n">
        <v>96.5</v>
      </c>
      <c r="Q2512" s="1" t="s">
        <v>20</v>
      </c>
      <c r="R2512" s="1" t="s">
        <v>27</v>
      </c>
      <c r="S2512" s="1" t="s">
        <v>28</v>
      </c>
      <c r="T2512" s="1" t="s">
        <v>29</v>
      </c>
    </row>
    <row r="2513" customFormat="false" ht="18.7" hidden="false" customHeight="true" outlineLevel="0" collapsed="false">
      <c r="A2513" s="1" t="n">
        <v>2512</v>
      </c>
      <c r="B2513" s="6" t="str">
        <f aca="false">HYPERLINK("https://mncourtfraud.com/file/MCRO_27-CR-22-12076_Notice of Hearing_2023-07-19_20240429153153.pdf","MCRO_27-CR-22-12076_Notice of Hearing_2023-07-19_20240429153153.pdf")</f>
        <v>MCRO_27-CR-22-12076_Notice of Hearing_2023-07-19_20240429153153.pdf</v>
      </c>
      <c r="C2513" s="1" t="n">
        <v>4</v>
      </c>
      <c r="D2513" s="1" t="n">
        <v>1</v>
      </c>
      <c r="E2513" s="1" t="n">
        <v>1</v>
      </c>
      <c r="F2513" s="3" t="s">
        <v>20</v>
      </c>
      <c r="G2513" s="3" t="s">
        <v>10182</v>
      </c>
      <c r="H2513" s="1" t="s">
        <v>22</v>
      </c>
      <c r="I2513" s="1" t="n">
        <v>20240429153153</v>
      </c>
      <c r="J2513" s="3" t="s">
        <v>10183</v>
      </c>
      <c r="K2513" s="3" t="s">
        <v>10184</v>
      </c>
      <c r="L2513" s="3" t="s">
        <v>10185</v>
      </c>
      <c r="M2513" s="3" t="n">
        <v>432977</v>
      </c>
      <c r="N2513" s="3" t="s">
        <v>158</v>
      </c>
      <c r="O2513" s="1" t="n">
        <v>416591</v>
      </c>
      <c r="P2513" s="1" t="n">
        <v>96.22</v>
      </c>
      <c r="Q2513" s="1" t="s">
        <v>20</v>
      </c>
      <c r="R2513" s="1" t="s">
        <v>27</v>
      </c>
      <c r="S2513" s="1" t="s">
        <v>28</v>
      </c>
      <c r="T2513" s="1" t="s">
        <v>29</v>
      </c>
    </row>
    <row r="2514" customFormat="false" ht="18.7" hidden="false" customHeight="true" outlineLevel="0" collapsed="false">
      <c r="A2514" s="1" t="n">
        <v>2513</v>
      </c>
      <c r="B2514" s="6" t="str">
        <f aca="false">HYPERLINK("https://mncourtfraud.com/file/MCRO_27-CR-22-12076_Notice of Remote Hearing with Instructions_2022-06-23_20240429153204.pdf","MCRO_27-CR-22-12076_Notice of Remote Hearing with Instructions_2022-06-23_20240429153204.pdf")</f>
        <v>MCRO_27-CR-22-12076_Notice of Remote Hearing with Instructions_2022-06-23_20240429153204.pdf</v>
      </c>
      <c r="C2514" s="1" t="n">
        <v>4</v>
      </c>
      <c r="D2514" s="1" t="n">
        <v>1</v>
      </c>
      <c r="E2514" s="1" t="n">
        <v>1</v>
      </c>
      <c r="F2514" s="3" t="s">
        <v>20</v>
      </c>
      <c r="G2514" s="3" t="s">
        <v>10186</v>
      </c>
      <c r="H2514" s="1" t="s">
        <v>22</v>
      </c>
      <c r="I2514" s="1" t="n">
        <v>20240429153204</v>
      </c>
      <c r="J2514" s="3" t="s">
        <v>10187</v>
      </c>
      <c r="K2514" s="3" t="s">
        <v>10188</v>
      </c>
      <c r="L2514" s="3" t="s">
        <v>10189</v>
      </c>
      <c r="M2514" s="3" t="n">
        <v>269731</v>
      </c>
      <c r="N2514" s="3" t="s">
        <v>8498</v>
      </c>
      <c r="O2514" s="1" t="n">
        <v>253345</v>
      </c>
      <c r="P2514" s="1" t="n">
        <v>93.93</v>
      </c>
      <c r="Q2514" s="1" t="s">
        <v>20</v>
      </c>
      <c r="R2514" s="1" t="s">
        <v>27</v>
      </c>
      <c r="S2514" s="1" t="s">
        <v>28</v>
      </c>
      <c r="T2514" s="1" t="s">
        <v>29</v>
      </c>
    </row>
    <row r="2515" customFormat="false" ht="18.7" hidden="false" customHeight="true" outlineLevel="0" collapsed="false">
      <c r="A2515" s="1" t="n">
        <v>2514</v>
      </c>
      <c r="B2515" s="6" t="str">
        <f aca="false">HYPERLINK("https://mncourtfraud.com/file/MCRO_27-CR-22-12076_Notice of Remote Hearing with Instructions_2023-06-12_20240429153155.pdf","MCRO_27-CR-22-12076_Notice of Remote Hearing with Instructions_2023-06-12_20240429153155.pdf")</f>
        <v>MCRO_27-CR-22-12076_Notice of Remote Hearing with Instructions_2023-06-12_20240429153155.pdf</v>
      </c>
      <c r="C2515" s="1" t="n">
        <v>5</v>
      </c>
      <c r="D2515" s="1" t="n">
        <v>1</v>
      </c>
      <c r="E2515" s="1" t="n">
        <v>1</v>
      </c>
      <c r="F2515" s="3" t="s">
        <v>20</v>
      </c>
      <c r="G2515" s="3" t="s">
        <v>10190</v>
      </c>
      <c r="H2515" s="1" t="s">
        <v>22</v>
      </c>
      <c r="I2515" s="1" t="n">
        <v>20240429153155</v>
      </c>
      <c r="J2515" s="3" t="s">
        <v>10191</v>
      </c>
      <c r="K2515" s="3" t="s">
        <v>10192</v>
      </c>
      <c r="L2515" s="3" t="s">
        <v>10193</v>
      </c>
      <c r="M2515" s="3" t="n">
        <v>847842</v>
      </c>
      <c r="N2515" s="3" t="s">
        <v>7367</v>
      </c>
      <c r="O2515" s="1" t="n">
        <v>831456</v>
      </c>
      <c r="P2515" s="1" t="n">
        <v>98.07</v>
      </c>
      <c r="Q2515" s="1" t="s">
        <v>20</v>
      </c>
      <c r="R2515" s="1" t="s">
        <v>27</v>
      </c>
      <c r="S2515" s="1" t="s">
        <v>28</v>
      </c>
      <c r="T2515" s="1" t="s">
        <v>29</v>
      </c>
    </row>
    <row r="2516" customFormat="false" ht="18.7" hidden="false" customHeight="true" outlineLevel="0" collapsed="false">
      <c r="A2516" s="1" t="n">
        <v>2515</v>
      </c>
      <c r="B2516" s="6" t="str">
        <f aca="false">HYPERLINK("https://mncourtfraud.com/file/MCRO_27-CR-22-12076_Notice of Remote Hearing with Instructions_2023-09-19_20240429153150.pdf","MCRO_27-CR-22-12076_Notice of Remote Hearing with Instructions_2023-09-19_20240429153150.pdf")</f>
        <v>MCRO_27-CR-22-12076_Notice of Remote Hearing with Instructions_2023-09-19_20240429153150.pdf</v>
      </c>
      <c r="C2516" s="1" t="n">
        <v>4</v>
      </c>
      <c r="D2516" s="1" t="n">
        <v>1</v>
      </c>
      <c r="E2516" s="1" t="n">
        <v>1</v>
      </c>
      <c r="F2516" s="3" t="s">
        <v>20</v>
      </c>
      <c r="G2516" s="3" t="s">
        <v>10194</v>
      </c>
      <c r="H2516" s="1" t="s">
        <v>22</v>
      </c>
      <c r="I2516" s="1" t="n">
        <v>20240429153150</v>
      </c>
      <c r="J2516" s="3" t="s">
        <v>10195</v>
      </c>
      <c r="K2516" s="3" t="s">
        <v>10196</v>
      </c>
      <c r="L2516" s="3" t="s">
        <v>10197</v>
      </c>
      <c r="M2516" s="3" t="n">
        <v>259150</v>
      </c>
      <c r="N2516" s="3" t="s">
        <v>936</v>
      </c>
      <c r="O2516" s="1" t="n">
        <v>242764</v>
      </c>
      <c r="P2516" s="1" t="n">
        <v>93.68</v>
      </c>
      <c r="Q2516" s="1" t="s">
        <v>20</v>
      </c>
      <c r="R2516" s="1" t="s">
        <v>27</v>
      </c>
      <c r="S2516" s="1" t="s">
        <v>28</v>
      </c>
      <c r="T2516" s="1" t="s">
        <v>29</v>
      </c>
    </row>
    <row r="2517" customFormat="false" ht="18.7" hidden="false" customHeight="true" outlineLevel="0" collapsed="false">
      <c r="A2517" s="1" t="n">
        <v>2516</v>
      </c>
      <c r="B2517" s="6" t="str">
        <f aca="false">HYPERLINK("https://mncourtfraud.com/file/MCRO_27-CR-22-12076_Notice of Remote Hearing with Instructions_2023-10-24_20240429153149.pdf","MCRO_27-CR-22-12076_Notice of Remote Hearing with Instructions_2023-10-24_20240429153149.pdf")</f>
        <v>MCRO_27-CR-22-12076_Notice of Remote Hearing with Instructions_2023-10-24_20240429153149.pdf</v>
      </c>
      <c r="C2517" s="1" t="n">
        <v>5</v>
      </c>
      <c r="D2517" s="1" t="n">
        <v>1</v>
      </c>
      <c r="E2517" s="1" t="n">
        <v>1</v>
      </c>
      <c r="F2517" s="3" t="s">
        <v>20</v>
      </c>
      <c r="G2517" s="3" t="s">
        <v>10198</v>
      </c>
      <c r="H2517" s="1" t="s">
        <v>22</v>
      </c>
      <c r="I2517" s="1" t="n">
        <v>20240429153149</v>
      </c>
      <c r="J2517" s="3" t="s">
        <v>10199</v>
      </c>
      <c r="K2517" s="3" t="s">
        <v>10200</v>
      </c>
      <c r="L2517" s="3" t="s">
        <v>10201</v>
      </c>
      <c r="M2517" s="3" t="n">
        <v>843616</v>
      </c>
      <c r="N2517" s="3" t="s">
        <v>510</v>
      </c>
      <c r="O2517" s="1" t="n">
        <v>827230</v>
      </c>
      <c r="P2517" s="1" t="n">
        <v>98.06</v>
      </c>
      <c r="Q2517" s="1" t="s">
        <v>20</v>
      </c>
      <c r="R2517" s="1" t="s">
        <v>27</v>
      </c>
      <c r="S2517" s="1" t="s">
        <v>28</v>
      </c>
      <c r="T2517" s="1" t="s">
        <v>29</v>
      </c>
    </row>
    <row r="2518" customFormat="false" ht="18.7" hidden="false" customHeight="true" outlineLevel="0" collapsed="false">
      <c r="A2518" s="1" t="n">
        <v>2517</v>
      </c>
      <c r="B2518" s="6" t="str">
        <f aca="false">HYPERLINK("https://mncourtfraud.com/file/MCRO_27-CR-22-12076_Notice of Remote Hearing with Instructions_2023-11-21_20240429153148.pdf","MCRO_27-CR-22-12076_Notice of Remote Hearing with Instructions_2023-11-21_20240429153148.pdf")</f>
        <v>MCRO_27-CR-22-12076_Notice of Remote Hearing with Instructions_2023-11-21_20240429153148.pdf</v>
      </c>
      <c r="C2518" s="1" t="n">
        <v>6</v>
      </c>
      <c r="D2518" s="1" t="n">
        <v>1</v>
      </c>
      <c r="E2518" s="1" t="n">
        <v>1</v>
      </c>
      <c r="F2518" s="3" t="s">
        <v>20</v>
      </c>
      <c r="G2518" s="3" t="s">
        <v>10202</v>
      </c>
      <c r="H2518" s="1" t="s">
        <v>22</v>
      </c>
      <c r="I2518" s="1" t="n">
        <v>20240429153148</v>
      </c>
      <c r="J2518" s="3" t="s">
        <v>10203</v>
      </c>
      <c r="K2518" s="3" t="s">
        <v>10204</v>
      </c>
      <c r="L2518" s="3" t="s">
        <v>10205</v>
      </c>
      <c r="M2518" s="3" t="n">
        <v>910364</v>
      </c>
      <c r="N2518" s="3" t="s">
        <v>109</v>
      </c>
      <c r="O2518" s="1" t="n">
        <v>893978</v>
      </c>
      <c r="P2518" s="1" t="n">
        <v>98.2</v>
      </c>
      <c r="Q2518" s="1" t="s">
        <v>20</v>
      </c>
      <c r="R2518" s="1" t="s">
        <v>27</v>
      </c>
      <c r="S2518" s="1" t="s">
        <v>28</v>
      </c>
      <c r="T2518" s="1" t="s">
        <v>29</v>
      </c>
    </row>
    <row r="2519" customFormat="false" ht="18.7" hidden="false" customHeight="true" outlineLevel="0" collapsed="false">
      <c r="A2519" s="1" t="n">
        <v>2518</v>
      </c>
      <c r="B2519" s="6" t="str">
        <f aca="false">HYPERLINK("https://mncourtfraud.com/file/MCRO_27-CR-22-12076_Notice of Remote Hearing with Instructions_2023-12-12_20240429153147.pdf","MCRO_27-CR-22-12076_Notice of Remote Hearing with Instructions_2023-12-12_20240429153147.pdf")</f>
        <v>MCRO_27-CR-22-12076_Notice of Remote Hearing with Instructions_2023-12-12_20240429153147.pdf</v>
      </c>
      <c r="C2519" s="1" t="n">
        <v>3</v>
      </c>
      <c r="D2519" s="1" t="n">
        <v>1</v>
      </c>
      <c r="E2519" s="1" t="n">
        <v>1</v>
      </c>
      <c r="F2519" s="3" t="s">
        <v>20</v>
      </c>
      <c r="G2519" s="3" t="s">
        <v>10206</v>
      </c>
      <c r="H2519" s="1" t="s">
        <v>22</v>
      </c>
      <c r="I2519" s="1" t="n">
        <v>20240429153147</v>
      </c>
      <c r="J2519" s="3" t="s">
        <v>10207</v>
      </c>
      <c r="K2519" s="3" t="s">
        <v>10208</v>
      </c>
      <c r="L2519" s="3" t="s">
        <v>10209</v>
      </c>
      <c r="M2519" s="3" t="n">
        <v>832283</v>
      </c>
      <c r="N2519" s="3" t="s">
        <v>3251</v>
      </c>
      <c r="O2519" s="1" t="n">
        <v>815897</v>
      </c>
      <c r="P2519" s="1" t="n">
        <v>98.03</v>
      </c>
      <c r="Q2519" s="1" t="s">
        <v>20</v>
      </c>
      <c r="R2519" s="1" t="s">
        <v>27</v>
      </c>
      <c r="S2519" s="1" t="s">
        <v>28</v>
      </c>
      <c r="T2519" s="1" t="s">
        <v>29</v>
      </c>
    </row>
    <row r="2520" customFormat="false" ht="18.7" hidden="false" customHeight="true" outlineLevel="0" collapsed="false">
      <c r="A2520" s="1" t="n">
        <v>2519</v>
      </c>
      <c r="B2520" s="6" t="str">
        <f aca="false">HYPERLINK("https://mncourtfraud.com/file/MCRO_27-CR-22-12076_Notice of Remote Hearing with Instructions_2024-01-02_20240429153146.pdf","MCRO_27-CR-22-12076_Notice of Remote Hearing with Instructions_2024-01-02_20240429153146.pdf")</f>
        <v>MCRO_27-CR-22-12076_Notice of Remote Hearing with Instructions_2024-01-02_20240429153146.pdf</v>
      </c>
      <c r="C2520" s="1" t="n">
        <v>4</v>
      </c>
      <c r="D2520" s="1" t="n">
        <v>1</v>
      </c>
      <c r="E2520" s="1" t="n">
        <v>1</v>
      </c>
      <c r="F2520" s="3" t="s">
        <v>20</v>
      </c>
      <c r="G2520" s="3" t="s">
        <v>10210</v>
      </c>
      <c r="H2520" s="1" t="s">
        <v>22</v>
      </c>
      <c r="I2520" s="1" t="n">
        <v>20240429153146</v>
      </c>
      <c r="J2520" s="3" t="s">
        <v>10211</v>
      </c>
      <c r="K2520" s="3" t="s">
        <v>10212</v>
      </c>
      <c r="L2520" s="3" t="s">
        <v>10213</v>
      </c>
      <c r="M2520" s="3" t="n">
        <v>885880</v>
      </c>
      <c r="N2520" s="3" t="s">
        <v>5604</v>
      </c>
      <c r="O2520" s="1" t="n">
        <v>869494</v>
      </c>
      <c r="P2520" s="1" t="n">
        <v>98.15</v>
      </c>
      <c r="Q2520" s="1" t="s">
        <v>20</v>
      </c>
      <c r="R2520" s="1" t="s">
        <v>27</v>
      </c>
      <c r="S2520" s="1" t="s">
        <v>28</v>
      </c>
      <c r="T2520" s="1" t="s">
        <v>29</v>
      </c>
    </row>
    <row r="2521" customFormat="false" ht="18.7" hidden="false" customHeight="true" outlineLevel="0" collapsed="false">
      <c r="A2521" s="1" t="n">
        <v>2520</v>
      </c>
      <c r="B2521" s="6" t="str">
        <f aca="false">HYPERLINK("https://mncourtfraud.com/file/MCRO_27-CR-22-12076_Order-Evaluation for Competency to Proceed (Rule 20.01)_2023-07-19_20240429153151.pdf","MCRO_27-CR-22-12076_Order-Evaluation for Competency to Proceed (Rule 20.01)_2023-07-19_20240429153151.pdf")</f>
        <v>MCRO_27-CR-22-12076_Order-Evaluation for Competency to Proceed (Rule 20.01)_2023-07-19_20240429153151.pdf</v>
      </c>
      <c r="C2521" s="1" t="n">
        <v>4</v>
      </c>
      <c r="D2521" s="1" t="n">
        <v>1</v>
      </c>
      <c r="E2521" s="1" t="n">
        <v>1</v>
      </c>
      <c r="F2521" s="3" t="s">
        <v>20</v>
      </c>
      <c r="G2521" s="3" t="s">
        <v>10214</v>
      </c>
      <c r="H2521" s="1" t="s">
        <v>22</v>
      </c>
      <c r="I2521" s="1" t="n">
        <v>20240429153151</v>
      </c>
      <c r="J2521" s="3" t="s">
        <v>10215</v>
      </c>
      <c r="K2521" s="3" t="s">
        <v>10216</v>
      </c>
      <c r="L2521" s="3" t="s">
        <v>10217</v>
      </c>
      <c r="M2521" s="3" t="n">
        <v>989323</v>
      </c>
      <c r="N2521" s="3" t="s">
        <v>1128</v>
      </c>
      <c r="O2521" s="1" t="n">
        <v>972937</v>
      </c>
      <c r="P2521" s="1" t="n">
        <v>98.34</v>
      </c>
      <c r="Q2521" s="1" t="s">
        <v>20</v>
      </c>
      <c r="R2521" s="1" t="s">
        <v>27</v>
      </c>
      <c r="S2521" s="1" t="s">
        <v>28</v>
      </c>
      <c r="T2521" s="1" t="s">
        <v>29</v>
      </c>
    </row>
    <row r="2522" customFormat="false" ht="18.7" hidden="false" customHeight="true" outlineLevel="0" collapsed="false">
      <c r="A2522" s="1" t="n">
        <v>2521</v>
      </c>
      <c r="B2522" s="6" t="str">
        <f aca="false">HYPERLINK("https://mncourtfraud.com/file/MCRO_27-CR-22-12076_Returned Mail_2023-03-17_20240429153157.pdf","MCRO_27-CR-22-12076_Returned Mail_2023-03-17_20240429153157.pdf")</f>
        <v>MCRO_27-CR-22-12076_Returned Mail_2023-03-17_20240429153157.pdf</v>
      </c>
      <c r="C2522" s="1" t="n">
        <v>4</v>
      </c>
      <c r="D2522" s="1" t="n">
        <v>1</v>
      </c>
      <c r="E2522" s="1" t="n">
        <v>1</v>
      </c>
      <c r="F2522" s="3" t="s">
        <v>20</v>
      </c>
      <c r="G2522" s="3" t="s">
        <v>10218</v>
      </c>
      <c r="H2522" s="1" t="s">
        <v>22</v>
      </c>
      <c r="I2522" s="1" t="n">
        <v>20240429153157</v>
      </c>
      <c r="J2522" s="3" t="s">
        <v>10219</v>
      </c>
      <c r="K2522" s="3" t="s">
        <v>10220</v>
      </c>
      <c r="L2522" s="3" t="s">
        <v>10221</v>
      </c>
      <c r="M2522" s="3" t="n">
        <v>307341</v>
      </c>
      <c r="N2522" s="3" t="s">
        <v>158</v>
      </c>
      <c r="O2522" s="1" t="n">
        <v>290955</v>
      </c>
      <c r="P2522" s="1" t="n">
        <v>94.67</v>
      </c>
      <c r="Q2522" s="1" t="s">
        <v>20</v>
      </c>
      <c r="R2522" s="1" t="s">
        <v>27</v>
      </c>
      <c r="S2522" s="1" t="s">
        <v>28</v>
      </c>
      <c r="T2522" s="1" t="s">
        <v>29</v>
      </c>
    </row>
    <row r="2523" customFormat="false" ht="18.7" hidden="false" customHeight="true" outlineLevel="0" collapsed="false">
      <c r="A2523" s="1" t="n">
        <v>2522</v>
      </c>
      <c r="B2523" s="6" t="str">
        <f aca="false">HYPERLINK("https://mncourtfraud.com/file/MCRO_27-CR-22-12076_Returned Mail_2023-06-22_20240429153154.pdf","MCRO_27-CR-22-12076_Returned Mail_2023-06-22_20240429153154.pdf")</f>
        <v>MCRO_27-CR-22-12076_Returned Mail_2023-06-22_20240429153154.pdf</v>
      </c>
      <c r="C2523" s="1" t="n">
        <v>4</v>
      </c>
      <c r="D2523" s="1" t="n">
        <v>1</v>
      </c>
      <c r="E2523" s="1" t="n">
        <v>1</v>
      </c>
      <c r="F2523" s="3" t="s">
        <v>20</v>
      </c>
      <c r="G2523" s="3" t="s">
        <v>10222</v>
      </c>
      <c r="H2523" s="1" t="s">
        <v>22</v>
      </c>
      <c r="I2523" s="1" t="n">
        <v>20240429153154</v>
      </c>
      <c r="J2523" s="3" t="s">
        <v>10223</v>
      </c>
      <c r="K2523" s="3" t="s">
        <v>10224</v>
      </c>
      <c r="L2523" s="3" t="s">
        <v>10225</v>
      </c>
      <c r="M2523" s="3" t="n">
        <v>272305</v>
      </c>
      <c r="N2523" s="3" t="s">
        <v>158</v>
      </c>
      <c r="O2523" s="1" t="n">
        <v>255919</v>
      </c>
      <c r="P2523" s="1" t="n">
        <v>93.98</v>
      </c>
      <c r="Q2523" s="1" t="s">
        <v>20</v>
      </c>
      <c r="R2523" s="1" t="s">
        <v>27</v>
      </c>
      <c r="S2523" s="1" t="s">
        <v>28</v>
      </c>
      <c r="T2523" s="1" t="s">
        <v>29</v>
      </c>
    </row>
    <row r="2524" customFormat="false" ht="18.7" hidden="false" customHeight="true" outlineLevel="0" collapsed="false">
      <c r="A2524" s="1" t="n">
        <v>2523</v>
      </c>
      <c r="B2524" s="6" t="str">
        <f aca="false">HYPERLINK("https://mncourtfraud.com/file/MCRO_27-CR-22-13185_E-filed Comp-Order for Detention_2022-07-07_20240429161212.pdf","MCRO_27-CR-22-13185_E-filed Comp-Order for Detention_2022-07-07_20240429161212.pdf")</f>
        <v>MCRO_27-CR-22-13185_E-filed Comp-Order for Detention_2022-07-07_20240429161212.pdf</v>
      </c>
      <c r="C2524" s="1" t="n">
        <v>5</v>
      </c>
      <c r="D2524" s="1" t="n">
        <v>2</v>
      </c>
      <c r="E2524" s="1" t="n">
        <v>2</v>
      </c>
      <c r="F2524" s="3" t="s">
        <v>20</v>
      </c>
      <c r="G2524" s="3" t="s">
        <v>10226</v>
      </c>
      <c r="H2524" s="1" t="s">
        <v>22</v>
      </c>
      <c r="I2524" s="1" t="n">
        <v>20240429161212</v>
      </c>
      <c r="J2524" s="3" t="s">
        <v>10227</v>
      </c>
      <c r="K2524" s="3" t="s">
        <v>10228</v>
      </c>
      <c r="L2524" s="3" t="s">
        <v>10229</v>
      </c>
      <c r="M2524" s="3" t="n">
        <v>487042</v>
      </c>
      <c r="N2524" s="3" t="s">
        <v>559</v>
      </c>
      <c r="O2524" s="1" t="n">
        <v>470656</v>
      </c>
      <c r="P2524" s="1" t="n">
        <v>96.64</v>
      </c>
      <c r="Q2524" s="1" t="s">
        <v>20</v>
      </c>
      <c r="R2524" s="1" t="s">
        <v>27</v>
      </c>
      <c r="S2524" s="1" t="s">
        <v>28</v>
      </c>
      <c r="T2524" s="1" t="s">
        <v>29</v>
      </c>
    </row>
    <row r="2525" customFormat="false" ht="18.7" hidden="false" customHeight="true" outlineLevel="0" collapsed="false">
      <c r="A2525" s="1" t="n">
        <v>2524</v>
      </c>
      <c r="B2525" s="6" t="str">
        <f aca="false">HYPERLINK("https://mncourtfraud.com/file/MCRO_27-CR-22-13185_Finding of Incompetency and Order_2023-04-13_20240429161143.pdf","MCRO_27-CR-22-13185_Finding of Incompetency and Order_2023-04-13_20240429161143.pdf")</f>
        <v>MCRO_27-CR-22-13185_Finding of Incompetency and Order_2023-04-13_20240429161143.pdf</v>
      </c>
      <c r="C2525" s="1" t="n">
        <v>7</v>
      </c>
      <c r="D2525" s="1" t="n">
        <v>2</v>
      </c>
      <c r="E2525" s="1" t="n">
        <v>2</v>
      </c>
      <c r="F2525" s="3" t="s">
        <v>27</v>
      </c>
      <c r="G2525" s="3" t="s">
        <v>10230</v>
      </c>
      <c r="H2525" s="1" t="s">
        <v>22</v>
      </c>
      <c r="I2525" s="1" t="n">
        <v>20240429161143</v>
      </c>
      <c r="J2525" s="3" t="s">
        <v>10231</v>
      </c>
      <c r="K2525" s="3" t="s">
        <v>10232</v>
      </c>
      <c r="L2525" s="3" t="s">
        <v>10233</v>
      </c>
      <c r="M2525" s="3" t="n">
        <v>909477</v>
      </c>
      <c r="N2525" s="3" t="s">
        <v>10234</v>
      </c>
      <c r="O2525" s="1" t="n">
        <v>893091</v>
      </c>
      <c r="P2525" s="1" t="n">
        <v>98.2</v>
      </c>
      <c r="Q2525" s="1" t="s">
        <v>20</v>
      </c>
      <c r="R2525" s="1" t="s">
        <v>27</v>
      </c>
      <c r="S2525" s="1" t="s">
        <v>28</v>
      </c>
      <c r="T2525" s="1" t="s">
        <v>29</v>
      </c>
    </row>
    <row r="2526" customFormat="false" ht="18.7" hidden="false" customHeight="true" outlineLevel="0" collapsed="false">
      <c r="A2526" s="1" t="n">
        <v>2525</v>
      </c>
      <c r="B2526" s="6" t="str">
        <f aca="false">HYPERLINK("https://mncourtfraud.com/file/MCRO_27-CR-22-13185_Notice of Hearing_2022-09-20_20240429161205.pdf","MCRO_27-CR-22-13185_Notice of Hearing_2022-09-20_20240429161205.pdf")</f>
        <v>MCRO_27-CR-22-13185_Notice of Hearing_2022-09-20_20240429161205.pdf</v>
      </c>
      <c r="C2526" s="1" t="n">
        <v>5</v>
      </c>
      <c r="D2526" s="1" t="n">
        <v>1</v>
      </c>
      <c r="E2526" s="1" t="n">
        <v>1</v>
      </c>
      <c r="F2526" s="3" t="s">
        <v>20</v>
      </c>
      <c r="G2526" s="3" t="s">
        <v>10235</v>
      </c>
      <c r="H2526" s="1" t="s">
        <v>22</v>
      </c>
      <c r="I2526" s="1" t="n">
        <v>20240429161205</v>
      </c>
      <c r="J2526" s="3" t="s">
        <v>10236</v>
      </c>
      <c r="K2526" s="3" t="s">
        <v>10237</v>
      </c>
      <c r="L2526" s="3" t="s">
        <v>10238</v>
      </c>
      <c r="M2526" s="3" t="n">
        <v>748984</v>
      </c>
      <c r="N2526" s="3" t="s">
        <v>74</v>
      </c>
      <c r="O2526" s="1" t="n">
        <v>732598</v>
      </c>
      <c r="P2526" s="1" t="n">
        <v>97.81</v>
      </c>
      <c r="Q2526" s="1" t="s">
        <v>20</v>
      </c>
      <c r="R2526" s="1" t="s">
        <v>27</v>
      </c>
      <c r="S2526" s="1" t="s">
        <v>28</v>
      </c>
      <c r="T2526" s="1" t="s">
        <v>29</v>
      </c>
    </row>
    <row r="2527" customFormat="false" ht="18.7" hidden="false" customHeight="true" outlineLevel="0" collapsed="false">
      <c r="A2527" s="1" t="n">
        <v>2526</v>
      </c>
      <c r="B2527" s="6" t="str">
        <f aca="false">HYPERLINK("https://mncourtfraud.com/file/MCRO_27-CR-22-13185_Notice of Hearing_2022-10-19_20240429161203.pdf","MCRO_27-CR-22-13185_Notice of Hearing_2022-10-19_20240429161203.pdf")</f>
        <v>MCRO_27-CR-22-13185_Notice of Hearing_2022-10-19_20240429161203.pdf</v>
      </c>
      <c r="C2527" s="1" t="n">
        <v>4</v>
      </c>
      <c r="D2527" s="1" t="n">
        <v>1</v>
      </c>
      <c r="E2527" s="1" t="n">
        <v>1</v>
      </c>
      <c r="F2527" s="3" t="s">
        <v>20</v>
      </c>
      <c r="G2527" s="3" t="s">
        <v>10239</v>
      </c>
      <c r="H2527" s="1" t="s">
        <v>22</v>
      </c>
      <c r="I2527" s="1" t="n">
        <v>20240429161203</v>
      </c>
      <c r="J2527" s="3" t="s">
        <v>10240</v>
      </c>
      <c r="K2527" s="3" t="s">
        <v>10241</v>
      </c>
      <c r="L2527" s="3" t="s">
        <v>10242</v>
      </c>
      <c r="M2527" s="3" t="n">
        <v>100953</v>
      </c>
      <c r="N2527" s="3" t="s">
        <v>435</v>
      </c>
      <c r="O2527" s="1" t="n">
        <v>84567</v>
      </c>
      <c r="P2527" s="1" t="n">
        <v>83.77</v>
      </c>
      <c r="Q2527" s="1" t="s">
        <v>20</v>
      </c>
      <c r="R2527" s="1" t="s">
        <v>27</v>
      </c>
      <c r="S2527" s="1" t="s">
        <v>28</v>
      </c>
      <c r="T2527" s="1" t="s">
        <v>29</v>
      </c>
    </row>
    <row r="2528" customFormat="false" ht="18.7" hidden="false" customHeight="true" outlineLevel="0" collapsed="false">
      <c r="A2528" s="1" t="n">
        <v>2527</v>
      </c>
      <c r="B2528" s="6" t="str">
        <f aca="false">HYPERLINK("https://mncourtfraud.com/file/MCRO_27-CR-22-13185_Notice of Hearing_2022-10-25_20240429161200.pdf","MCRO_27-CR-22-13185_Notice of Hearing_2022-10-25_20240429161200.pdf")</f>
        <v>MCRO_27-CR-22-13185_Notice of Hearing_2022-10-25_20240429161200.pdf</v>
      </c>
      <c r="C2528" s="1" t="n">
        <v>4</v>
      </c>
      <c r="D2528" s="1" t="n">
        <v>1</v>
      </c>
      <c r="E2528" s="1" t="n">
        <v>1</v>
      </c>
      <c r="F2528" s="3" t="s">
        <v>20</v>
      </c>
      <c r="G2528" s="3" t="s">
        <v>10243</v>
      </c>
      <c r="H2528" s="1" t="s">
        <v>22</v>
      </c>
      <c r="I2528" s="1" t="n">
        <v>20240429161200</v>
      </c>
      <c r="J2528" s="3" t="s">
        <v>10244</v>
      </c>
      <c r="K2528" s="3" t="s">
        <v>10245</v>
      </c>
      <c r="L2528" s="3" t="s">
        <v>10246</v>
      </c>
      <c r="M2528" s="3" t="n">
        <v>102450</v>
      </c>
      <c r="N2528" s="3" t="s">
        <v>435</v>
      </c>
      <c r="O2528" s="1" t="n">
        <v>86064</v>
      </c>
      <c r="P2528" s="1" t="n">
        <v>84.01</v>
      </c>
      <c r="Q2528" s="1" t="s">
        <v>20</v>
      </c>
      <c r="R2528" s="1" t="s">
        <v>27</v>
      </c>
      <c r="S2528" s="1" t="s">
        <v>28</v>
      </c>
      <c r="T2528" s="1" t="s">
        <v>29</v>
      </c>
    </row>
    <row r="2529" customFormat="false" ht="18.7" hidden="false" customHeight="true" outlineLevel="0" collapsed="false">
      <c r="A2529" s="1" t="n">
        <v>2528</v>
      </c>
      <c r="B2529" s="6" t="str">
        <f aca="false">HYPERLINK("https://mncourtfraud.com/file/MCRO_27-CR-22-13185_Notice of Hearing_2022-11-01_20240429161159.pdf","MCRO_27-CR-22-13185_Notice of Hearing_2022-11-01_20240429161159.pdf")</f>
        <v>MCRO_27-CR-22-13185_Notice of Hearing_2022-11-01_20240429161159.pdf</v>
      </c>
      <c r="C2529" s="1" t="n">
        <v>4</v>
      </c>
      <c r="D2529" s="1" t="n">
        <v>1</v>
      </c>
      <c r="E2529" s="1" t="n">
        <v>1</v>
      </c>
      <c r="F2529" s="3" t="s">
        <v>20</v>
      </c>
      <c r="G2529" s="3" t="s">
        <v>10247</v>
      </c>
      <c r="H2529" s="1" t="s">
        <v>22</v>
      </c>
      <c r="I2529" s="1" t="n">
        <v>20240429161159</v>
      </c>
      <c r="J2529" s="3" t="s">
        <v>10248</v>
      </c>
      <c r="K2529" s="3" t="s">
        <v>10249</v>
      </c>
      <c r="L2529" s="3" t="s">
        <v>10250</v>
      </c>
      <c r="M2529" s="3" t="n">
        <v>568755</v>
      </c>
      <c r="N2529" s="3" t="s">
        <v>1128</v>
      </c>
      <c r="O2529" s="1" t="n">
        <v>552369</v>
      </c>
      <c r="P2529" s="1" t="n">
        <v>97.12</v>
      </c>
      <c r="Q2529" s="1" t="s">
        <v>20</v>
      </c>
      <c r="R2529" s="1" t="s">
        <v>27</v>
      </c>
      <c r="S2529" s="1" t="s">
        <v>28</v>
      </c>
      <c r="T2529" s="1" t="s">
        <v>29</v>
      </c>
    </row>
    <row r="2530" customFormat="false" ht="18.7" hidden="false" customHeight="true" outlineLevel="0" collapsed="false">
      <c r="A2530" s="1" t="n">
        <v>2529</v>
      </c>
      <c r="B2530" s="6" t="str">
        <f aca="false">HYPERLINK("https://mncourtfraud.com/file/MCRO_27-CR-22-13185_Notice of Hearing_2022-11-08_20240429161158.pdf","MCRO_27-CR-22-13185_Notice of Hearing_2022-11-08_20240429161158.pdf")</f>
        <v>MCRO_27-CR-22-13185_Notice of Hearing_2022-11-08_20240429161158.pdf</v>
      </c>
      <c r="C2530" s="1" t="n">
        <v>4</v>
      </c>
      <c r="D2530" s="1" t="n">
        <v>1</v>
      </c>
      <c r="E2530" s="1" t="n">
        <v>1</v>
      </c>
      <c r="F2530" s="3" t="s">
        <v>20</v>
      </c>
      <c r="G2530" s="3" t="s">
        <v>10251</v>
      </c>
      <c r="H2530" s="1" t="s">
        <v>22</v>
      </c>
      <c r="I2530" s="1" t="n">
        <v>20240429161158</v>
      </c>
      <c r="J2530" s="3" t="s">
        <v>10252</v>
      </c>
      <c r="K2530" s="3" t="s">
        <v>10253</v>
      </c>
      <c r="L2530" s="3" t="s">
        <v>10254</v>
      </c>
      <c r="M2530" s="3" t="n">
        <v>103386</v>
      </c>
      <c r="N2530" s="3" t="s">
        <v>435</v>
      </c>
      <c r="O2530" s="1" t="n">
        <v>87000</v>
      </c>
      <c r="P2530" s="1" t="n">
        <v>84.15</v>
      </c>
      <c r="Q2530" s="1" t="s">
        <v>20</v>
      </c>
      <c r="R2530" s="1" t="s">
        <v>27</v>
      </c>
      <c r="S2530" s="1" t="s">
        <v>28</v>
      </c>
      <c r="T2530" s="1" t="s">
        <v>29</v>
      </c>
    </row>
    <row r="2531" customFormat="false" ht="18.7" hidden="false" customHeight="true" outlineLevel="0" collapsed="false">
      <c r="A2531" s="1" t="n">
        <v>2530</v>
      </c>
      <c r="B2531" s="6" t="str">
        <f aca="false">HYPERLINK("https://mncourtfraud.com/file/MCRO_27-CR-22-13185_Notice of Hearing_2022-11-15_20240429161157.pdf","MCRO_27-CR-22-13185_Notice of Hearing_2022-11-15_20240429161157.pdf")</f>
        <v>MCRO_27-CR-22-13185_Notice of Hearing_2022-11-15_20240429161157.pdf</v>
      </c>
      <c r="C2531" s="1" t="n">
        <v>4</v>
      </c>
      <c r="D2531" s="1" t="n">
        <v>1</v>
      </c>
      <c r="E2531" s="1" t="n">
        <v>1</v>
      </c>
      <c r="F2531" s="3" t="s">
        <v>20</v>
      </c>
      <c r="G2531" s="3" t="s">
        <v>10255</v>
      </c>
      <c r="H2531" s="1" t="s">
        <v>22</v>
      </c>
      <c r="I2531" s="1" t="n">
        <v>20240429161157</v>
      </c>
      <c r="J2531" s="3" t="s">
        <v>10256</v>
      </c>
      <c r="K2531" s="3" t="s">
        <v>10257</v>
      </c>
      <c r="L2531" s="3" t="s">
        <v>10258</v>
      </c>
      <c r="M2531" s="3" t="n">
        <v>490034</v>
      </c>
      <c r="N2531" s="3" t="s">
        <v>158</v>
      </c>
      <c r="O2531" s="1" t="n">
        <v>473648</v>
      </c>
      <c r="P2531" s="1" t="n">
        <v>96.66</v>
      </c>
      <c r="Q2531" s="1" t="s">
        <v>20</v>
      </c>
      <c r="R2531" s="1" t="s">
        <v>27</v>
      </c>
      <c r="S2531" s="1" t="s">
        <v>28</v>
      </c>
      <c r="T2531" s="1" t="s">
        <v>29</v>
      </c>
    </row>
    <row r="2532" customFormat="false" ht="18.7" hidden="false" customHeight="true" outlineLevel="0" collapsed="false">
      <c r="A2532" s="1" t="n">
        <v>2531</v>
      </c>
      <c r="B2532" s="6" t="str">
        <f aca="false">HYPERLINK("https://mncourtfraud.com/file/MCRO_27-CR-22-13185_Notice of Hearing_2022-11-22_20240429161156.pdf","MCRO_27-CR-22-13185_Notice of Hearing_2022-11-22_20240429161156.pdf")</f>
        <v>MCRO_27-CR-22-13185_Notice of Hearing_2022-11-22_20240429161156.pdf</v>
      </c>
      <c r="C2532" s="1" t="n">
        <v>4</v>
      </c>
      <c r="D2532" s="1" t="n">
        <v>1</v>
      </c>
      <c r="E2532" s="1" t="n">
        <v>1</v>
      </c>
      <c r="F2532" s="3" t="s">
        <v>20</v>
      </c>
      <c r="G2532" s="3" t="s">
        <v>10259</v>
      </c>
      <c r="H2532" s="1" t="s">
        <v>22</v>
      </c>
      <c r="I2532" s="1" t="n">
        <v>20240429161156</v>
      </c>
      <c r="J2532" s="3" t="s">
        <v>10260</v>
      </c>
      <c r="K2532" s="3" t="s">
        <v>10261</v>
      </c>
      <c r="L2532" s="3" t="s">
        <v>10262</v>
      </c>
      <c r="M2532" s="3" t="n">
        <v>464763</v>
      </c>
      <c r="N2532" s="3" t="s">
        <v>158</v>
      </c>
      <c r="O2532" s="1" t="n">
        <v>448377</v>
      </c>
      <c r="P2532" s="1" t="n">
        <v>96.47</v>
      </c>
      <c r="Q2532" s="1" t="s">
        <v>20</v>
      </c>
      <c r="R2532" s="1" t="s">
        <v>27</v>
      </c>
      <c r="S2532" s="1" t="s">
        <v>28</v>
      </c>
      <c r="T2532" s="1" t="s">
        <v>29</v>
      </c>
    </row>
    <row r="2533" customFormat="false" ht="18.7" hidden="false" customHeight="true" outlineLevel="0" collapsed="false">
      <c r="A2533" s="1" t="n">
        <v>2532</v>
      </c>
      <c r="B2533" s="6" t="str">
        <f aca="false">HYPERLINK("https://mncourtfraud.com/file/MCRO_27-CR-22-13185_Notice of Hearing_2022-11-29_20240429161152.pdf","MCRO_27-CR-22-13185_Notice of Hearing_2022-11-29_20240429161152.pdf")</f>
        <v>MCRO_27-CR-22-13185_Notice of Hearing_2022-11-29_20240429161152.pdf</v>
      </c>
      <c r="C2533" s="1" t="n">
        <v>4</v>
      </c>
      <c r="D2533" s="1" t="n">
        <v>1</v>
      </c>
      <c r="E2533" s="1" t="n">
        <v>1</v>
      </c>
      <c r="F2533" s="3" t="s">
        <v>20</v>
      </c>
      <c r="G2533" s="3" t="s">
        <v>10263</v>
      </c>
      <c r="H2533" s="1" t="s">
        <v>22</v>
      </c>
      <c r="I2533" s="1" t="n">
        <v>20240429161152</v>
      </c>
      <c r="J2533" s="3" t="s">
        <v>10264</v>
      </c>
      <c r="K2533" s="3" t="s">
        <v>10265</v>
      </c>
      <c r="L2533" s="3" t="s">
        <v>10266</v>
      </c>
      <c r="M2533" s="3" t="n">
        <v>101851</v>
      </c>
      <c r="N2533" s="3" t="s">
        <v>435</v>
      </c>
      <c r="O2533" s="1" t="n">
        <v>85465</v>
      </c>
      <c r="P2533" s="1" t="n">
        <v>83.91</v>
      </c>
      <c r="Q2533" s="1" t="s">
        <v>20</v>
      </c>
      <c r="R2533" s="1" t="s">
        <v>27</v>
      </c>
      <c r="S2533" s="1" t="s">
        <v>28</v>
      </c>
      <c r="T2533" s="1" t="s">
        <v>29</v>
      </c>
    </row>
    <row r="2534" customFormat="false" ht="18.7" hidden="false" customHeight="true" outlineLevel="0" collapsed="false">
      <c r="A2534" s="1" t="n">
        <v>2533</v>
      </c>
      <c r="B2534" s="6" t="str">
        <f aca="false">HYPERLINK("https://mncourtfraud.com/file/MCRO_27-CR-22-13185_Notice of Hearing_2022-11-29_20240429161153.pdf","MCRO_27-CR-22-13185_Notice of Hearing_2022-11-29_20240429161153.pdf")</f>
        <v>MCRO_27-CR-22-13185_Notice of Hearing_2022-11-29_20240429161153.pdf</v>
      </c>
      <c r="C2534" s="1" t="n">
        <v>4</v>
      </c>
      <c r="D2534" s="1" t="n">
        <v>1</v>
      </c>
      <c r="E2534" s="1" t="n">
        <v>1</v>
      </c>
      <c r="F2534" s="3" t="s">
        <v>20</v>
      </c>
      <c r="G2534" s="3" t="s">
        <v>10267</v>
      </c>
      <c r="H2534" s="1" t="s">
        <v>22</v>
      </c>
      <c r="I2534" s="1" t="n">
        <v>20240429161153</v>
      </c>
      <c r="J2534" s="3" t="s">
        <v>10268</v>
      </c>
      <c r="K2534" s="3" t="s">
        <v>10269</v>
      </c>
      <c r="L2534" s="3" t="s">
        <v>10270</v>
      </c>
      <c r="M2534" s="3" t="n">
        <v>101446</v>
      </c>
      <c r="N2534" s="3" t="s">
        <v>435</v>
      </c>
      <c r="O2534" s="1" t="n">
        <v>85060</v>
      </c>
      <c r="P2534" s="1" t="n">
        <v>83.85</v>
      </c>
      <c r="Q2534" s="1" t="s">
        <v>20</v>
      </c>
      <c r="R2534" s="1" t="s">
        <v>27</v>
      </c>
      <c r="S2534" s="1" t="s">
        <v>28</v>
      </c>
      <c r="T2534" s="1" t="s">
        <v>29</v>
      </c>
    </row>
    <row r="2535" customFormat="false" ht="18.7" hidden="false" customHeight="true" outlineLevel="0" collapsed="false">
      <c r="A2535" s="1" t="n">
        <v>2534</v>
      </c>
      <c r="B2535" s="6" t="str">
        <f aca="false">HYPERLINK("https://mncourtfraud.com/file/MCRO_27-CR-22-13185_Notice of Hearing_2022-12-01_20240429161149.pdf","MCRO_27-CR-22-13185_Notice of Hearing_2022-12-01_20240429161149.pdf")</f>
        <v>MCRO_27-CR-22-13185_Notice of Hearing_2022-12-01_20240429161149.pdf</v>
      </c>
      <c r="C2535" s="1" t="n">
        <v>4</v>
      </c>
      <c r="D2535" s="1" t="n">
        <v>1</v>
      </c>
      <c r="E2535" s="1" t="n">
        <v>1</v>
      </c>
      <c r="F2535" s="3" t="s">
        <v>20</v>
      </c>
      <c r="G2535" s="3" t="s">
        <v>10271</v>
      </c>
      <c r="H2535" s="1" t="s">
        <v>22</v>
      </c>
      <c r="I2535" s="1" t="n">
        <v>20240429161149</v>
      </c>
      <c r="J2535" s="3" t="s">
        <v>10272</v>
      </c>
      <c r="K2535" s="3" t="s">
        <v>10273</v>
      </c>
      <c r="L2535" s="3" t="s">
        <v>10274</v>
      </c>
      <c r="M2535" s="3" t="n">
        <v>99955</v>
      </c>
      <c r="N2535" s="3" t="s">
        <v>435</v>
      </c>
      <c r="O2535" s="1" t="n">
        <v>83569</v>
      </c>
      <c r="P2535" s="1" t="n">
        <v>83.61</v>
      </c>
      <c r="Q2535" s="1" t="s">
        <v>20</v>
      </c>
      <c r="R2535" s="1" t="s">
        <v>27</v>
      </c>
      <c r="S2535" s="1" t="s">
        <v>28</v>
      </c>
      <c r="T2535" s="1" t="s">
        <v>29</v>
      </c>
    </row>
    <row r="2536" customFormat="false" ht="18.7" hidden="false" customHeight="true" outlineLevel="0" collapsed="false">
      <c r="A2536" s="1" t="n">
        <v>2535</v>
      </c>
      <c r="B2536" s="6" t="str">
        <f aca="false">HYPERLINK("https://mncourtfraud.com/file/MCRO_27-CR-22-13185_Notice of Hearing_2022-12-13_20240429161147.pdf","MCRO_27-CR-22-13185_Notice of Hearing_2022-12-13_20240429161147.pdf")</f>
        <v>MCRO_27-CR-22-13185_Notice of Hearing_2022-12-13_20240429161147.pdf</v>
      </c>
      <c r="C2536" s="1" t="n">
        <v>4</v>
      </c>
      <c r="D2536" s="1" t="n">
        <v>1</v>
      </c>
      <c r="E2536" s="1" t="n">
        <v>1</v>
      </c>
      <c r="F2536" s="3" t="s">
        <v>20</v>
      </c>
      <c r="G2536" s="3" t="s">
        <v>10275</v>
      </c>
      <c r="H2536" s="1" t="s">
        <v>22</v>
      </c>
      <c r="I2536" s="1" t="n">
        <v>20240429161147</v>
      </c>
      <c r="J2536" s="3" t="s">
        <v>10276</v>
      </c>
      <c r="K2536" s="3" t="s">
        <v>10277</v>
      </c>
      <c r="L2536" s="3" t="s">
        <v>10278</v>
      </c>
      <c r="M2536" s="3" t="n">
        <v>104967</v>
      </c>
      <c r="N2536" s="3" t="s">
        <v>435</v>
      </c>
      <c r="O2536" s="1" t="n">
        <v>88581</v>
      </c>
      <c r="P2536" s="1" t="n">
        <v>84.39</v>
      </c>
      <c r="Q2536" s="1" t="s">
        <v>20</v>
      </c>
      <c r="R2536" s="1" t="s">
        <v>27</v>
      </c>
      <c r="S2536" s="1" t="s">
        <v>28</v>
      </c>
      <c r="T2536" s="1" t="s">
        <v>29</v>
      </c>
    </row>
    <row r="2537" customFormat="false" ht="18.7" hidden="false" customHeight="true" outlineLevel="0" collapsed="false">
      <c r="A2537" s="1" t="n">
        <v>2536</v>
      </c>
      <c r="B2537" s="6" t="str">
        <f aca="false">HYPERLINK("https://mncourtfraud.com/file/MCRO_27-CR-22-13185_Notice of Hearing_2022-12-13_20240429161148.pdf","MCRO_27-CR-22-13185_Notice of Hearing_2022-12-13_20240429161148.pdf")</f>
        <v>MCRO_27-CR-22-13185_Notice of Hearing_2022-12-13_20240429161148.pdf</v>
      </c>
      <c r="C2537" s="1" t="n">
        <v>4</v>
      </c>
      <c r="D2537" s="1" t="n">
        <v>1</v>
      </c>
      <c r="E2537" s="1" t="n">
        <v>1</v>
      </c>
      <c r="F2537" s="3" t="s">
        <v>20</v>
      </c>
      <c r="G2537" s="3" t="s">
        <v>10279</v>
      </c>
      <c r="H2537" s="1" t="s">
        <v>22</v>
      </c>
      <c r="I2537" s="1" t="n">
        <v>20240429161148</v>
      </c>
      <c r="J2537" s="3" t="s">
        <v>10280</v>
      </c>
      <c r="K2537" s="3" t="s">
        <v>10281</v>
      </c>
      <c r="L2537" s="3" t="s">
        <v>10282</v>
      </c>
      <c r="M2537" s="3" t="n">
        <v>103632</v>
      </c>
      <c r="N2537" s="3" t="s">
        <v>435</v>
      </c>
      <c r="O2537" s="1" t="n">
        <v>87246</v>
      </c>
      <c r="P2537" s="1" t="n">
        <v>84.19</v>
      </c>
      <c r="Q2537" s="1" t="s">
        <v>20</v>
      </c>
      <c r="R2537" s="1" t="s">
        <v>27</v>
      </c>
      <c r="S2537" s="1" t="s">
        <v>28</v>
      </c>
      <c r="T2537" s="1" t="s">
        <v>29</v>
      </c>
    </row>
    <row r="2538" customFormat="false" ht="18.7" hidden="false" customHeight="true" outlineLevel="0" collapsed="false">
      <c r="A2538" s="1" t="n">
        <v>2537</v>
      </c>
      <c r="B2538" s="6" t="str">
        <f aca="false">HYPERLINK("https://mncourtfraud.com/file/MCRO_27-CR-22-13185_Notice of Hearing_2024-04-08_20240429161138.pdf","MCRO_27-CR-22-13185_Notice of Hearing_2024-04-08_20240429161138.pdf")</f>
        <v>MCRO_27-CR-22-13185_Notice of Hearing_2024-04-08_20240429161138.pdf</v>
      </c>
      <c r="C2538" s="1" t="n">
        <v>5</v>
      </c>
      <c r="D2538" s="1" t="n">
        <v>1</v>
      </c>
      <c r="E2538" s="1" t="n">
        <v>1</v>
      </c>
      <c r="F2538" s="3" t="s">
        <v>20</v>
      </c>
      <c r="G2538" s="3" t="s">
        <v>10283</v>
      </c>
      <c r="H2538" s="1" t="s">
        <v>22</v>
      </c>
      <c r="I2538" s="1" t="n">
        <v>20240429161138</v>
      </c>
      <c r="J2538" s="3" t="s">
        <v>10284</v>
      </c>
      <c r="K2538" s="3" t="s">
        <v>10285</v>
      </c>
      <c r="L2538" s="3" t="s">
        <v>10286</v>
      </c>
      <c r="M2538" s="3" t="n">
        <v>740597</v>
      </c>
      <c r="N2538" s="3" t="s">
        <v>655</v>
      </c>
      <c r="O2538" s="1" t="n">
        <v>724211</v>
      </c>
      <c r="P2538" s="1" t="n">
        <v>97.79</v>
      </c>
      <c r="Q2538" s="1" t="s">
        <v>20</v>
      </c>
      <c r="R2538" s="1" t="s">
        <v>27</v>
      </c>
      <c r="S2538" s="1" t="s">
        <v>28</v>
      </c>
      <c r="T2538" s="1" t="s">
        <v>29</v>
      </c>
    </row>
    <row r="2539" customFormat="false" ht="18.7" hidden="false" customHeight="true" outlineLevel="0" collapsed="false">
      <c r="A2539" s="1" t="n">
        <v>2538</v>
      </c>
      <c r="B2539" s="6" t="str">
        <f aca="false">HYPERLINK("https://mncourtfraud.com/file/MCRO_27-CR-22-13185_Notice of Intent to Prosecute_2023-04-11_20240429161144.pdf","MCRO_27-CR-22-13185_Notice of Intent to Prosecute_2023-04-11_20240429161144.pdf")</f>
        <v>MCRO_27-CR-22-13185_Notice of Intent to Prosecute_2023-04-11_20240429161144.pdf</v>
      </c>
      <c r="C2539" s="1" t="n">
        <v>3</v>
      </c>
      <c r="D2539" s="1" t="n">
        <v>1</v>
      </c>
      <c r="E2539" s="1" t="n">
        <v>1</v>
      </c>
      <c r="F2539" s="3" t="s">
        <v>20</v>
      </c>
      <c r="G2539" s="3" t="s">
        <v>10287</v>
      </c>
      <c r="H2539" s="1" t="s">
        <v>22</v>
      </c>
      <c r="I2539" s="1" t="n">
        <v>20240429161144</v>
      </c>
      <c r="J2539" s="3" t="s">
        <v>10288</v>
      </c>
      <c r="K2539" s="3" t="s">
        <v>10289</v>
      </c>
      <c r="L2539" s="3" t="s">
        <v>10290</v>
      </c>
      <c r="M2539" s="3" t="n">
        <v>136753</v>
      </c>
      <c r="N2539" s="3" t="s">
        <v>764</v>
      </c>
      <c r="O2539" s="1" t="n">
        <v>120367</v>
      </c>
      <c r="P2539" s="1" t="n">
        <v>88.02</v>
      </c>
      <c r="Q2539" s="1" t="s">
        <v>20</v>
      </c>
      <c r="R2539" s="1" t="s">
        <v>27</v>
      </c>
      <c r="S2539" s="1" t="s">
        <v>28</v>
      </c>
      <c r="T2539" s="1" t="s">
        <v>29</v>
      </c>
    </row>
    <row r="2540" customFormat="false" ht="18.7" hidden="false" customHeight="true" outlineLevel="0" collapsed="false">
      <c r="A2540" s="1" t="n">
        <v>2539</v>
      </c>
      <c r="B2540" s="6" t="str">
        <f aca="false">HYPERLINK("https://mncourtfraud.com/file/MCRO_27-CR-22-13185_Notice of Remote Hearing with Instructions_2022-07-08_20240429161210.pdf","MCRO_27-CR-22-13185_Notice of Remote Hearing with Instructions_2022-07-08_20240429161210.pdf")</f>
        <v>MCRO_27-CR-22-13185_Notice of Remote Hearing with Instructions_2022-07-08_20240429161210.pdf</v>
      </c>
      <c r="C2540" s="1" t="n">
        <v>4</v>
      </c>
      <c r="D2540" s="1" t="n">
        <v>1</v>
      </c>
      <c r="E2540" s="1" t="n">
        <v>1</v>
      </c>
      <c r="F2540" s="3" t="s">
        <v>20</v>
      </c>
      <c r="G2540" s="3" t="s">
        <v>10291</v>
      </c>
      <c r="H2540" s="1" t="s">
        <v>22</v>
      </c>
      <c r="I2540" s="1" t="n">
        <v>20240429161210</v>
      </c>
      <c r="J2540" s="3" t="s">
        <v>10292</v>
      </c>
      <c r="K2540" s="3" t="s">
        <v>10293</v>
      </c>
      <c r="L2540" s="3" t="s">
        <v>10294</v>
      </c>
      <c r="M2540" s="3" t="n">
        <v>160428</v>
      </c>
      <c r="N2540" s="3" t="s">
        <v>1065</v>
      </c>
      <c r="O2540" s="1" t="n">
        <v>144042</v>
      </c>
      <c r="P2540" s="1" t="n">
        <v>89.79</v>
      </c>
      <c r="Q2540" s="1" t="s">
        <v>20</v>
      </c>
      <c r="R2540" s="1" t="s">
        <v>27</v>
      </c>
      <c r="S2540" s="1" t="s">
        <v>28</v>
      </c>
      <c r="T2540" s="1" t="s">
        <v>29</v>
      </c>
    </row>
    <row r="2541" customFormat="false" ht="18.7" hidden="false" customHeight="true" outlineLevel="0" collapsed="false">
      <c r="A2541" s="1" t="n">
        <v>2540</v>
      </c>
      <c r="B2541" s="6" t="str">
        <f aca="false">HYPERLINK("https://mncourtfraud.com/file/MCRO_27-CR-22-13185_Notice of Remote Hearing with Instructions_2022-08-02_20240429161208.pdf","MCRO_27-CR-22-13185_Notice of Remote Hearing with Instructions_2022-08-02_20240429161208.pdf")</f>
        <v>MCRO_27-CR-22-13185_Notice of Remote Hearing with Instructions_2022-08-02_20240429161208.pdf</v>
      </c>
      <c r="C2541" s="1" t="n">
        <v>5</v>
      </c>
      <c r="D2541" s="1" t="n">
        <v>1</v>
      </c>
      <c r="E2541" s="1" t="n">
        <v>1</v>
      </c>
      <c r="F2541" s="3" t="s">
        <v>20</v>
      </c>
      <c r="G2541" s="3" t="s">
        <v>10295</v>
      </c>
      <c r="H2541" s="1" t="s">
        <v>22</v>
      </c>
      <c r="I2541" s="1" t="n">
        <v>20240429161208</v>
      </c>
      <c r="J2541" s="3" t="s">
        <v>10296</v>
      </c>
      <c r="K2541" s="3" t="s">
        <v>10297</v>
      </c>
      <c r="L2541" s="3" t="s">
        <v>10298</v>
      </c>
      <c r="M2541" s="3" t="n">
        <v>335295</v>
      </c>
      <c r="N2541" s="3" t="s">
        <v>109</v>
      </c>
      <c r="O2541" s="1" t="n">
        <v>318909</v>
      </c>
      <c r="P2541" s="1" t="n">
        <v>95.11</v>
      </c>
      <c r="Q2541" s="1" t="s">
        <v>20</v>
      </c>
      <c r="R2541" s="1" t="s">
        <v>27</v>
      </c>
      <c r="S2541" s="1" t="s">
        <v>28</v>
      </c>
      <c r="T2541" s="1" t="s">
        <v>29</v>
      </c>
    </row>
    <row r="2542" customFormat="false" ht="18.7" hidden="false" customHeight="true" outlineLevel="0" collapsed="false">
      <c r="A2542" s="1" t="n">
        <v>2541</v>
      </c>
      <c r="B2542" s="6" t="str">
        <f aca="false">HYPERLINK("https://mncourtfraud.com/file/MCRO_27-CR-22-13185_Notice of Remote Hearing with Instructions_2022-09-14_20240429161206.pdf","MCRO_27-CR-22-13185_Notice of Remote Hearing with Instructions_2022-09-14_20240429161206.pdf")</f>
        <v>MCRO_27-CR-22-13185_Notice of Remote Hearing with Instructions_2022-09-14_20240429161206.pdf</v>
      </c>
      <c r="C2542" s="1" t="n">
        <v>4</v>
      </c>
      <c r="D2542" s="1" t="n">
        <v>1</v>
      </c>
      <c r="E2542" s="1" t="n">
        <v>1</v>
      </c>
      <c r="F2542" s="3" t="s">
        <v>20</v>
      </c>
      <c r="G2542" s="3" t="s">
        <v>10299</v>
      </c>
      <c r="H2542" s="1" t="s">
        <v>22</v>
      </c>
      <c r="I2542" s="1" t="n">
        <v>20240429161206</v>
      </c>
      <c r="J2542" s="3" t="s">
        <v>10300</v>
      </c>
      <c r="K2542" s="3" t="s">
        <v>10301</v>
      </c>
      <c r="L2542" s="3" t="s">
        <v>10302</v>
      </c>
      <c r="M2542" s="3" t="n">
        <v>158639</v>
      </c>
      <c r="N2542" s="3" t="s">
        <v>1065</v>
      </c>
      <c r="O2542" s="1" t="n">
        <v>142253</v>
      </c>
      <c r="P2542" s="1" t="n">
        <v>89.67</v>
      </c>
      <c r="Q2542" s="1" t="s">
        <v>20</v>
      </c>
      <c r="R2542" s="1" t="s">
        <v>27</v>
      </c>
      <c r="S2542" s="1" t="s">
        <v>28</v>
      </c>
      <c r="T2542" s="1" t="s">
        <v>29</v>
      </c>
    </row>
    <row r="2543" customFormat="false" ht="18.7" hidden="false" customHeight="true" outlineLevel="0" collapsed="false">
      <c r="A2543" s="1" t="n">
        <v>2542</v>
      </c>
      <c r="B2543" s="6" t="str">
        <f aca="false">HYPERLINK("https://mncourtfraud.com/file/MCRO_27-CR-22-13185_Notice of Remote Hearing with Instructions_2022-11-29_20240429161151.pdf","MCRO_27-CR-22-13185_Notice of Remote Hearing with Instructions_2022-11-29_20240429161151.pdf")</f>
        <v>MCRO_27-CR-22-13185_Notice of Remote Hearing with Instructions_2022-11-29_20240429161151.pdf</v>
      </c>
      <c r="C2543" s="1" t="n">
        <v>4</v>
      </c>
      <c r="D2543" s="1" t="n">
        <v>1</v>
      </c>
      <c r="E2543" s="1" t="n">
        <v>1</v>
      </c>
      <c r="F2543" s="3" t="s">
        <v>20</v>
      </c>
      <c r="G2543" s="3" t="s">
        <v>10303</v>
      </c>
      <c r="H2543" s="1" t="s">
        <v>22</v>
      </c>
      <c r="I2543" s="1" t="n">
        <v>20240429161151</v>
      </c>
      <c r="J2543" s="3" t="s">
        <v>10304</v>
      </c>
      <c r="K2543" s="3" t="s">
        <v>10305</v>
      </c>
      <c r="L2543" s="3" t="s">
        <v>10306</v>
      </c>
      <c r="M2543" s="3" t="n">
        <v>133450</v>
      </c>
      <c r="N2543" s="3" t="s">
        <v>1159</v>
      </c>
      <c r="O2543" s="1" t="n">
        <v>117064</v>
      </c>
      <c r="P2543" s="1" t="n">
        <v>87.72</v>
      </c>
      <c r="Q2543" s="1" t="s">
        <v>20</v>
      </c>
      <c r="R2543" s="1" t="s">
        <v>27</v>
      </c>
      <c r="S2543" s="1" t="s">
        <v>28</v>
      </c>
      <c r="T2543" s="1" t="s">
        <v>29</v>
      </c>
    </row>
    <row r="2544" customFormat="false" ht="18.7" hidden="false" customHeight="true" outlineLevel="0" collapsed="false">
      <c r="A2544" s="1" t="n">
        <v>2543</v>
      </c>
      <c r="B2544" s="6" t="str">
        <f aca="false">HYPERLINK("https://mncourtfraud.com/file/MCRO_27-CR-22-13185_Notice of Remote Hearing with Instructions_2022-12-01_20240429161150.pdf","MCRO_27-CR-22-13185_Notice of Remote Hearing with Instructions_2022-12-01_20240429161150.pdf")</f>
        <v>MCRO_27-CR-22-13185_Notice of Remote Hearing with Instructions_2022-12-01_20240429161150.pdf</v>
      </c>
      <c r="C2544" s="1" t="n">
        <v>4</v>
      </c>
      <c r="D2544" s="1" t="n">
        <v>1</v>
      </c>
      <c r="E2544" s="1" t="n">
        <v>1</v>
      </c>
      <c r="F2544" s="3" t="s">
        <v>20</v>
      </c>
      <c r="G2544" s="3" t="s">
        <v>10307</v>
      </c>
      <c r="H2544" s="1" t="s">
        <v>22</v>
      </c>
      <c r="I2544" s="1" t="n">
        <v>20240429161150</v>
      </c>
      <c r="J2544" s="3" t="s">
        <v>10308</v>
      </c>
      <c r="K2544" s="3" t="s">
        <v>10309</v>
      </c>
      <c r="L2544" s="3" t="s">
        <v>10310</v>
      </c>
      <c r="M2544" s="3" t="n">
        <v>133038</v>
      </c>
      <c r="N2544" s="3" t="s">
        <v>1159</v>
      </c>
      <c r="O2544" s="1" t="n">
        <v>116652</v>
      </c>
      <c r="P2544" s="1" t="n">
        <v>87.68</v>
      </c>
      <c r="Q2544" s="1" t="s">
        <v>20</v>
      </c>
      <c r="R2544" s="1" t="s">
        <v>27</v>
      </c>
      <c r="S2544" s="1" t="s">
        <v>28</v>
      </c>
      <c r="T2544" s="1" t="s">
        <v>29</v>
      </c>
    </row>
    <row r="2545" customFormat="false" ht="18.7" hidden="false" customHeight="true" outlineLevel="0" collapsed="false">
      <c r="A2545" s="1" t="n">
        <v>2544</v>
      </c>
      <c r="B2545" s="6" t="str">
        <f aca="false">HYPERLINK("https://mncourtfraud.com/file/MCRO_27-CR-22-13185_Notice of Remote Hearing with Instructions_2023-10-11_20240429161140.pdf","MCRO_27-CR-22-13185_Notice of Remote Hearing with Instructions_2023-10-11_20240429161140.pdf")</f>
        <v>MCRO_27-CR-22-13185_Notice of Remote Hearing with Instructions_2023-10-11_20240429161140.pdf</v>
      </c>
      <c r="C2545" s="1" t="n">
        <v>5</v>
      </c>
      <c r="D2545" s="1" t="n">
        <v>1</v>
      </c>
      <c r="E2545" s="1" t="n">
        <v>1</v>
      </c>
      <c r="F2545" s="3" t="s">
        <v>20</v>
      </c>
      <c r="G2545" s="3" t="s">
        <v>10311</v>
      </c>
      <c r="H2545" s="1" t="s">
        <v>22</v>
      </c>
      <c r="I2545" s="1" t="n">
        <v>20240429161140</v>
      </c>
      <c r="J2545" s="3" t="s">
        <v>10312</v>
      </c>
      <c r="K2545" s="3" t="s">
        <v>10313</v>
      </c>
      <c r="L2545" s="3" t="s">
        <v>10314</v>
      </c>
      <c r="M2545" s="3" t="n">
        <v>844877</v>
      </c>
      <c r="N2545" s="3" t="s">
        <v>2852</v>
      </c>
      <c r="O2545" s="1" t="n">
        <v>828491</v>
      </c>
      <c r="P2545" s="1" t="n">
        <v>98.06</v>
      </c>
      <c r="Q2545" s="1" t="s">
        <v>20</v>
      </c>
      <c r="R2545" s="1" t="s">
        <v>27</v>
      </c>
      <c r="S2545" s="1" t="s">
        <v>28</v>
      </c>
      <c r="T2545" s="1" t="s">
        <v>29</v>
      </c>
    </row>
    <row r="2546" customFormat="false" ht="18.7" hidden="false" customHeight="true" outlineLevel="0" collapsed="false">
      <c r="A2546" s="1" t="n">
        <v>2545</v>
      </c>
      <c r="B2546" s="6" t="str">
        <f aca="false">HYPERLINK("https://mncourtfraud.com/file/MCRO_27-CR-22-13185_Order Denying Motion_2023-05-01_20240429161142.pdf","MCRO_27-CR-22-13185_Order Denying Motion_2023-05-01_20240429161142.pdf")</f>
        <v>MCRO_27-CR-22-13185_Order Denying Motion_2023-05-01_20240429161142.pdf</v>
      </c>
      <c r="C2546" s="1" t="n">
        <v>9</v>
      </c>
      <c r="D2546" s="1" t="n">
        <v>7</v>
      </c>
      <c r="E2546" s="1" t="n">
        <v>7</v>
      </c>
      <c r="F2546" s="3" t="s">
        <v>20</v>
      </c>
      <c r="G2546" s="3" t="s">
        <v>10315</v>
      </c>
      <c r="H2546" s="1" t="s">
        <v>22</v>
      </c>
      <c r="I2546" s="1" t="n">
        <v>20240429161142</v>
      </c>
      <c r="J2546" s="3" t="s">
        <v>10316</v>
      </c>
      <c r="K2546" s="3" t="s">
        <v>10317</v>
      </c>
      <c r="L2546" s="3" t="s">
        <v>10318</v>
      </c>
      <c r="M2546" s="3" t="n">
        <v>420752</v>
      </c>
      <c r="N2546" s="3" t="s">
        <v>2358</v>
      </c>
      <c r="O2546" s="1" t="n">
        <v>404366</v>
      </c>
      <c r="P2546" s="1" t="n">
        <v>96.11</v>
      </c>
      <c r="Q2546" s="1" t="s">
        <v>20</v>
      </c>
      <c r="R2546" s="1" t="s">
        <v>27</v>
      </c>
      <c r="S2546" s="1" t="s">
        <v>28</v>
      </c>
      <c r="T2546" s="1" t="s">
        <v>29</v>
      </c>
    </row>
    <row r="2547" customFormat="false" ht="18.7" hidden="false" customHeight="true" outlineLevel="0" collapsed="false">
      <c r="A2547" s="1" t="n">
        <v>2546</v>
      </c>
      <c r="B2547" s="6" t="str">
        <f aca="false">HYPERLINK("https://mncourtfraud.com/file/MCRO_27-CR-22-13185_Order-Evaluation for Competency to Proceed (Rule 20.01)_2022-11-29_20240429161154.pdf","MCRO_27-CR-22-13185_Order-Evaluation for Competency to Proceed (Rule 20.01)_2022-11-29_20240429161154.pdf")</f>
        <v>MCRO_27-CR-22-13185_Order-Evaluation for Competency to Proceed (Rule 20.01)_2022-11-29_20240429161154.pdf</v>
      </c>
      <c r="C2547" s="1" t="n">
        <v>4</v>
      </c>
      <c r="D2547" s="1" t="n">
        <v>1</v>
      </c>
      <c r="E2547" s="1" t="n">
        <v>1</v>
      </c>
      <c r="F2547" s="3" t="s">
        <v>20</v>
      </c>
      <c r="G2547" s="3" t="s">
        <v>10319</v>
      </c>
      <c r="H2547" s="1" t="s">
        <v>22</v>
      </c>
      <c r="I2547" s="1" t="n">
        <v>20240429161154</v>
      </c>
      <c r="J2547" s="3" t="s">
        <v>10320</v>
      </c>
      <c r="K2547" s="3" t="s">
        <v>10321</v>
      </c>
      <c r="L2547" s="3" t="s">
        <v>10322</v>
      </c>
      <c r="M2547" s="3" t="n">
        <v>153956</v>
      </c>
      <c r="N2547" s="3" t="s">
        <v>1159</v>
      </c>
      <c r="O2547" s="1" t="n">
        <v>137570</v>
      </c>
      <c r="P2547" s="1" t="n">
        <v>89.36</v>
      </c>
      <c r="Q2547" s="1" t="s">
        <v>20</v>
      </c>
      <c r="R2547" s="1" t="s">
        <v>27</v>
      </c>
      <c r="S2547" s="1" t="s">
        <v>28</v>
      </c>
      <c r="T2547" s="1" t="s">
        <v>29</v>
      </c>
    </row>
    <row r="2548" customFormat="false" ht="18.7" hidden="false" customHeight="true" outlineLevel="0" collapsed="false">
      <c r="A2548" s="1" t="n">
        <v>2547</v>
      </c>
      <c r="B2548" s="6" t="str">
        <f aca="false">HYPERLINK("https://mncourtfraud.com/file/MCRO_27-CR-22-13185_Order-Evaluation for Competency to Proceed (Rule 20.01)_2023-03-09_20240429161145.pdf","MCRO_27-CR-22-13185_Order-Evaluation for Competency to Proceed (Rule 20.01)_2023-03-09_20240429161145.pdf")</f>
        <v>MCRO_27-CR-22-13185_Order-Evaluation for Competency to Proceed (Rule 20.01)_2023-03-09_20240429161145.pdf</v>
      </c>
      <c r="C2548" s="1" t="n">
        <v>4</v>
      </c>
      <c r="D2548" s="1" t="n">
        <v>1</v>
      </c>
      <c r="E2548" s="1" t="n">
        <v>1</v>
      </c>
      <c r="F2548" s="3" t="s">
        <v>20</v>
      </c>
      <c r="G2548" s="3" t="s">
        <v>10323</v>
      </c>
      <c r="H2548" s="1" t="s">
        <v>22</v>
      </c>
      <c r="I2548" s="1" t="n">
        <v>20240429161145</v>
      </c>
      <c r="J2548" s="3" t="s">
        <v>10324</v>
      </c>
      <c r="K2548" s="3" t="s">
        <v>10325</v>
      </c>
      <c r="L2548" s="3" t="s">
        <v>10326</v>
      </c>
      <c r="M2548" s="3" t="n">
        <v>138128</v>
      </c>
      <c r="N2548" s="3" t="s">
        <v>1159</v>
      </c>
      <c r="O2548" s="1" t="n">
        <v>121742</v>
      </c>
      <c r="P2548" s="1" t="n">
        <v>88.14</v>
      </c>
      <c r="Q2548" s="1" t="s">
        <v>20</v>
      </c>
      <c r="R2548" s="1" t="s">
        <v>27</v>
      </c>
      <c r="S2548" s="1" t="s">
        <v>28</v>
      </c>
      <c r="T2548" s="1" t="s">
        <v>29</v>
      </c>
    </row>
    <row r="2549" customFormat="false" ht="18.7" hidden="false" customHeight="true" outlineLevel="0" collapsed="false">
      <c r="A2549" s="1" t="n">
        <v>2548</v>
      </c>
      <c r="B2549" s="6" t="str">
        <f aca="false">HYPERLINK("https://mncourtfraud.com/file/MCRO_27-CR-22-13185_Order-Evaluation for Competency to Proceed (Rule 20.01)_2024-01-31_20240429161139.pdf","MCRO_27-CR-22-13185_Order-Evaluation for Competency to Proceed (Rule 20.01)_2024-01-31_20240429161139.pdf")</f>
        <v>MCRO_27-CR-22-13185_Order-Evaluation for Competency to Proceed (Rule 20.01)_2024-01-31_20240429161139.pdf</v>
      </c>
      <c r="C2549" s="1" t="n">
        <v>5</v>
      </c>
      <c r="D2549" s="1" t="n">
        <v>1</v>
      </c>
      <c r="E2549" s="1" t="n">
        <v>1</v>
      </c>
      <c r="F2549" s="3" t="s">
        <v>20</v>
      </c>
      <c r="G2549" s="3" t="s">
        <v>10327</v>
      </c>
      <c r="H2549" s="1" t="s">
        <v>22</v>
      </c>
      <c r="I2549" s="1" t="n">
        <v>20240429161139</v>
      </c>
      <c r="J2549" s="3" t="s">
        <v>10328</v>
      </c>
      <c r="K2549" s="3" t="s">
        <v>10329</v>
      </c>
      <c r="L2549" s="3" t="s">
        <v>10330</v>
      </c>
      <c r="M2549" s="3" t="n">
        <v>760888</v>
      </c>
      <c r="N2549" s="3" t="s">
        <v>1091</v>
      </c>
      <c r="O2549" s="1" t="n">
        <v>744502</v>
      </c>
      <c r="P2549" s="1" t="n">
        <v>97.85</v>
      </c>
      <c r="Q2549" s="1" t="s">
        <v>20</v>
      </c>
      <c r="R2549" s="1" t="s">
        <v>27</v>
      </c>
      <c r="S2549" s="1" t="s">
        <v>28</v>
      </c>
      <c r="T2549" s="1" t="s">
        <v>29</v>
      </c>
    </row>
    <row r="2550" customFormat="false" ht="18.7" hidden="false" customHeight="true" outlineLevel="0" collapsed="false">
      <c r="A2550" s="1" t="n">
        <v>2549</v>
      </c>
      <c r="B2550" s="6" t="str">
        <f aca="false">HYPERLINK("https://mncourtfraud.com/file/MCRO_27-CR-22-13185_Order for Conditional Release_2022-07-08_20240429161209.pdf","MCRO_27-CR-22-13185_Order for Conditional Release_2022-07-08_20240429161209.pdf")</f>
        <v>MCRO_27-CR-22-13185_Order for Conditional Release_2022-07-08_20240429161209.pdf</v>
      </c>
      <c r="C2550" s="1" t="n">
        <v>4</v>
      </c>
      <c r="D2550" s="1" t="n">
        <v>1</v>
      </c>
      <c r="E2550" s="1" t="n">
        <v>1</v>
      </c>
      <c r="F2550" s="3" t="s">
        <v>20</v>
      </c>
      <c r="G2550" s="3" t="s">
        <v>10331</v>
      </c>
      <c r="H2550" s="1" t="s">
        <v>22</v>
      </c>
      <c r="I2550" s="1" t="n">
        <v>20240429161209</v>
      </c>
      <c r="J2550" s="3" t="s">
        <v>10332</v>
      </c>
      <c r="K2550" s="3" t="s">
        <v>10333</v>
      </c>
      <c r="L2550" s="3" t="s">
        <v>10334</v>
      </c>
      <c r="M2550" s="3" t="n">
        <v>139273</v>
      </c>
      <c r="N2550" s="3" t="s">
        <v>456</v>
      </c>
      <c r="O2550" s="1" t="n">
        <v>122887</v>
      </c>
      <c r="P2550" s="1" t="n">
        <v>88.23</v>
      </c>
      <c r="Q2550" s="1" t="s">
        <v>20</v>
      </c>
      <c r="R2550" s="1" t="s">
        <v>27</v>
      </c>
      <c r="S2550" s="1" t="s">
        <v>28</v>
      </c>
      <c r="T2550" s="1" t="s">
        <v>29</v>
      </c>
    </row>
    <row r="2551" customFormat="false" ht="18.7" hidden="false" customHeight="true" outlineLevel="0" collapsed="false">
      <c r="A2551" s="1" t="n">
        <v>2550</v>
      </c>
      <c r="B2551" s="6" t="str">
        <f aca="false">HYPERLINK("https://mncourtfraud.com/file/MCRO_27-CR-22-13185_Order for Conditional Release_2022-09-14_20240429161207.pdf","MCRO_27-CR-22-13185_Order for Conditional Release_2022-09-14_20240429161207.pdf")</f>
        <v>MCRO_27-CR-22-13185_Order for Conditional Release_2022-09-14_20240429161207.pdf</v>
      </c>
      <c r="C2551" s="1" t="n">
        <v>4</v>
      </c>
      <c r="D2551" s="1" t="n">
        <v>1</v>
      </c>
      <c r="E2551" s="1" t="n">
        <v>1</v>
      </c>
      <c r="F2551" s="3" t="s">
        <v>20</v>
      </c>
      <c r="G2551" s="3" t="s">
        <v>10335</v>
      </c>
      <c r="H2551" s="1" t="s">
        <v>22</v>
      </c>
      <c r="I2551" s="1" t="n">
        <v>20240429161207</v>
      </c>
      <c r="J2551" s="3" t="s">
        <v>10336</v>
      </c>
      <c r="K2551" s="3" t="s">
        <v>10337</v>
      </c>
      <c r="L2551" s="3" t="s">
        <v>10338</v>
      </c>
      <c r="M2551" s="3" t="n">
        <v>138569</v>
      </c>
      <c r="N2551" s="3" t="s">
        <v>456</v>
      </c>
      <c r="O2551" s="1" t="n">
        <v>122183</v>
      </c>
      <c r="P2551" s="1" t="n">
        <v>88.17</v>
      </c>
      <c r="Q2551" s="1" t="s">
        <v>20</v>
      </c>
      <c r="R2551" s="1" t="s">
        <v>27</v>
      </c>
      <c r="S2551" s="1" t="s">
        <v>28</v>
      </c>
      <c r="T2551" s="1" t="s">
        <v>29</v>
      </c>
    </row>
    <row r="2552" customFormat="false" ht="18.7" hidden="false" customHeight="true" outlineLevel="0" collapsed="false">
      <c r="A2552" s="1" t="n">
        <v>2551</v>
      </c>
      <c r="B2552" s="6" t="str">
        <f aca="false">HYPERLINK("https://mncourtfraud.com/file/MCRO_27-CR-22-13185_Order for Conditional Release_2022-10-25_20240429161202.pdf","MCRO_27-CR-22-13185_Order for Conditional Release_2022-10-25_20240429161202.pdf")</f>
        <v>MCRO_27-CR-22-13185_Order for Conditional Release_2022-10-25_20240429161202.pdf</v>
      </c>
      <c r="C2552" s="1" t="n">
        <v>4</v>
      </c>
      <c r="D2552" s="1" t="n">
        <v>1</v>
      </c>
      <c r="E2552" s="1" t="n">
        <v>1</v>
      </c>
      <c r="F2552" s="3" t="s">
        <v>20</v>
      </c>
      <c r="G2552" s="3" t="s">
        <v>10339</v>
      </c>
      <c r="H2552" s="1" t="s">
        <v>22</v>
      </c>
      <c r="I2552" s="1" t="n">
        <v>20240429161202</v>
      </c>
      <c r="J2552" s="3" t="s">
        <v>10340</v>
      </c>
      <c r="K2552" s="3" t="s">
        <v>10341</v>
      </c>
      <c r="L2552" s="3" t="s">
        <v>10342</v>
      </c>
      <c r="M2552" s="3" t="n">
        <v>146884</v>
      </c>
      <c r="N2552" s="3" t="s">
        <v>1159</v>
      </c>
      <c r="O2552" s="1" t="n">
        <v>130498</v>
      </c>
      <c r="P2552" s="1" t="n">
        <v>88.84</v>
      </c>
      <c r="Q2552" s="1" t="s">
        <v>20</v>
      </c>
      <c r="R2552" s="1" t="s">
        <v>27</v>
      </c>
      <c r="S2552" s="1" t="s">
        <v>28</v>
      </c>
      <c r="T2552" s="1" t="s">
        <v>29</v>
      </c>
    </row>
    <row r="2553" customFormat="false" ht="18.7" hidden="false" customHeight="true" outlineLevel="0" collapsed="false">
      <c r="A2553" s="1" t="n">
        <v>2552</v>
      </c>
      <c r="B2553" s="6" t="str">
        <f aca="false">HYPERLINK("https://mncourtfraud.com/file/MCRO_27-CR-22-13185_Order for Conditional Release_2023-03-09_20240429161146.pdf","MCRO_27-CR-22-13185_Order for Conditional Release_2023-03-09_20240429161146.pdf")</f>
        <v>MCRO_27-CR-22-13185_Order for Conditional Release_2023-03-09_20240429161146.pdf</v>
      </c>
      <c r="C2553" s="1" t="n">
        <v>4</v>
      </c>
      <c r="D2553" s="1" t="n">
        <v>1</v>
      </c>
      <c r="E2553" s="1" t="n">
        <v>1</v>
      </c>
      <c r="F2553" s="3" t="s">
        <v>20</v>
      </c>
      <c r="G2553" s="3" t="s">
        <v>10343</v>
      </c>
      <c r="H2553" s="1" t="s">
        <v>22</v>
      </c>
      <c r="I2553" s="1" t="n">
        <v>20240429161146</v>
      </c>
      <c r="J2553" s="3" t="s">
        <v>10344</v>
      </c>
      <c r="K2553" s="3" t="s">
        <v>10345</v>
      </c>
      <c r="L2553" s="3" t="s">
        <v>10346</v>
      </c>
      <c r="M2553" s="3" t="n">
        <v>107799</v>
      </c>
      <c r="N2553" s="3" t="s">
        <v>435</v>
      </c>
      <c r="O2553" s="1" t="n">
        <v>91413</v>
      </c>
      <c r="P2553" s="1" t="n">
        <v>84.8</v>
      </c>
      <c r="Q2553" s="1" t="s">
        <v>20</v>
      </c>
      <c r="R2553" s="1" t="s">
        <v>27</v>
      </c>
      <c r="S2553" s="1" t="s">
        <v>28</v>
      </c>
      <c r="T2553" s="1" t="s">
        <v>29</v>
      </c>
    </row>
    <row r="2554" customFormat="false" ht="18.7" hidden="false" customHeight="true" outlineLevel="0" collapsed="false">
      <c r="A2554" s="1" t="n">
        <v>2553</v>
      </c>
      <c r="B2554" s="6" t="str">
        <f aca="false">HYPERLINK("https://mncourtfraud.com/file/MCRO_27-CR-22-13185_Order for Conditional Release_2023-06-08_20240429161141.pdf","MCRO_27-CR-22-13185_Order for Conditional Release_2023-06-08_20240429161141.pdf")</f>
        <v>MCRO_27-CR-22-13185_Order for Conditional Release_2023-06-08_20240429161141.pdf</v>
      </c>
      <c r="C2554" s="1" t="n">
        <v>9</v>
      </c>
      <c r="D2554" s="1" t="n">
        <v>3</v>
      </c>
      <c r="E2554" s="1" t="n">
        <v>3</v>
      </c>
      <c r="F2554" s="3" t="s">
        <v>27</v>
      </c>
      <c r="G2554" s="3" t="s">
        <v>10347</v>
      </c>
      <c r="H2554" s="1" t="s">
        <v>22</v>
      </c>
      <c r="I2554" s="1" t="n">
        <v>20240429161141</v>
      </c>
      <c r="J2554" s="3" t="s">
        <v>10348</v>
      </c>
      <c r="K2554" s="3" t="s">
        <v>10349</v>
      </c>
      <c r="L2554" s="3" t="s">
        <v>10350</v>
      </c>
      <c r="M2554" s="3" t="n">
        <v>880365</v>
      </c>
      <c r="N2554" s="3" t="s">
        <v>2358</v>
      </c>
      <c r="O2554" s="1" t="n">
        <v>863979</v>
      </c>
      <c r="P2554" s="1" t="n">
        <v>98.14</v>
      </c>
      <c r="Q2554" s="1" t="s">
        <v>20</v>
      </c>
      <c r="R2554" s="1" t="s">
        <v>27</v>
      </c>
      <c r="S2554" s="1" t="s">
        <v>28</v>
      </c>
      <c r="T2554" s="1" t="s">
        <v>29</v>
      </c>
    </row>
    <row r="2555" customFormat="false" ht="18.7" hidden="false" customHeight="true" outlineLevel="0" collapsed="false">
      <c r="A2555" s="1" t="n">
        <v>2554</v>
      </c>
      <c r="B2555" s="6" t="str">
        <f aca="false">HYPERLINK("https://mncourtfraud.com/file/MCRO_27-CR-22-13185_Petition to Enter Guilty Plea_2024-04-18_20240429161137.pdf","MCRO_27-CR-22-13185_Petition to Enter Guilty Plea_2024-04-18_20240429161137.pdf")</f>
        <v>MCRO_27-CR-22-13185_Petition to Enter Guilty Plea_2024-04-18_20240429161137.pdf</v>
      </c>
      <c r="C2555" s="1" t="n">
        <v>4</v>
      </c>
      <c r="D2555" s="1" t="n">
        <v>1</v>
      </c>
      <c r="E2555" s="1" t="n">
        <v>1</v>
      </c>
      <c r="F2555" s="3" t="s">
        <v>20</v>
      </c>
      <c r="G2555" s="3" t="s">
        <v>10351</v>
      </c>
      <c r="H2555" s="1" t="s">
        <v>22</v>
      </c>
      <c r="I2555" s="1" t="n">
        <v>20240429161137</v>
      </c>
      <c r="J2555" s="3" t="s">
        <v>10352</v>
      </c>
      <c r="K2555" s="3" t="s">
        <v>10353</v>
      </c>
      <c r="L2555" s="3" t="s">
        <v>10354</v>
      </c>
      <c r="M2555" s="3" t="n">
        <v>1646656</v>
      </c>
      <c r="N2555" s="3" t="s">
        <v>104</v>
      </c>
      <c r="O2555" s="1" t="n">
        <v>1630270</v>
      </c>
      <c r="P2555" s="1" t="n">
        <v>99</v>
      </c>
      <c r="Q2555" s="1" t="s">
        <v>20</v>
      </c>
      <c r="R2555" s="1" t="s">
        <v>27</v>
      </c>
      <c r="S2555" s="1" t="s">
        <v>28</v>
      </c>
      <c r="T2555" s="1" t="s">
        <v>29</v>
      </c>
    </row>
    <row r="2556" customFormat="false" ht="18.7" hidden="false" customHeight="true" outlineLevel="0" collapsed="false">
      <c r="A2556" s="1" t="n">
        <v>2555</v>
      </c>
      <c r="B2556" s="6" t="str">
        <f aca="false">HYPERLINK("https://mncourtfraud.com/file/MCRO_27-CR-22-13185_Returned Mail_2022-10-07_20240429161204.pdf","MCRO_27-CR-22-13185_Returned Mail_2022-10-07_20240429161204.pdf")</f>
        <v>MCRO_27-CR-22-13185_Returned Mail_2022-10-07_20240429161204.pdf</v>
      </c>
      <c r="C2556" s="1" t="n">
        <v>4</v>
      </c>
      <c r="D2556" s="1" t="n">
        <v>1</v>
      </c>
      <c r="E2556" s="1" t="n">
        <v>1</v>
      </c>
      <c r="F2556" s="3" t="s">
        <v>20</v>
      </c>
      <c r="G2556" s="3" t="s">
        <v>10355</v>
      </c>
      <c r="H2556" s="1" t="s">
        <v>22</v>
      </c>
      <c r="I2556" s="1" t="n">
        <v>20240429161204</v>
      </c>
      <c r="J2556" s="3" t="s">
        <v>10356</v>
      </c>
      <c r="K2556" s="3" t="s">
        <v>10357</v>
      </c>
      <c r="L2556" s="3" t="s">
        <v>10358</v>
      </c>
      <c r="M2556" s="3" t="n">
        <v>213153</v>
      </c>
      <c r="N2556" s="3" t="s">
        <v>119</v>
      </c>
      <c r="O2556" s="1" t="n">
        <v>196767</v>
      </c>
      <c r="P2556" s="1" t="n">
        <v>92.31</v>
      </c>
      <c r="Q2556" s="1" t="s">
        <v>20</v>
      </c>
      <c r="R2556" s="1" t="s">
        <v>27</v>
      </c>
      <c r="S2556" s="1" t="s">
        <v>28</v>
      </c>
      <c r="T2556" s="1" t="s">
        <v>29</v>
      </c>
    </row>
    <row r="2557" customFormat="false" ht="18.7" hidden="false" customHeight="true" outlineLevel="0" collapsed="false">
      <c r="A2557" s="1" t="n">
        <v>2556</v>
      </c>
      <c r="B2557" s="6" t="str">
        <f aca="false">HYPERLINK("https://mncourtfraud.com/file/MCRO_27-CR-22-13941_Certificate of Representation_2022-12-05_20240429161320.pdf","MCRO_27-CR-22-13941_Certificate of Representation_2022-12-05_20240429161320.pdf")</f>
        <v>MCRO_27-CR-22-13941_Certificate of Representation_2022-12-05_20240429161320.pdf</v>
      </c>
      <c r="C2557" s="1" t="n">
        <v>3</v>
      </c>
      <c r="D2557" s="1" t="n">
        <v>1</v>
      </c>
      <c r="E2557" s="1" t="n">
        <v>1</v>
      </c>
      <c r="F2557" s="3" t="s">
        <v>20</v>
      </c>
      <c r="G2557" s="3" t="s">
        <v>10359</v>
      </c>
      <c r="H2557" s="1" t="s">
        <v>22</v>
      </c>
      <c r="I2557" s="1" t="n">
        <v>20240429161320</v>
      </c>
      <c r="J2557" s="3" t="s">
        <v>10360</v>
      </c>
      <c r="K2557" s="3" t="s">
        <v>10361</v>
      </c>
      <c r="L2557" s="3" t="s">
        <v>10362</v>
      </c>
      <c r="M2557" s="3" t="n">
        <v>133738</v>
      </c>
      <c r="N2557" s="3" t="s">
        <v>1257</v>
      </c>
      <c r="O2557" s="1" t="n">
        <v>117352</v>
      </c>
      <c r="P2557" s="1" t="n">
        <v>87.75</v>
      </c>
      <c r="Q2557" s="1" t="s">
        <v>20</v>
      </c>
      <c r="R2557" s="1" t="s">
        <v>27</v>
      </c>
      <c r="S2557" s="1" t="s">
        <v>28</v>
      </c>
      <c r="T2557" s="1" t="s">
        <v>29</v>
      </c>
    </row>
    <row r="2558" customFormat="false" ht="18.7" hidden="false" customHeight="true" outlineLevel="0" collapsed="false">
      <c r="A2558" s="1" t="n">
        <v>2557</v>
      </c>
      <c r="B2558" s="6" t="str">
        <f aca="false">HYPERLINK("https://mncourtfraud.com/file/MCRO_27-CR-22-13941_Correspondence for Judicial Approval_2023-11-25_20240429161306.pdf","MCRO_27-CR-22-13941_Correspondence for Judicial Approval_2023-11-25_20240429161306.pdf")</f>
        <v>MCRO_27-CR-22-13941_Correspondence for Judicial Approval_2023-11-25_20240429161306.pdf</v>
      </c>
      <c r="C2558" s="1" t="n">
        <v>3</v>
      </c>
      <c r="D2558" s="1" t="n">
        <v>1</v>
      </c>
      <c r="E2558" s="1" t="n">
        <v>1</v>
      </c>
      <c r="F2558" s="3" t="s">
        <v>20</v>
      </c>
      <c r="G2558" s="3" t="s">
        <v>10363</v>
      </c>
      <c r="H2558" s="1" t="s">
        <v>22</v>
      </c>
      <c r="I2558" s="1" t="n">
        <v>20240429161306</v>
      </c>
      <c r="J2558" s="3" t="s">
        <v>10364</v>
      </c>
      <c r="K2558" s="3" t="s">
        <v>10365</v>
      </c>
      <c r="L2558" s="3" t="s">
        <v>10366</v>
      </c>
      <c r="M2558" s="3" t="n">
        <v>229114</v>
      </c>
      <c r="N2558" s="3" t="s">
        <v>5024</v>
      </c>
      <c r="O2558" s="1" t="n">
        <v>212728</v>
      </c>
      <c r="P2558" s="1" t="n">
        <v>92.85</v>
      </c>
      <c r="Q2558" s="1" t="s">
        <v>20</v>
      </c>
      <c r="R2558" s="1" t="s">
        <v>27</v>
      </c>
      <c r="S2558" s="1" t="s">
        <v>28</v>
      </c>
      <c r="T2558" s="1" t="s">
        <v>29</v>
      </c>
    </row>
    <row r="2559" customFormat="false" ht="18.7" hidden="false" customHeight="true" outlineLevel="0" collapsed="false">
      <c r="A2559" s="1" t="n">
        <v>2558</v>
      </c>
      <c r="B2559" s="6" t="str">
        <f aca="false">HYPERLINK("https://mncourtfraud.com/file/MCRO_27-CR-22-13941_Demand or Request for Discovery_2022-07-21_20240429161320.pdf","MCRO_27-CR-22-13941_Demand or Request for Discovery_2022-07-21_20240429161320.pdf")</f>
        <v>MCRO_27-CR-22-13941_Demand or Request for Discovery_2022-07-21_20240429161320.pdf</v>
      </c>
      <c r="C2559" s="1" t="n">
        <v>3</v>
      </c>
      <c r="D2559" s="1" t="n">
        <v>1</v>
      </c>
      <c r="E2559" s="1" t="n">
        <v>1</v>
      </c>
      <c r="F2559" s="3" t="s">
        <v>20</v>
      </c>
      <c r="G2559" s="3" t="s">
        <v>10367</v>
      </c>
      <c r="H2559" s="1" t="s">
        <v>22</v>
      </c>
      <c r="I2559" s="1" t="n">
        <v>20240429161320</v>
      </c>
      <c r="J2559" s="3" t="s">
        <v>10360</v>
      </c>
      <c r="K2559" s="3" t="s">
        <v>10361</v>
      </c>
      <c r="L2559" s="3" t="s">
        <v>10368</v>
      </c>
      <c r="M2559" s="3" t="n">
        <v>370456</v>
      </c>
      <c r="N2559" s="3" t="s">
        <v>9552</v>
      </c>
      <c r="O2559" s="1" t="n">
        <v>354070</v>
      </c>
      <c r="P2559" s="1" t="n">
        <v>95.58</v>
      </c>
      <c r="Q2559" s="1" t="s">
        <v>20</v>
      </c>
      <c r="R2559" s="1" t="s">
        <v>27</v>
      </c>
      <c r="S2559" s="1" t="s">
        <v>28</v>
      </c>
      <c r="T2559" s="1" t="s">
        <v>29</v>
      </c>
    </row>
    <row r="2560" customFormat="false" ht="18.7" hidden="false" customHeight="true" outlineLevel="0" collapsed="false">
      <c r="A2560" s="1" t="n">
        <v>2559</v>
      </c>
      <c r="B2560" s="6" t="str">
        <f aca="false">HYPERLINK("https://mncourtfraud.com/file/MCRO_27-CR-22-13941_E-filed Comp-Order for Detention_2022-07-18_20240429161322.pdf","MCRO_27-CR-22-13941_E-filed Comp-Order for Detention_2022-07-18_20240429161322.pdf")</f>
        <v>MCRO_27-CR-22-13941_E-filed Comp-Order for Detention_2022-07-18_20240429161322.pdf</v>
      </c>
      <c r="C2560" s="1" t="n">
        <v>5</v>
      </c>
      <c r="D2560" s="1" t="n">
        <v>2</v>
      </c>
      <c r="E2560" s="1" t="n">
        <v>2</v>
      </c>
      <c r="F2560" s="3" t="s">
        <v>20</v>
      </c>
      <c r="G2560" s="3" t="s">
        <v>10369</v>
      </c>
      <c r="H2560" s="1" t="s">
        <v>22</v>
      </c>
      <c r="I2560" s="1" t="n">
        <v>20240429161322</v>
      </c>
      <c r="J2560" s="3" t="s">
        <v>10370</v>
      </c>
      <c r="K2560" s="3" t="s">
        <v>10371</v>
      </c>
      <c r="L2560" s="3" t="s">
        <v>10372</v>
      </c>
      <c r="M2560" s="3" t="n">
        <v>461062</v>
      </c>
      <c r="N2560" s="3" t="s">
        <v>963</v>
      </c>
      <c r="O2560" s="1" t="n">
        <v>444676</v>
      </c>
      <c r="P2560" s="1" t="n">
        <v>96.45</v>
      </c>
      <c r="Q2560" s="1" t="s">
        <v>20</v>
      </c>
      <c r="R2560" s="1" t="s">
        <v>27</v>
      </c>
      <c r="S2560" s="1" t="s">
        <v>28</v>
      </c>
      <c r="T2560" s="1" t="s">
        <v>29</v>
      </c>
    </row>
    <row r="2561" customFormat="false" ht="18.7" hidden="false" customHeight="true" outlineLevel="0" collapsed="false">
      <c r="A2561" s="1" t="n">
        <v>2560</v>
      </c>
      <c r="B2561" s="6" t="str">
        <f aca="false">HYPERLINK("https://mncourtfraud.com/file/MCRO_27-CR-22-13941_Finding of Incompetency and Order_2023-05-10_20240429161312.pdf","MCRO_27-CR-22-13941_Finding of Incompetency and Order_2023-05-10_20240429161312.pdf")</f>
        <v>MCRO_27-CR-22-13941_Finding of Incompetency and Order_2023-05-10_20240429161312.pdf</v>
      </c>
      <c r="C2561" s="1" t="n">
        <v>6</v>
      </c>
      <c r="D2561" s="1" t="n">
        <v>2</v>
      </c>
      <c r="E2561" s="1" t="n">
        <v>2</v>
      </c>
      <c r="F2561" s="3" t="s">
        <v>27</v>
      </c>
      <c r="G2561" s="3" t="s">
        <v>10373</v>
      </c>
      <c r="H2561" s="1" t="s">
        <v>22</v>
      </c>
      <c r="I2561" s="1" t="n">
        <v>20240429161312</v>
      </c>
      <c r="J2561" s="3" t="s">
        <v>10374</v>
      </c>
      <c r="K2561" s="3" t="s">
        <v>10375</v>
      </c>
      <c r="L2561" s="3" t="s">
        <v>10376</v>
      </c>
      <c r="M2561" s="3" t="n">
        <v>819125</v>
      </c>
      <c r="N2561" s="3" t="s">
        <v>3837</v>
      </c>
      <c r="O2561" s="1" t="n">
        <v>802739</v>
      </c>
      <c r="P2561" s="1" t="n">
        <v>98</v>
      </c>
      <c r="Q2561" s="1" t="s">
        <v>20</v>
      </c>
      <c r="R2561" s="1" t="s">
        <v>27</v>
      </c>
      <c r="S2561" s="1" t="s">
        <v>28</v>
      </c>
      <c r="T2561" s="1" t="s">
        <v>29</v>
      </c>
    </row>
    <row r="2562" customFormat="false" ht="18.7" hidden="false" customHeight="true" outlineLevel="0" collapsed="false">
      <c r="A2562" s="1" t="n">
        <v>2561</v>
      </c>
      <c r="B2562" s="6" t="str">
        <f aca="false">HYPERLINK("https://mncourtfraud.com/file/MCRO_27-CR-22-13941_Notice of Hearing_2023-01-20_20240429161313.pdf","MCRO_27-CR-22-13941_Notice of Hearing_2023-01-20_20240429161313.pdf")</f>
        <v>MCRO_27-CR-22-13941_Notice of Hearing_2023-01-20_20240429161313.pdf</v>
      </c>
      <c r="C2562" s="1" t="n">
        <v>4</v>
      </c>
      <c r="D2562" s="1" t="n">
        <v>1</v>
      </c>
      <c r="E2562" s="1" t="n">
        <v>1</v>
      </c>
      <c r="F2562" s="3" t="s">
        <v>20</v>
      </c>
      <c r="G2562" s="3" t="s">
        <v>10377</v>
      </c>
      <c r="H2562" s="1" t="s">
        <v>22</v>
      </c>
      <c r="I2562" s="1" t="n">
        <v>20240429161313</v>
      </c>
      <c r="J2562" s="3" t="s">
        <v>10378</v>
      </c>
      <c r="K2562" s="3" t="s">
        <v>10379</v>
      </c>
      <c r="L2562" s="3" t="s">
        <v>10380</v>
      </c>
      <c r="M2562" s="3" t="n">
        <v>438853</v>
      </c>
      <c r="N2562" s="3" t="s">
        <v>158</v>
      </c>
      <c r="O2562" s="1" t="n">
        <v>422467</v>
      </c>
      <c r="P2562" s="1" t="n">
        <v>96.27</v>
      </c>
      <c r="Q2562" s="1" t="s">
        <v>20</v>
      </c>
      <c r="R2562" s="1" t="s">
        <v>27</v>
      </c>
      <c r="S2562" s="1" t="s">
        <v>28</v>
      </c>
      <c r="T2562" s="1" t="s">
        <v>29</v>
      </c>
    </row>
    <row r="2563" customFormat="false" ht="18.7" hidden="false" customHeight="true" outlineLevel="0" collapsed="false">
      <c r="A2563" s="1" t="n">
        <v>2562</v>
      </c>
      <c r="B2563" s="6" t="str">
        <f aca="false">HYPERLINK("https://mncourtfraud.com/file/MCRO_27-CR-22-13941_Notice of Hearing_2024-02-06_20240429161304.pdf","MCRO_27-CR-22-13941_Notice of Hearing_2024-02-06_20240429161304.pdf")</f>
        <v>MCRO_27-CR-22-13941_Notice of Hearing_2024-02-06_20240429161304.pdf</v>
      </c>
      <c r="C2563" s="1" t="n">
        <v>4</v>
      </c>
      <c r="D2563" s="1" t="n">
        <v>1</v>
      </c>
      <c r="E2563" s="1" t="n">
        <v>1</v>
      </c>
      <c r="F2563" s="3" t="s">
        <v>20</v>
      </c>
      <c r="G2563" s="3" t="s">
        <v>10381</v>
      </c>
      <c r="H2563" s="1" t="s">
        <v>22</v>
      </c>
      <c r="I2563" s="1" t="n">
        <v>20240429161304</v>
      </c>
      <c r="J2563" s="3" t="s">
        <v>10382</v>
      </c>
      <c r="K2563" s="3" t="s">
        <v>10383</v>
      </c>
      <c r="L2563" s="3" t="s">
        <v>10384</v>
      </c>
      <c r="M2563" s="3" t="n">
        <v>101955</v>
      </c>
      <c r="N2563" s="3" t="s">
        <v>3269</v>
      </c>
      <c r="O2563" s="1" t="n">
        <v>85569</v>
      </c>
      <c r="P2563" s="1" t="n">
        <v>83.93</v>
      </c>
      <c r="Q2563" s="1" t="s">
        <v>20</v>
      </c>
      <c r="R2563" s="1" t="s">
        <v>27</v>
      </c>
      <c r="S2563" s="1" t="s">
        <v>28</v>
      </c>
      <c r="T2563" s="1" t="s">
        <v>29</v>
      </c>
    </row>
    <row r="2564" customFormat="false" ht="18.7" hidden="false" customHeight="true" outlineLevel="0" collapsed="false">
      <c r="A2564" s="1" t="n">
        <v>2563</v>
      </c>
      <c r="B2564" s="6" t="str">
        <f aca="false">HYPERLINK("https://mncourtfraud.com/file/MCRO_27-CR-22-13941_Notice of Hearing_2024-02-20_20240429161303.pdf","MCRO_27-CR-22-13941_Notice of Hearing_2024-02-20_20240429161303.pdf")</f>
        <v>MCRO_27-CR-22-13941_Notice of Hearing_2024-02-20_20240429161303.pdf</v>
      </c>
      <c r="C2564" s="1" t="n">
        <v>4</v>
      </c>
      <c r="D2564" s="1" t="n">
        <v>1</v>
      </c>
      <c r="E2564" s="1" t="n">
        <v>1</v>
      </c>
      <c r="F2564" s="3" t="s">
        <v>20</v>
      </c>
      <c r="G2564" s="3" t="s">
        <v>10385</v>
      </c>
      <c r="H2564" s="1" t="s">
        <v>22</v>
      </c>
      <c r="I2564" s="1" t="n">
        <v>20240429161303</v>
      </c>
      <c r="J2564" s="3" t="s">
        <v>10386</v>
      </c>
      <c r="K2564" s="3" t="s">
        <v>10387</v>
      </c>
      <c r="L2564" s="3" t="s">
        <v>10388</v>
      </c>
      <c r="M2564" s="3" t="n">
        <v>51334</v>
      </c>
      <c r="N2564" s="3" t="s">
        <v>10389</v>
      </c>
      <c r="O2564" s="1" t="n">
        <v>34948</v>
      </c>
      <c r="P2564" s="1" t="n">
        <v>68.08</v>
      </c>
      <c r="Q2564" s="1" t="s">
        <v>20</v>
      </c>
      <c r="R2564" s="1" t="s">
        <v>27</v>
      </c>
      <c r="S2564" s="1" t="s">
        <v>28</v>
      </c>
      <c r="T2564" s="1" t="s">
        <v>29</v>
      </c>
    </row>
    <row r="2565" customFormat="false" ht="18.7" hidden="false" customHeight="true" outlineLevel="0" collapsed="false">
      <c r="A2565" s="1" t="n">
        <v>2564</v>
      </c>
      <c r="B2565" s="6" t="str">
        <f aca="false">HYPERLINK("https://mncourtfraud.com/file/MCRO_27-CR-22-13941_Notice of Hearing_2024-03-13_20240429161301.pdf","MCRO_27-CR-22-13941_Notice of Hearing_2024-03-13_20240429161301.pdf")</f>
        <v>MCRO_27-CR-22-13941_Notice of Hearing_2024-03-13_20240429161301.pdf</v>
      </c>
      <c r="C2565" s="1" t="n">
        <v>4</v>
      </c>
      <c r="D2565" s="1" t="n">
        <v>1</v>
      </c>
      <c r="E2565" s="1" t="n">
        <v>1</v>
      </c>
      <c r="F2565" s="3" t="s">
        <v>20</v>
      </c>
      <c r="G2565" s="3" t="s">
        <v>10390</v>
      </c>
      <c r="H2565" s="1" t="s">
        <v>22</v>
      </c>
      <c r="I2565" s="1" t="n">
        <v>20240429161301</v>
      </c>
      <c r="J2565" s="3" t="s">
        <v>10391</v>
      </c>
      <c r="K2565" s="3" t="s">
        <v>10392</v>
      </c>
      <c r="L2565" s="3" t="s">
        <v>10393</v>
      </c>
      <c r="M2565" s="3" t="n">
        <v>103693</v>
      </c>
      <c r="N2565" s="3" t="s">
        <v>3269</v>
      </c>
      <c r="O2565" s="1" t="n">
        <v>87307</v>
      </c>
      <c r="P2565" s="1" t="n">
        <v>84.2</v>
      </c>
      <c r="Q2565" s="1" t="s">
        <v>20</v>
      </c>
      <c r="R2565" s="1" t="s">
        <v>27</v>
      </c>
      <c r="S2565" s="1" t="s">
        <v>28</v>
      </c>
      <c r="T2565" s="1" t="s">
        <v>29</v>
      </c>
    </row>
    <row r="2566" customFormat="false" ht="18.7" hidden="false" customHeight="true" outlineLevel="0" collapsed="false">
      <c r="A2566" s="1" t="n">
        <v>2565</v>
      </c>
      <c r="B2566" s="6" t="str">
        <f aca="false">HYPERLINK("https://mncourtfraud.com/file/MCRO_27-CR-22-13941_Notice of Hearing_2024-04-01_20240429161300.pdf","MCRO_27-CR-22-13941_Notice of Hearing_2024-04-01_20240429161300.pdf")</f>
        <v>MCRO_27-CR-22-13941_Notice of Hearing_2024-04-01_20240429161300.pdf</v>
      </c>
      <c r="C2566" s="1" t="n">
        <v>4</v>
      </c>
      <c r="D2566" s="1" t="n">
        <v>1</v>
      </c>
      <c r="E2566" s="1" t="n">
        <v>1</v>
      </c>
      <c r="F2566" s="3" t="s">
        <v>20</v>
      </c>
      <c r="G2566" s="3" t="s">
        <v>10394</v>
      </c>
      <c r="H2566" s="1" t="s">
        <v>22</v>
      </c>
      <c r="I2566" s="1" t="n">
        <v>20240429161300</v>
      </c>
      <c r="J2566" s="3" t="s">
        <v>10395</v>
      </c>
      <c r="K2566" s="3" t="s">
        <v>10396</v>
      </c>
      <c r="L2566" s="3" t="s">
        <v>10397</v>
      </c>
      <c r="M2566" s="3" t="n">
        <v>103140</v>
      </c>
      <c r="N2566" s="3" t="s">
        <v>3269</v>
      </c>
      <c r="O2566" s="1" t="n">
        <v>86754</v>
      </c>
      <c r="P2566" s="1" t="n">
        <v>84.11</v>
      </c>
      <c r="Q2566" s="1" t="s">
        <v>20</v>
      </c>
      <c r="R2566" s="1" t="s">
        <v>27</v>
      </c>
      <c r="S2566" s="1" t="s">
        <v>28</v>
      </c>
      <c r="T2566" s="1" t="s">
        <v>29</v>
      </c>
    </row>
    <row r="2567" customFormat="false" ht="18.7" hidden="false" customHeight="true" outlineLevel="0" collapsed="false">
      <c r="A2567" s="1" t="n">
        <v>2566</v>
      </c>
      <c r="B2567" s="6" t="str">
        <f aca="false">HYPERLINK("https://mncourtfraud.com/file/MCRO_27-CR-22-13941_Notice of Intent to Prosecute_2023-05-10_20240429161311.pdf","MCRO_27-CR-22-13941_Notice of Intent to Prosecute_2023-05-10_20240429161311.pdf")</f>
        <v>MCRO_27-CR-22-13941_Notice of Intent to Prosecute_2023-05-10_20240429161311.pdf</v>
      </c>
      <c r="C2567" s="1" t="n">
        <v>3</v>
      </c>
      <c r="D2567" s="1" t="n">
        <v>1</v>
      </c>
      <c r="E2567" s="1" t="n">
        <v>1</v>
      </c>
      <c r="F2567" s="3" t="s">
        <v>20</v>
      </c>
      <c r="G2567" s="3" t="s">
        <v>10398</v>
      </c>
      <c r="H2567" s="1" t="s">
        <v>22</v>
      </c>
      <c r="I2567" s="1" t="n">
        <v>20240429161311</v>
      </c>
      <c r="J2567" s="3" t="s">
        <v>10399</v>
      </c>
      <c r="K2567" s="3" t="s">
        <v>10400</v>
      </c>
      <c r="L2567" s="3" t="s">
        <v>10401</v>
      </c>
      <c r="M2567" s="3" t="n">
        <v>118679</v>
      </c>
      <c r="N2567" s="3" t="s">
        <v>736</v>
      </c>
      <c r="O2567" s="1" t="n">
        <v>102293</v>
      </c>
      <c r="P2567" s="1" t="n">
        <v>86.19</v>
      </c>
      <c r="Q2567" s="1" t="s">
        <v>20</v>
      </c>
      <c r="R2567" s="1" t="s">
        <v>27</v>
      </c>
      <c r="S2567" s="1" t="s">
        <v>28</v>
      </c>
      <c r="T2567" s="1" t="s">
        <v>29</v>
      </c>
    </row>
    <row r="2568" customFormat="false" ht="18.7" hidden="false" customHeight="true" outlineLevel="0" collapsed="false">
      <c r="A2568" s="1" t="n">
        <v>2567</v>
      </c>
      <c r="B2568" s="6" t="str">
        <f aca="false">HYPERLINK("https://mncourtfraud.com/file/MCRO_27-CR-22-13941_Notice of Remote Hearing with Instructions_2022-07-19_20240429161321.pdf","MCRO_27-CR-22-13941_Notice of Remote Hearing with Instructions_2022-07-19_20240429161321.pdf")</f>
        <v>MCRO_27-CR-22-13941_Notice of Remote Hearing with Instructions_2022-07-19_20240429161321.pdf</v>
      </c>
      <c r="C2568" s="1" t="n">
        <v>4</v>
      </c>
      <c r="D2568" s="1" t="n">
        <v>1</v>
      </c>
      <c r="E2568" s="1" t="n">
        <v>1</v>
      </c>
      <c r="F2568" s="3" t="s">
        <v>20</v>
      </c>
      <c r="G2568" s="3" t="s">
        <v>10402</v>
      </c>
      <c r="H2568" s="1" t="s">
        <v>22</v>
      </c>
      <c r="I2568" s="1" t="n">
        <v>20240429161321</v>
      </c>
      <c r="J2568" s="3" t="s">
        <v>10403</v>
      </c>
      <c r="K2568" s="3" t="s">
        <v>10404</v>
      </c>
      <c r="L2568" s="3" t="s">
        <v>10405</v>
      </c>
      <c r="M2568" s="3" t="n">
        <v>158215</v>
      </c>
      <c r="N2568" s="3" t="s">
        <v>1065</v>
      </c>
      <c r="O2568" s="1" t="n">
        <v>141829</v>
      </c>
      <c r="P2568" s="1" t="n">
        <v>89.64</v>
      </c>
      <c r="Q2568" s="1" t="s">
        <v>20</v>
      </c>
      <c r="R2568" s="1" t="s">
        <v>27</v>
      </c>
      <c r="S2568" s="1" t="s">
        <v>28</v>
      </c>
      <c r="T2568" s="1" t="s">
        <v>29</v>
      </c>
    </row>
    <row r="2569" customFormat="false" ht="18.7" hidden="false" customHeight="true" outlineLevel="0" collapsed="false">
      <c r="A2569" s="1" t="n">
        <v>2568</v>
      </c>
      <c r="B2569" s="6" t="str">
        <f aca="false">HYPERLINK("https://mncourtfraud.com/file/MCRO_27-CR-22-13941_Notice of Remote Hearing with Instructions_2022-12-05_20240429161320.pdf","MCRO_27-CR-22-13941_Notice of Remote Hearing with Instructions_2022-12-05_20240429161320.pdf")</f>
        <v>MCRO_27-CR-22-13941_Notice of Remote Hearing with Instructions_2022-12-05_20240429161320.pdf</v>
      </c>
      <c r="C2569" s="1" t="n">
        <v>4</v>
      </c>
      <c r="D2569" s="1" t="n">
        <v>1</v>
      </c>
      <c r="E2569" s="1" t="n">
        <v>1</v>
      </c>
      <c r="F2569" s="3" t="s">
        <v>20</v>
      </c>
      <c r="G2569" s="3" t="s">
        <v>10406</v>
      </c>
      <c r="H2569" s="1" t="s">
        <v>22</v>
      </c>
      <c r="I2569" s="1" t="n">
        <v>20240429161320</v>
      </c>
      <c r="J2569" s="3" t="s">
        <v>10360</v>
      </c>
      <c r="K2569" s="3" t="s">
        <v>10361</v>
      </c>
      <c r="L2569" s="3" t="s">
        <v>10407</v>
      </c>
      <c r="M2569" s="3" t="n">
        <v>958841</v>
      </c>
      <c r="N2569" s="3" t="s">
        <v>1128</v>
      </c>
      <c r="O2569" s="1" t="n">
        <v>942455</v>
      </c>
      <c r="P2569" s="1" t="n">
        <v>98.29</v>
      </c>
      <c r="Q2569" s="1" t="s">
        <v>20</v>
      </c>
      <c r="R2569" s="1" t="s">
        <v>27</v>
      </c>
      <c r="S2569" s="1" t="s">
        <v>28</v>
      </c>
      <c r="T2569" s="1" t="s">
        <v>29</v>
      </c>
    </row>
    <row r="2570" customFormat="false" ht="18.7" hidden="false" customHeight="true" outlineLevel="0" collapsed="false">
      <c r="A2570" s="1" t="n">
        <v>2569</v>
      </c>
      <c r="B2570" s="6" t="str">
        <f aca="false">HYPERLINK("https://mncourtfraud.com/file/MCRO_27-CR-22-13941_Notice of Remote Hearing with Instructions_2023-11-07_20240429161308.pdf","MCRO_27-CR-22-13941_Notice of Remote Hearing with Instructions_2023-11-07_20240429161308.pdf")</f>
        <v>MCRO_27-CR-22-13941_Notice of Remote Hearing with Instructions_2023-11-07_20240429161308.pdf</v>
      </c>
      <c r="C2570" s="1" t="n">
        <v>5</v>
      </c>
      <c r="D2570" s="1" t="n">
        <v>1</v>
      </c>
      <c r="E2570" s="1" t="n">
        <v>1</v>
      </c>
      <c r="F2570" s="3" t="s">
        <v>20</v>
      </c>
      <c r="G2570" s="3" t="s">
        <v>10408</v>
      </c>
      <c r="H2570" s="1" t="s">
        <v>22</v>
      </c>
      <c r="I2570" s="1" t="n">
        <v>20240429161308</v>
      </c>
      <c r="J2570" s="3" t="s">
        <v>10409</v>
      </c>
      <c r="K2570" s="3" t="s">
        <v>10410</v>
      </c>
      <c r="L2570" s="3" t="s">
        <v>10411</v>
      </c>
      <c r="M2570" s="3" t="n">
        <v>854644</v>
      </c>
      <c r="N2570" s="3" t="s">
        <v>1248</v>
      </c>
      <c r="O2570" s="1" t="n">
        <v>838258</v>
      </c>
      <c r="P2570" s="1" t="n">
        <v>98.08</v>
      </c>
      <c r="Q2570" s="1" t="s">
        <v>20</v>
      </c>
      <c r="R2570" s="1" t="s">
        <v>27</v>
      </c>
      <c r="S2570" s="1" t="s">
        <v>28</v>
      </c>
      <c r="T2570" s="1" t="s">
        <v>29</v>
      </c>
    </row>
    <row r="2571" customFormat="false" ht="18.7" hidden="false" customHeight="true" outlineLevel="0" collapsed="false">
      <c r="A2571" s="1" t="n">
        <v>2570</v>
      </c>
      <c r="B2571" s="6" t="str">
        <f aca="false">HYPERLINK("https://mncourtfraud.com/file/MCRO_27-CR-22-13941_Notice of Remote Hearing with Instructions_2024-01-16_20240429161305.pdf","MCRO_27-CR-22-13941_Notice of Remote Hearing with Instructions_2024-01-16_20240429161305.pdf")</f>
        <v>MCRO_27-CR-22-13941_Notice of Remote Hearing with Instructions_2024-01-16_20240429161305.pdf</v>
      </c>
      <c r="C2571" s="1" t="n">
        <v>4</v>
      </c>
      <c r="D2571" s="1" t="n">
        <v>1</v>
      </c>
      <c r="E2571" s="1" t="n">
        <v>1</v>
      </c>
      <c r="F2571" s="3" t="s">
        <v>20</v>
      </c>
      <c r="G2571" s="3" t="s">
        <v>10412</v>
      </c>
      <c r="H2571" s="1" t="s">
        <v>22</v>
      </c>
      <c r="I2571" s="1" t="n">
        <v>20240429161305</v>
      </c>
      <c r="J2571" s="3" t="s">
        <v>10413</v>
      </c>
      <c r="K2571" s="3" t="s">
        <v>10414</v>
      </c>
      <c r="L2571" s="3" t="s">
        <v>10415</v>
      </c>
      <c r="M2571" s="3" t="n">
        <v>269390</v>
      </c>
      <c r="N2571" s="3" t="s">
        <v>74</v>
      </c>
      <c r="O2571" s="1" t="n">
        <v>253004</v>
      </c>
      <c r="P2571" s="1" t="n">
        <v>93.92</v>
      </c>
      <c r="Q2571" s="1" t="s">
        <v>20</v>
      </c>
      <c r="R2571" s="1" t="s">
        <v>27</v>
      </c>
      <c r="S2571" s="1" t="s">
        <v>28</v>
      </c>
      <c r="T2571" s="1" t="s">
        <v>29</v>
      </c>
    </row>
    <row r="2572" customFormat="false" ht="18.7" hidden="false" customHeight="true" outlineLevel="0" collapsed="false">
      <c r="A2572" s="1" t="n">
        <v>2571</v>
      </c>
      <c r="B2572" s="6" t="str">
        <f aca="false">HYPERLINK("https://mncourtfraud.com/file/MCRO_27-CR-22-13941_Notice of Remote Hearing with Instructions_2024-02-20_20240429161302.pdf","MCRO_27-CR-22-13941_Notice of Remote Hearing with Instructions_2024-02-20_20240429161302.pdf")</f>
        <v>MCRO_27-CR-22-13941_Notice of Remote Hearing with Instructions_2024-02-20_20240429161302.pdf</v>
      </c>
      <c r="C2572" s="1" t="n">
        <v>4</v>
      </c>
      <c r="D2572" s="1" t="n">
        <v>1</v>
      </c>
      <c r="E2572" s="1" t="n">
        <v>1</v>
      </c>
      <c r="F2572" s="3" t="s">
        <v>20</v>
      </c>
      <c r="G2572" s="3" t="s">
        <v>10416</v>
      </c>
      <c r="H2572" s="1" t="s">
        <v>22</v>
      </c>
      <c r="I2572" s="1" t="n">
        <v>20240429161302</v>
      </c>
      <c r="J2572" s="3" t="s">
        <v>10417</v>
      </c>
      <c r="K2572" s="3" t="s">
        <v>10418</v>
      </c>
      <c r="L2572" s="3" t="s">
        <v>10419</v>
      </c>
      <c r="M2572" s="3" t="n">
        <v>165965</v>
      </c>
      <c r="N2572" s="3" t="s">
        <v>361</v>
      </c>
      <c r="O2572" s="1" t="n">
        <v>149579</v>
      </c>
      <c r="P2572" s="1" t="n">
        <v>90.13</v>
      </c>
      <c r="Q2572" s="1" t="s">
        <v>20</v>
      </c>
      <c r="R2572" s="1" t="s">
        <v>27</v>
      </c>
      <c r="S2572" s="1" t="s">
        <v>28</v>
      </c>
      <c r="T2572" s="1" t="s">
        <v>29</v>
      </c>
    </row>
    <row r="2573" customFormat="false" ht="18.7" hidden="false" customHeight="true" outlineLevel="0" collapsed="false">
      <c r="A2573" s="1" t="n">
        <v>2572</v>
      </c>
      <c r="B2573" s="6" t="str">
        <f aca="false">HYPERLINK("https://mncourtfraud.com/file/MCRO_27-CR-22-13941_Notice of Remote Hearing with Instructions_2024-04-24_20240429161259.pdf","MCRO_27-CR-22-13941_Notice of Remote Hearing with Instructions_2024-04-24_20240429161259.pdf")</f>
        <v>MCRO_27-CR-22-13941_Notice of Remote Hearing with Instructions_2024-04-24_20240429161259.pdf</v>
      </c>
      <c r="C2573" s="1" t="n">
        <v>4</v>
      </c>
      <c r="D2573" s="1" t="n">
        <v>1</v>
      </c>
      <c r="E2573" s="1" t="n">
        <v>1</v>
      </c>
      <c r="F2573" s="3" t="s">
        <v>20</v>
      </c>
      <c r="G2573" s="3" t="s">
        <v>10420</v>
      </c>
      <c r="H2573" s="1" t="s">
        <v>22</v>
      </c>
      <c r="I2573" s="1" t="n">
        <v>20240429161259</v>
      </c>
      <c r="J2573" s="3" t="s">
        <v>10421</v>
      </c>
      <c r="K2573" s="3" t="s">
        <v>10422</v>
      </c>
      <c r="L2573" s="3" t="s">
        <v>10423</v>
      </c>
      <c r="M2573" s="3" t="n">
        <v>168629</v>
      </c>
      <c r="N2573" s="3" t="s">
        <v>158</v>
      </c>
      <c r="O2573" s="1" t="n">
        <v>152243</v>
      </c>
      <c r="P2573" s="1" t="n">
        <v>90.28</v>
      </c>
      <c r="Q2573" s="1" t="s">
        <v>20</v>
      </c>
      <c r="R2573" s="1" t="s">
        <v>27</v>
      </c>
      <c r="S2573" s="1" t="s">
        <v>28</v>
      </c>
      <c r="T2573" s="1" t="s">
        <v>29</v>
      </c>
    </row>
    <row r="2574" customFormat="false" ht="18.7" hidden="false" customHeight="true" outlineLevel="0" collapsed="false">
      <c r="A2574" s="1" t="n">
        <v>2573</v>
      </c>
      <c r="B2574" s="6" t="str">
        <f aca="false">HYPERLINK("https://mncourtfraud.com/file/MCRO_27-CR-22-13941_Order-Evaluation for Competency to Proceed (Rule 20.01)_2023-01-20_20240429161314.pdf","MCRO_27-CR-22-13941_Order-Evaluation for Competency to Proceed (Rule 20.01)_2023-01-20_20240429161314.pdf")</f>
        <v>MCRO_27-CR-22-13941_Order-Evaluation for Competency to Proceed (Rule 20.01)_2023-01-20_20240429161314.pdf</v>
      </c>
      <c r="C2574" s="1" t="n">
        <v>5</v>
      </c>
      <c r="D2574" s="1" t="n">
        <v>2</v>
      </c>
      <c r="E2574" s="1" t="n">
        <v>2</v>
      </c>
      <c r="F2574" s="3" t="s">
        <v>20</v>
      </c>
      <c r="G2574" s="3" t="s">
        <v>10424</v>
      </c>
      <c r="H2574" s="1" t="s">
        <v>22</v>
      </c>
      <c r="I2574" s="1" t="n">
        <v>20240429161314</v>
      </c>
      <c r="J2574" s="3" t="s">
        <v>10425</v>
      </c>
      <c r="K2574" s="3" t="s">
        <v>10426</v>
      </c>
      <c r="L2574" s="3" t="s">
        <v>10427</v>
      </c>
      <c r="M2574" s="3" t="n">
        <v>938791</v>
      </c>
      <c r="N2574" s="3" t="s">
        <v>79</v>
      </c>
      <c r="O2574" s="1" t="n">
        <v>922405</v>
      </c>
      <c r="P2574" s="1" t="n">
        <v>98.25</v>
      </c>
      <c r="Q2574" s="1" t="s">
        <v>20</v>
      </c>
      <c r="R2574" s="1" t="s">
        <v>27</v>
      </c>
      <c r="S2574" s="1" t="s">
        <v>28</v>
      </c>
      <c r="T2574" s="1" t="s">
        <v>29</v>
      </c>
    </row>
    <row r="2575" customFormat="false" ht="18.7" hidden="false" customHeight="true" outlineLevel="0" collapsed="false">
      <c r="A2575" s="1" t="n">
        <v>2574</v>
      </c>
      <c r="B2575" s="6" t="str">
        <f aca="false">HYPERLINK("https://mncourtfraud.com/file/MCRO_27-CR-22-13941_Order-Evaluation for Competency to Proceed (Rule 20.01)_2023-08-28_20240429161310.pdf","MCRO_27-CR-22-13941_Order-Evaluation for Competency to Proceed (Rule 20.01)_2023-08-28_20240429161310.pdf")</f>
        <v>MCRO_27-CR-22-13941_Order-Evaluation for Competency to Proceed (Rule 20.01)_2023-08-28_20240429161310.pdf</v>
      </c>
      <c r="C2575" s="1" t="n">
        <v>6</v>
      </c>
      <c r="D2575" s="1" t="n">
        <v>2</v>
      </c>
      <c r="E2575" s="1" t="n">
        <v>2</v>
      </c>
      <c r="F2575" s="3" t="s">
        <v>27</v>
      </c>
      <c r="G2575" s="3" t="s">
        <v>10428</v>
      </c>
      <c r="H2575" s="1" t="s">
        <v>22</v>
      </c>
      <c r="I2575" s="1" t="n">
        <v>20240429161310</v>
      </c>
      <c r="J2575" s="3" t="s">
        <v>10429</v>
      </c>
      <c r="K2575" s="3" t="s">
        <v>10430</v>
      </c>
      <c r="L2575" s="3" t="s">
        <v>10431</v>
      </c>
      <c r="M2575" s="3" t="n">
        <v>866160</v>
      </c>
      <c r="N2575" s="3" t="s">
        <v>3480</v>
      </c>
      <c r="O2575" s="1" t="n">
        <v>849774</v>
      </c>
      <c r="P2575" s="1" t="n">
        <v>98.11</v>
      </c>
      <c r="Q2575" s="1" t="s">
        <v>20</v>
      </c>
      <c r="R2575" s="1" t="s">
        <v>27</v>
      </c>
      <c r="S2575" s="1" t="s">
        <v>28</v>
      </c>
      <c r="T2575" s="1" t="s">
        <v>29</v>
      </c>
    </row>
    <row r="2576" customFormat="false" ht="18.7" hidden="false" customHeight="true" outlineLevel="0" collapsed="false">
      <c r="A2576" s="1" t="n">
        <v>2575</v>
      </c>
      <c r="B2576" s="6" t="str">
        <f aca="false">HYPERLINK("https://mncourtfraud.com/file/MCRO_27-CR-22-13941_Petition to Enter Guilty Plea_2022-12-05_20240429161315.pdf","MCRO_27-CR-22-13941_Petition to Enter Guilty Plea_2022-12-05_20240429161315.pdf")</f>
        <v>MCRO_27-CR-22-13941_Petition to Enter Guilty Plea_2022-12-05_20240429161315.pdf</v>
      </c>
      <c r="C2576" s="1" t="n">
        <v>3</v>
      </c>
      <c r="D2576" s="1" t="n">
        <v>1</v>
      </c>
      <c r="E2576" s="1" t="n">
        <v>1</v>
      </c>
      <c r="F2576" s="3" t="s">
        <v>20</v>
      </c>
      <c r="G2576" s="3" t="s">
        <v>10432</v>
      </c>
      <c r="H2576" s="1" t="s">
        <v>22</v>
      </c>
      <c r="I2576" s="1" t="n">
        <v>20240429161315</v>
      </c>
      <c r="J2576" s="3" t="s">
        <v>10433</v>
      </c>
      <c r="K2576" s="3" t="s">
        <v>10434</v>
      </c>
      <c r="L2576" s="3" t="s">
        <v>10435</v>
      </c>
      <c r="M2576" s="3" t="n">
        <v>305304</v>
      </c>
      <c r="N2576" s="3" t="s">
        <v>10436</v>
      </c>
      <c r="O2576" s="1" t="n">
        <v>288918</v>
      </c>
      <c r="P2576" s="1" t="n">
        <v>94.63</v>
      </c>
      <c r="Q2576" s="1" t="s">
        <v>20</v>
      </c>
      <c r="R2576" s="1" t="s">
        <v>27</v>
      </c>
      <c r="S2576" s="1" t="s">
        <v>28</v>
      </c>
      <c r="T2576" s="1" t="s">
        <v>29</v>
      </c>
    </row>
    <row r="2577" customFormat="false" ht="18.7" hidden="false" customHeight="true" outlineLevel="0" collapsed="false">
      <c r="A2577" s="1" t="n">
        <v>2576</v>
      </c>
      <c r="B2577" s="6" t="str">
        <f aca="false">HYPERLINK("https://mncourtfraud.com/file/MCRO_27-CR-22-13941_Probation Referral Notification_2022-12-05_20240429161317.pdf","MCRO_27-CR-22-13941_Probation Referral Notification_2022-12-05_20240429161317.pdf")</f>
        <v>MCRO_27-CR-22-13941_Probation Referral Notification_2022-12-05_20240429161317.pdf</v>
      </c>
      <c r="C2577" s="1" t="n">
        <v>4</v>
      </c>
      <c r="D2577" s="1" t="n">
        <v>1</v>
      </c>
      <c r="E2577" s="1" t="n">
        <v>1</v>
      </c>
      <c r="F2577" s="3" t="s">
        <v>20</v>
      </c>
      <c r="G2577" s="3" t="s">
        <v>10437</v>
      </c>
      <c r="H2577" s="1" t="s">
        <v>22</v>
      </c>
      <c r="I2577" s="1" t="n">
        <v>20240429161317</v>
      </c>
      <c r="J2577" s="3" t="s">
        <v>10438</v>
      </c>
      <c r="K2577" s="3" t="s">
        <v>10439</v>
      </c>
      <c r="L2577" s="3" t="s">
        <v>10440</v>
      </c>
      <c r="M2577" s="3" t="n">
        <v>768032</v>
      </c>
      <c r="N2577" s="3" t="s">
        <v>4585</v>
      </c>
      <c r="O2577" s="1" t="n">
        <v>751646</v>
      </c>
      <c r="P2577" s="1" t="n">
        <v>97.87</v>
      </c>
      <c r="Q2577" s="1" t="s">
        <v>20</v>
      </c>
      <c r="R2577" s="1" t="s">
        <v>27</v>
      </c>
      <c r="S2577" s="1" t="s">
        <v>28</v>
      </c>
      <c r="T2577" s="1" t="s">
        <v>29</v>
      </c>
    </row>
    <row r="2578" customFormat="false" ht="18.7" hidden="false" customHeight="true" outlineLevel="0" collapsed="false">
      <c r="A2578" s="1" t="n">
        <v>2577</v>
      </c>
      <c r="B2578" s="6" t="str">
        <f aca="false">HYPERLINK("https://mncourtfraud.com/file/MCRO_27-CR-22-13941_Transcript_2023-11-06_20240429161309.pdf","MCRO_27-CR-22-13941_Transcript_2023-11-06_20240429161309.pdf")</f>
        <v>MCRO_27-CR-22-13941_Transcript_2023-11-06_20240429161309.pdf</v>
      </c>
      <c r="C2578" s="1" t="n">
        <v>3</v>
      </c>
      <c r="D2578" s="1" t="n">
        <v>1</v>
      </c>
      <c r="E2578" s="1" t="n">
        <v>1</v>
      </c>
      <c r="F2578" s="3" t="s">
        <v>20</v>
      </c>
      <c r="G2578" s="3" t="s">
        <v>10441</v>
      </c>
      <c r="H2578" s="1" t="s">
        <v>22</v>
      </c>
      <c r="I2578" s="1" t="n">
        <v>20240429161309</v>
      </c>
      <c r="J2578" s="3" t="s">
        <v>10442</v>
      </c>
      <c r="K2578" s="3" t="s">
        <v>10443</v>
      </c>
      <c r="L2578" s="3" t="s">
        <v>10444</v>
      </c>
      <c r="M2578" s="3" t="n">
        <v>718375</v>
      </c>
      <c r="N2578" s="3" t="s">
        <v>665</v>
      </c>
      <c r="O2578" s="1" t="n">
        <v>701989</v>
      </c>
      <c r="P2578" s="1" t="n">
        <v>97.72</v>
      </c>
      <c r="Q2578" s="1" t="s">
        <v>20</v>
      </c>
      <c r="R2578" s="1" t="s">
        <v>27</v>
      </c>
      <c r="S2578" s="1" t="s">
        <v>28</v>
      </c>
      <c r="T2578" s="1" t="s">
        <v>29</v>
      </c>
    </row>
    <row r="2579" customFormat="false" ht="18.7" hidden="false" customHeight="true" outlineLevel="0" collapsed="false">
      <c r="A2579" s="1" t="n">
        <v>2578</v>
      </c>
      <c r="B2579" s="6" t="str">
        <f aca="false">HYPERLINK("https://mncourtfraud.com/file/MCRO_27-CR-22-13941_Witness List_2022-11-16_20240429161319.pdf","MCRO_27-CR-22-13941_Witness List_2022-11-16_20240429161319.pdf")</f>
        <v>MCRO_27-CR-22-13941_Witness List_2022-11-16_20240429161319.pdf</v>
      </c>
      <c r="C2579" s="1" t="n">
        <v>4</v>
      </c>
      <c r="D2579" s="1" t="n">
        <v>1</v>
      </c>
      <c r="E2579" s="1" t="n">
        <v>1</v>
      </c>
      <c r="F2579" s="3" t="s">
        <v>20</v>
      </c>
      <c r="G2579" s="3" t="s">
        <v>10445</v>
      </c>
      <c r="H2579" s="1" t="s">
        <v>22</v>
      </c>
      <c r="I2579" s="1" t="n">
        <v>20240429161319</v>
      </c>
      <c r="J2579" s="3" t="s">
        <v>10446</v>
      </c>
      <c r="K2579" s="3" t="s">
        <v>10447</v>
      </c>
      <c r="L2579" s="3" t="s">
        <v>10448</v>
      </c>
      <c r="M2579" s="3" t="n">
        <v>407918</v>
      </c>
      <c r="N2579" s="3" t="s">
        <v>913</v>
      </c>
      <c r="O2579" s="1" t="n">
        <v>391532</v>
      </c>
      <c r="P2579" s="1" t="n">
        <v>95.98</v>
      </c>
      <c r="Q2579" s="1" t="s">
        <v>20</v>
      </c>
      <c r="R2579" s="1" t="s">
        <v>27</v>
      </c>
      <c r="S2579" s="1" t="s">
        <v>28</v>
      </c>
      <c r="T2579" s="1" t="s">
        <v>29</v>
      </c>
    </row>
    <row r="2580" customFormat="false" ht="18.7" hidden="false" customHeight="true" outlineLevel="0" collapsed="false">
      <c r="A2580" s="1" t="n">
        <v>2579</v>
      </c>
      <c r="B2580" s="6" t="str">
        <f aca="false">HYPERLINK("https://mncourtfraud.com/file/MCRO_27-CR-22-14493_E-filed Comp-Summons_2022-07-26_20240429161536.pdf","MCRO_27-CR-22-14493_E-filed Comp-Summons_2022-07-26_20240429161536.pdf")</f>
        <v>MCRO_27-CR-22-14493_E-filed Comp-Summons_2022-07-26_20240429161536.pdf</v>
      </c>
      <c r="C2580" s="1" t="n">
        <v>5</v>
      </c>
      <c r="D2580" s="1" t="n">
        <v>2</v>
      </c>
      <c r="E2580" s="1" t="n">
        <v>2</v>
      </c>
      <c r="F2580" s="3" t="s">
        <v>20</v>
      </c>
      <c r="G2580" s="3" t="s">
        <v>10449</v>
      </c>
      <c r="H2580" s="1" t="s">
        <v>22</v>
      </c>
      <c r="I2580" s="1" t="n">
        <v>20240429161536</v>
      </c>
      <c r="J2580" s="3" t="s">
        <v>10450</v>
      </c>
      <c r="K2580" s="3" t="s">
        <v>10451</v>
      </c>
      <c r="L2580" s="3" t="s">
        <v>10452</v>
      </c>
      <c r="M2580" s="3" t="n">
        <v>442447</v>
      </c>
      <c r="N2580" s="3" t="s">
        <v>4929</v>
      </c>
      <c r="O2580" s="1" t="n">
        <v>426061</v>
      </c>
      <c r="P2580" s="1" t="n">
        <v>96.3</v>
      </c>
      <c r="Q2580" s="1" t="s">
        <v>20</v>
      </c>
      <c r="R2580" s="1" t="s">
        <v>27</v>
      </c>
      <c r="S2580" s="1" t="s">
        <v>28</v>
      </c>
      <c r="T2580" s="1" t="s">
        <v>29</v>
      </c>
    </row>
    <row r="2581" customFormat="false" ht="18.7" hidden="false" customHeight="true" outlineLevel="0" collapsed="false">
      <c r="A2581" s="1" t="n">
        <v>2580</v>
      </c>
      <c r="B2581" s="6" t="str">
        <f aca="false">HYPERLINK("https://mncourtfraud.com/file/MCRO_27-CR-22-14493_Finding of Incompetency and Order_2024-02-27_20240429161527.pdf","MCRO_27-CR-22-14493_Finding of Incompetency and Order_2024-02-27_20240429161527.pdf")</f>
        <v>MCRO_27-CR-22-14493_Finding of Incompetency and Order_2024-02-27_20240429161527.pdf</v>
      </c>
      <c r="C2581" s="1" t="n">
        <v>5</v>
      </c>
      <c r="D2581" s="1" t="n">
        <v>1</v>
      </c>
      <c r="E2581" s="1" t="n">
        <v>1</v>
      </c>
      <c r="F2581" s="3" t="s">
        <v>20</v>
      </c>
      <c r="G2581" s="3" t="s">
        <v>10453</v>
      </c>
      <c r="H2581" s="1" t="s">
        <v>22</v>
      </c>
      <c r="I2581" s="1" t="n">
        <v>20240429161527</v>
      </c>
      <c r="J2581" s="3" t="s">
        <v>10454</v>
      </c>
      <c r="K2581" s="3" t="s">
        <v>10455</v>
      </c>
      <c r="L2581" s="3" t="s">
        <v>10456</v>
      </c>
      <c r="M2581" s="3" t="n">
        <v>828275</v>
      </c>
      <c r="N2581" s="3" t="s">
        <v>5856</v>
      </c>
      <c r="O2581" s="1" t="n">
        <v>811889</v>
      </c>
      <c r="P2581" s="1" t="n">
        <v>98.02</v>
      </c>
      <c r="Q2581" s="1" t="s">
        <v>20</v>
      </c>
      <c r="R2581" s="1" t="s">
        <v>27</v>
      </c>
      <c r="S2581" s="1" t="s">
        <v>28</v>
      </c>
      <c r="T2581" s="1" t="s">
        <v>29</v>
      </c>
    </row>
    <row r="2582" customFormat="false" ht="18.7" hidden="false" customHeight="true" outlineLevel="0" collapsed="false">
      <c r="A2582" s="1" t="n">
        <v>2581</v>
      </c>
      <c r="B2582" s="6" t="str">
        <f aca="false">HYPERLINK("https://mncourtfraud.com/file/MCRO_27-CR-22-14493_Notice of Hearing_2023-05-08_20240429161533.pdf","MCRO_27-CR-22-14493_Notice of Hearing_2023-05-08_20240429161533.pdf")</f>
        <v>MCRO_27-CR-22-14493_Notice of Hearing_2023-05-08_20240429161533.pdf</v>
      </c>
      <c r="C2582" s="1" t="n">
        <v>4</v>
      </c>
      <c r="D2582" s="1" t="n">
        <v>1</v>
      </c>
      <c r="E2582" s="1" t="n">
        <v>1</v>
      </c>
      <c r="F2582" s="3" t="s">
        <v>20</v>
      </c>
      <c r="G2582" s="3" t="s">
        <v>10457</v>
      </c>
      <c r="H2582" s="1" t="s">
        <v>22</v>
      </c>
      <c r="I2582" s="1" t="n">
        <v>20240429161533</v>
      </c>
      <c r="J2582" s="3" t="s">
        <v>10458</v>
      </c>
      <c r="K2582" s="3" t="s">
        <v>10459</v>
      </c>
      <c r="L2582" s="3" t="s">
        <v>10460</v>
      </c>
      <c r="M2582" s="3" t="n">
        <v>98834</v>
      </c>
      <c r="N2582" s="3" t="s">
        <v>435</v>
      </c>
      <c r="O2582" s="1" t="n">
        <v>82448</v>
      </c>
      <c r="P2582" s="1" t="n">
        <v>83.42</v>
      </c>
      <c r="Q2582" s="1" t="s">
        <v>20</v>
      </c>
      <c r="R2582" s="1" t="s">
        <v>27</v>
      </c>
      <c r="S2582" s="1" t="s">
        <v>28</v>
      </c>
      <c r="T2582" s="1" t="s">
        <v>29</v>
      </c>
    </row>
    <row r="2583" customFormat="false" ht="18.7" hidden="false" customHeight="true" outlineLevel="0" collapsed="false">
      <c r="A2583" s="1" t="n">
        <v>2582</v>
      </c>
      <c r="B2583" s="6" t="str">
        <f aca="false">HYPERLINK("https://mncourtfraud.com/file/MCRO_27-CR-22-14493_Notice of Remote Hearing with Instructions_2023-08-22_20240429161530.pdf","MCRO_27-CR-22-14493_Notice of Remote Hearing with Instructions_2023-08-22_20240429161530.pdf")</f>
        <v>MCRO_27-CR-22-14493_Notice of Remote Hearing with Instructions_2023-08-22_20240429161530.pdf</v>
      </c>
      <c r="C2583" s="1" t="n">
        <v>5</v>
      </c>
      <c r="D2583" s="1" t="n">
        <v>1</v>
      </c>
      <c r="E2583" s="1" t="n">
        <v>1</v>
      </c>
      <c r="F2583" s="3" t="s">
        <v>20</v>
      </c>
      <c r="G2583" s="3" t="s">
        <v>10461</v>
      </c>
      <c r="H2583" s="1" t="s">
        <v>22</v>
      </c>
      <c r="I2583" s="1" t="n">
        <v>20240429161530</v>
      </c>
      <c r="J2583" s="3" t="s">
        <v>10462</v>
      </c>
      <c r="K2583" s="3" t="s">
        <v>10463</v>
      </c>
      <c r="L2583" s="3" t="s">
        <v>10464</v>
      </c>
      <c r="M2583" s="3" t="n">
        <v>846097</v>
      </c>
      <c r="N2583" s="3" t="s">
        <v>510</v>
      </c>
      <c r="O2583" s="1" t="n">
        <v>829711</v>
      </c>
      <c r="P2583" s="1" t="n">
        <v>98.06</v>
      </c>
      <c r="Q2583" s="1" t="s">
        <v>20</v>
      </c>
      <c r="R2583" s="1" t="s">
        <v>27</v>
      </c>
      <c r="S2583" s="1" t="s">
        <v>28</v>
      </c>
      <c r="T2583" s="1" t="s">
        <v>29</v>
      </c>
    </row>
    <row r="2584" customFormat="false" ht="18.7" hidden="false" customHeight="true" outlineLevel="0" collapsed="false">
      <c r="A2584" s="1" t="n">
        <v>2583</v>
      </c>
      <c r="B2584" s="6" t="str">
        <f aca="false">HYPERLINK("https://mncourtfraud.com/file/MCRO_27-CR-22-14493_Order-Evaluation for Competency to Proceed (Rule 20.01)_2023-06-07_20240429161532.pdf","MCRO_27-CR-22-14493_Order-Evaluation for Competency to Proceed (Rule 20.01)_2023-06-07_20240429161532.pdf")</f>
        <v>MCRO_27-CR-22-14493_Order-Evaluation for Competency to Proceed (Rule 20.01)_2023-06-07_20240429161532.pdf</v>
      </c>
      <c r="C2584" s="1" t="n">
        <v>5</v>
      </c>
      <c r="D2584" s="1" t="n">
        <v>2</v>
      </c>
      <c r="E2584" s="1" t="n">
        <v>2</v>
      </c>
      <c r="F2584" s="3" t="s">
        <v>27</v>
      </c>
      <c r="G2584" s="3" t="s">
        <v>10465</v>
      </c>
      <c r="H2584" s="1" t="s">
        <v>22</v>
      </c>
      <c r="I2584" s="1" t="n">
        <v>20240429161532</v>
      </c>
      <c r="J2584" s="3" t="s">
        <v>10466</v>
      </c>
      <c r="K2584" s="3" t="s">
        <v>10467</v>
      </c>
      <c r="L2584" s="3" t="s">
        <v>10468</v>
      </c>
      <c r="M2584" s="3" t="n">
        <v>987375</v>
      </c>
      <c r="N2584" s="3" t="s">
        <v>6104</v>
      </c>
      <c r="O2584" s="1" t="n">
        <v>970989</v>
      </c>
      <c r="P2584" s="1" t="n">
        <v>98.34</v>
      </c>
      <c r="Q2584" s="1" t="s">
        <v>20</v>
      </c>
      <c r="R2584" s="1" t="s">
        <v>27</v>
      </c>
      <c r="S2584" s="1" t="s">
        <v>28</v>
      </c>
      <c r="T2584" s="1" t="s">
        <v>29</v>
      </c>
    </row>
    <row r="2585" customFormat="false" ht="18.7" hidden="false" customHeight="true" outlineLevel="0" collapsed="false">
      <c r="A2585" s="1" t="n">
        <v>2584</v>
      </c>
      <c r="B2585" s="6" t="str">
        <f aca="false">HYPERLINK("https://mncourtfraud.com/file/MCRO_27-CR-22-14493_Order-Evaluation for Competency to Proceed (Rule 20.01)_2024-01-29_20240429161528.pdf","MCRO_27-CR-22-14493_Order-Evaluation for Competency to Proceed (Rule 20.01)_2024-01-29_20240429161528.pdf")</f>
        <v>MCRO_27-CR-22-14493_Order-Evaluation for Competency to Proceed (Rule 20.01)_2024-01-29_20240429161528.pdf</v>
      </c>
      <c r="C2585" s="1" t="n">
        <v>6</v>
      </c>
      <c r="D2585" s="1" t="n">
        <v>2</v>
      </c>
      <c r="E2585" s="1" t="n">
        <v>2</v>
      </c>
      <c r="F2585" s="3" t="s">
        <v>27</v>
      </c>
      <c r="G2585" s="3" t="s">
        <v>10469</v>
      </c>
      <c r="H2585" s="1" t="s">
        <v>22</v>
      </c>
      <c r="I2585" s="1" t="n">
        <v>20240429161528</v>
      </c>
      <c r="J2585" s="3" t="s">
        <v>10470</v>
      </c>
      <c r="K2585" s="3" t="s">
        <v>10471</v>
      </c>
      <c r="L2585" s="3" t="s">
        <v>10472</v>
      </c>
      <c r="M2585" s="3" t="n">
        <v>916982</v>
      </c>
      <c r="N2585" s="3" t="s">
        <v>764</v>
      </c>
      <c r="O2585" s="1" t="n">
        <v>900596</v>
      </c>
      <c r="P2585" s="1" t="n">
        <v>98.21</v>
      </c>
      <c r="Q2585" s="1" t="s">
        <v>20</v>
      </c>
      <c r="R2585" s="1" t="s">
        <v>27</v>
      </c>
      <c r="S2585" s="1" t="s">
        <v>28</v>
      </c>
      <c r="T2585" s="1" t="s">
        <v>29</v>
      </c>
    </row>
    <row r="2586" customFormat="false" ht="18.7" hidden="false" customHeight="true" outlineLevel="0" collapsed="false">
      <c r="A2586" s="1" t="n">
        <v>2585</v>
      </c>
      <c r="B2586" s="6" t="str">
        <f aca="false">HYPERLINK("https://mncourtfraud.com/file/MCRO_27-CR-22-14493_Prosecutor's Offer_2024-01-18_20240429161529.pdf","MCRO_27-CR-22-14493_Prosecutor's Offer_2024-01-18_20240429161529.pdf")</f>
        <v>MCRO_27-CR-22-14493_Prosecutor's Offer_2024-01-18_20240429161529.pdf</v>
      </c>
      <c r="C2586" s="1" t="n">
        <v>3</v>
      </c>
      <c r="D2586" s="1" t="n">
        <v>1</v>
      </c>
      <c r="E2586" s="1" t="n">
        <v>1</v>
      </c>
      <c r="F2586" s="3" t="s">
        <v>20</v>
      </c>
      <c r="G2586" s="3" t="s">
        <v>10473</v>
      </c>
      <c r="H2586" s="1" t="s">
        <v>22</v>
      </c>
      <c r="I2586" s="1" t="n">
        <v>20240429161529</v>
      </c>
      <c r="J2586" s="3" t="s">
        <v>10474</v>
      </c>
      <c r="K2586" s="3" t="s">
        <v>10475</v>
      </c>
      <c r="L2586" s="3" t="s">
        <v>10476</v>
      </c>
      <c r="M2586" s="3" t="n">
        <v>66481</v>
      </c>
      <c r="N2586" s="3" t="s">
        <v>409</v>
      </c>
      <c r="O2586" s="1" t="n">
        <v>50095</v>
      </c>
      <c r="P2586" s="1" t="n">
        <v>75.35</v>
      </c>
      <c r="Q2586" s="1" t="s">
        <v>20</v>
      </c>
      <c r="R2586" s="1" t="s">
        <v>27</v>
      </c>
      <c r="S2586" s="1" t="s">
        <v>28</v>
      </c>
      <c r="T2586" s="1" t="s">
        <v>29</v>
      </c>
    </row>
    <row r="2587" customFormat="false" ht="18.7" hidden="false" customHeight="true" outlineLevel="0" collapsed="false">
      <c r="A2587" s="1" t="n">
        <v>2586</v>
      </c>
      <c r="B2587" s="6" t="str">
        <f aca="false">HYPERLINK("https://mncourtfraud.com/file/MCRO_27-CR-22-14493_Summons_2022-07-26_20240429161535.pdf","MCRO_27-CR-22-14493_Summons_2022-07-26_20240429161535.pdf")</f>
        <v>MCRO_27-CR-22-14493_Summons_2022-07-26_20240429161535.pdf</v>
      </c>
      <c r="C2587" s="1" t="n">
        <v>5</v>
      </c>
      <c r="D2587" s="1" t="n">
        <v>1</v>
      </c>
      <c r="E2587" s="1" t="n">
        <v>1</v>
      </c>
      <c r="F2587" s="3" t="s">
        <v>20</v>
      </c>
      <c r="G2587" s="3" t="s">
        <v>10477</v>
      </c>
      <c r="H2587" s="1" t="s">
        <v>22</v>
      </c>
      <c r="I2587" s="1" t="n">
        <v>20240429161535</v>
      </c>
      <c r="J2587" s="3" t="s">
        <v>10478</v>
      </c>
      <c r="K2587" s="3" t="s">
        <v>10479</v>
      </c>
      <c r="L2587" s="3" t="s">
        <v>10480</v>
      </c>
      <c r="M2587" s="3" t="n">
        <v>701041</v>
      </c>
      <c r="N2587" s="3" t="s">
        <v>2723</v>
      </c>
      <c r="O2587" s="1" t="n">
        <v>684655</v>
      </c>
      <c r="P2587" s="1" t="n">
        <v>97.66</v>
      </c>
      <c r="Q2587" s="1" t="s">
        <v>20</v>
      </c>
      <c r="R2587" s="1" t="s">
        <v>27</v>
      </c>
      <c r="S2587" s="1" t="s">
        <v>28</v>
      </c>
      <c r="T2587" s="1" t="s">
        <v>29</v>
      </c>
    </row>
    <row r="2588" customFormat="false" ht="18.7" hidden="false" customHeight="true" outlineLevel="0" collapsed="false">
      <c r="A2588" s="1" t="n">
        <v>2587</v>
      </c>
      <c r="B2588" s="6" t="str">
        <f aca="false">HYPERLINK("https://mncourtfraud.com/file/MCRO_27-CR-22-14493_Warrant Issued_2022-12-15_20240429161534.pdf","MCRO_27-CR-22-14493_Warrant Issued_2022-12-15_20240429161534.pdf")</f>
        <v>MCRO_27-CR-22-14493_Warrant Issued_2022-12-15_20240429161534.pdf</v>
      </c>
      <c r="C2588" s="1" t="n">
        <v>5</v>
      </c>
      <c r="D2588" s="1" t="n">
        <v>1</v>
      </c>
      <c r="E2588" s="1" t="n">
        <v>1</v>
      </c>
      <c r="F2588" s="3" t="s">
        <v>20</v>
      </c>
      <c r="G2588" s="3" t="s">
        <v>10481</v>
      </c>
      <c r="H2588" s="1" t="s">
        <v>22</v>
      </c>
      <c r="I2588" s="1" t="n">
        <v>20240429161534</v>
      </c>
      <c r="J2588" s="3" t="s">
        <v>10482</v>
      </c>
      <c r="K2588" s="3" t="s">
        <v>10483</v>
      </c>
      <c r="L2588" s="3" t="s">
        <v>10484</v>
      </c>
      <c r="M2588" s="3" t="n">
        <v>747739</v>
      </c>
      <c r="N2588" s="3" t="s">
        <v>10485</v>
      </c>
      <c r="O2588" s="1" t="n">
        <v>731353</v>
      </c>
      <c r="P2588" s="1" t="n">
        <v>97.81</v>
      </c>
      <c r="Q2588" s="1" t="s">
        <v>20</v>
      </c>
      <c r="R2588" s="1" t="s">
        <v>27</v>
      </c>
      <c r="S2588" s="1" t="s">
        <v>28</v>
      </c>
      <c r="T2588" s="1" t="s">
        <v>29</v>
      </c>
    </row>
    <row r="2589" customFormat="false" ht="18.7" hidden="false" customHeight="true" outlineLevel="0" collapsed="false">
      <c r="A2589" s="1" t="n">
        <v>2588</v>
      </c>
      <c r="B2589" s="6" t="str">
        <f aca="false">HYPERLINK("https://mncourtfraud.com/file/MCRO_27-CR-22-14541_Correspondence_2023-02-03_20240429161634.pdf","MCRO_27-CR-22-14541_Correspondence_2023-02-03_20240429161634.pdf")</f>
        <v>MCRO_27-CR-22-14541_Correspondence_2023-02-03_20240429161634.pdf</v>
      </c>
      <c r="C2589" s="1" t="n">
        <v>4</v>
      </c>
      <c r="D2589" s="1" t="n">
        <v>1</v>
      </c>
      <c r="E2589" s="1" t="n">
        <v>1</v>
      </c>
      <c r="F2589" s="3" t="s">
        <v>20</v>
      </c>
      <c r="G2589" s="3" t="s">
        <v>10486</v>
      </c>
      <c r="H2589" s="1" t="s">
        <v>22</v>
      </c>
      <c r="I2589" s="1" t="n">
        <v>20240429161634</v>
      </c>
      <c r="J2589" s="3" t="s">
        <v>10487</v>
      </c>
      <c r="K2589" s="3" t="s">
        <v>10488</v>
      </c>
      <c r="L2589" s="3" t="s">
        <v>10489</v>
      </c>
      <c r="M2589" s="3" t="n">
        <v>170327</v>
      </c>
      <c r="N2589" s="3" t="s">
        <v>104</v>
      </c>
      <c r="O2589" s="1" t="n">
        <v>153941</v>
      </c>
      <c r="P2589" s="1" t="n">
        <v>90.38</v>
      </c>
      <c r="Q2589" s="1" t="s">
        <v>20</v>
      </c>
      <c r="R2589" s="1" t="s">
        <v>27</v>
      </c>
      <c r="S2589" s="1" t="s">
        <v>28</v>
      </c>
      <c r="T2589" s="1" t="s">
        <v>29</v>
      </c>
    </row>
    <row r="2590" customFormat="false" ht="18.7" hidden="false" customHeight="true" outlineLevel="0" collapsed="false">
      <c r="A2590" s="1" t="n">
        <v>2589</v>
      </c>
      <c r="B2590" s="6" t="str">
        <f aca="false">HYPERLINK("https://mncourtfraud.com/file/MCRO_27-CR-22-14541_E-filed Comp-Order for Detention_2022-07-26_20240429161642.pdf","MCRO_27-CR-22-14541_E-filed Comp-Order for Detention_2022-07-26_20240429161642.pdf")</f>
        <v>MCRO_27-CR-22-14541_E-filed Comp-Order for Detention_2022-07-26_20240429161642.pdf</v>
      </c>
      <c r="C2590" s="1" t="n">
        <v>5</v>
      </c>
      <c r="D2590" s="1" t="n">
        <v>2</v>
      </c>
      <c r="E2590" s="1" t="n">
        <v>2</v>
      </c>
      <c r="F2590" s="3" t="s">
        <v>20</v>
      </c>
      <c r="G2590" s="3" t="s">
        <v>10490</v>
      </c>
      <c r="H2590" s="1" t="s">
        <v>22</v>
      </c>
      <c r="I2590" s="1" t="n">
        <v>20240429161642</v>
      </c>
      <c r="J2590" s="3" t="s">
        <v>10491</v>
      </c>
      <c r="K2590" s="3" t="s">
        <v>10492</v>
      </c>
      <c r="L2590" s="3" t="s">
        <v>10493</v>
      </c>
      <c r="M2590" s="3" t="n">
        <v>448294</v>
      </c>
      <c r="N2590" s="3" t="s">
        <v>4690</v>
      </c>
      <c r="O2590" s="1" t="n">
        <v>431908</v>
      </c>
      <c r="P2590" s="1" t="n">
        <v>96.34</v>
      </c>
      <c r="Q2590" s="1" t="s">
        <v>20</v>
      </c>
      <c r="R2590" s="1" t="s">
        <v>27</v>
      </c>
      <c r="S2590" s="1" t="s">
        <v>28</v>
      </c>
      <c r="T2590" s="1" t="s">
        <v>29</v>
      </c>
    </row>
    <row r="2591" customFormat="false" ht="18.7" hidden="false" customHeight="true" outlineLevel="0" collapsed="false">
      <c r="A2591" s="1" t="n">
        <v>2590</v>
      </c>
      <c r="B2591" s="6" t="str">
        <f aca="false">HYPERLINK("https://mncourtfraud.com/file/MCRO_27-CR-22-14541_Findings and Order_2022-08-16_20240429161637.pdf","MCRO_27-CR-22-14541_Findings and Order_2022-08-16_20240429161637.pdf")</f>
        <v>MCRO_27-CR-22-14541_Findings and Order_2022-08-16_20240429161637.pdf</v>
      </c>
      <c r="C2591" s="1" t="n">
        <v>4</v>
      </c>
      <c r="D2591" s="1" t="n">
        <v>2</v>
      </c>
      <c r="E2591" s="1" t="n">
        <v>2</v>
      </c>
      <c r="F2591" s="3" t="s">
        <v>20</v>
      </c>
      <c r="G2591" s="3" t="s">
        <v>10494</v>
      </c>
      <c r="H2591" s="1" t="s">
        <v>22</v>
      </c>
      <c r="I2591" s="1" t="n">
        <v>20240429161637</v>
      </c>
      <c r="J2591" s="3" t="s">
        <v>10495</v>
      </c>
      <c r="K2591" s="3" t="s">
        <v>10496</v>
      </c>
      <c r="L2591" s="3" t="s">
        <v>10497</v>
      </c>
      <c r="M2591" s="3" t="n">
        <v>329078</v>
      </c>
      <c r="N2591" s="3" t="s">
        <v>4122</v>
      </c>
      <c r="O2591" s="1" t="n">
        <v>312692</v>
      </c>
      <c r="P2591" s="1" t="n">
        <v>95.02</v>
      </c>
      <c r="Q2591" s="1" t="s">
        <v>20</v>
      </c>
      <c r="R2591" s="1" t="s">
        <v>27</v>
      </c>
      <c r="S2591" s="1" t="s">
        <v>28</v>
      </c>
      <c r="T2591" s="1" t="s">
        <v>29</v>
      </c>
    </row>
    <row r="2592" customFormat="false" ht="18.7" hidden="false" customHeight="true" outlineLevel="0" collapsed="false">
      <c r="A2592" s="1" t="n">
        <v>2591</v>
      </c>
      <c r="B2592" s="6" t="str">
        <f aca="false">HYPERLINK("https://mncourtfraud.com/file/MCRO_27-CR-22-14541_Law Enforcement Notice of Release and Appearance_2022-08-02_20240429161639.pdf","MCRO_27-CR-22-14541_Law Enforcement Notice of Release and Appearance_2022-08-02_20240429161639.pdf")</f>
        <v>MCRO_27-CR-22-14541_Law Enforcement Notice of Release and Appearance_2022-08-02_20240429161639.pdf</v>
      </c>
      <c r="C2592" s="1" t="n">
        <v>4</v>
      </c>
      <c r="D2592" s="1" t="n">
        <v>1</v>
      </c>
      <c r="E2592" s="1" t="n">
        <v>1</v>
      </c>
      <c r="F2592" s="3" t="s">
        <v>20</v>
      </c>
      <c r="G2592" s="3" t="s">
        <v>10498</v>
      </c>
      <c r="H2592" s="1" t="s">
        <v>22</v>
      </c>
      <c r="I2592" s="1" t="n">
        <v>20240429161639</v>
      </c>
      <c r="J2592" s="3" t="s">
        <v>10499</v>
      </c>
      <c r="K2592" s="3" t="s">
        <v>10500</v>
      </c>
      <c r="L2592" s="3" t="s">
        <v>10501</v>
      </c>
      <c r="M2592" s="3" t="n">
        <v>518559</v>
      </c>
      <c r="N2592" s="3" t="s">
        <v>456</v>
      </c>
      <c r="O2592" s="1" t="n">
        <v>502173</v>
      </c>
      <c r="P2592" s="1" t="n">
        <v>96.84</v>
      </c>
      <c r="Q2592" s="1" t="s">
        <v>20</v>
      </c>
      <c r="R2592" s="1" t="s">
        <v>27</v>
      </c>
      <c r="S2592" s="1" t="s">
        <v>28</v>
      </c>
      <c r="T2592" s="1" t="s">
        <v>29</v>
      </c>
    </row>
    <row r="2593" customFormat="false" ht="18.7" hidden="false" customHeight="true" outlineLevel="0" collapsed="false">
      <c r="A2593" s="1" t="n">
        <v>2592</v>
      </c>
      <c r="B2593" s="6" t="str">
        <f aca="false">HYPERLINK("https://mncourtfraud.com/file/MCRO_27-CR-22-14541_Notice of Intent to Prosecute_2022-08-16_20240429161638.pdf","MCRO_27-CR-22-14541_Notice of Intent to Prosecute_2022-08-16_20240429161638.pdf")</f>
        <v>MCRO_27-CR-22-14541_Notice of Intent to Prosecute_2022-08-16_20240429161638.pdf</v>
      </c>
      <c r="C2593" s="1" t="n">
        <v>3</v>
      </c>
      <c r="D2593" s="1" t="n">
        <v>1</v>
      </c>
      <c r="E2593" s="1" t="n">
        <v>1</v>
      </c>
      <c r="F2593" s="3" t="s">
        <v>20</v>
      </c>
      <c r="G2593" s="3" t="s">
        <v>10502</v>
      </c>
      <c r="H2593" s="1" t="s">
        <v>22</v>
      </c>
      <c r="I2593" s="1" t="n">
        <v>20240429161638</v>
      </c>
      <c r="J2593" s="3" t="s">
        <v>10495</v>
      </c>
      <c r="K2593" s="3" t="s">
        <v>10496</v>
      </c>
      <c r="L2593" s="3" t="s">
        <v>10503</v>
      </c>
      <c r="M2593" s="3" t="n">
        <v>135349</v>
      </c>
      <c r="N2593" s="3" t="s">
        <v>2777</v>
      </c>
      <c r="O2593" s="1" t="n">
        <v>118963</v>
      </c>
      <c r="P2593" s="1" t="n">
        <v>87.89</v>
      </c>
      <c r="Q2593" s="1" t="s">
        <v>20</v>
      </c>
      <c r="R2593" s="1" t="s">
        <v>27</v>
      </c>
      <c r="S2593" s="1" t="s">
        <v>28</v>
      </c>
      <c r="T2593" s="1" t="s">
        <v>29</v>
      </c>
    </row>
    <row r="2594" customFormat="false" ht="18.7" hidden="false" customHeight="true" outlineLevel="0" collapsed="false">
      <c r="A2594" s="1" t="n">
        <v>2593</v>
      </c>
      <c r="B2594" s="6" t="str">
        <f aca="false">HYPERLINK("https://mncourtfraud.com/file/MCRO_27-CR-22-14541_Notice of Remote Hearing with Instructions_2022-07-27_20240429161640.pdf","MCRO_27-CR-22-14541_Notice of Remote Hearing with Instructions_2022-07-27_20240429161640.pdf")</f>
        <v>MCRO_27-CR-22-14541_Notice of Remote Hearing with Instructions_2022-07-27_20240429161640.pdf</v>
      </c>
      <c r="C2594" s="1" t="n">
        <v>4</v>
      </c>
      <c r="D2594" s="1" t="n">
        <v>1</v>
      </c>
      <c r="E2594" s="1" t="n">
        <v>1</v>
      </c>
      <c r="F2594" s="3" t="s">
        <v>20</v>
      </c>
      <c r="G2594" s="3" t="s">
        <v>10504</v>
      </c>
      <c r="H2594" s="1" t="s">
        <v>22</v>
      </c>
      <c r="I2594" s="1" t="n">
        <v>20240429161640</v>
      </c>
      <c r="J2594" s="3" t="s">
        <v>10505</v>
      </c>
      <c r="K2594" s="3" t="s">
        <v>10506</v>
      </c>
      <c r="L2594" s="3" t="s">
        <v>10507</v>
      </c>
      <c r="M2594" s="3" t="n">
        <v>158916</v>
      </c>
      <c r="N2594" s="3" t="s">
        <v>1065</v>
      </c>
      <c r="O2594" s="1" t="n">
        <v>142530</v>
      </c>
      <c r="P2594" s="1" t="n">
        <v>89.69</v>
      </c>
      <c r="Q2594" s="1" t="s">
        <v>20</v>
      </c>
      <c r="R2594" s="1" t="s">
        <v>27</v>
      </c>
      <c r="S2594" s="1" t="s">
        <v>28</v>
      </c>
      <c r="T2594" s="1" t="s">
        <v>29</v>
      </c>
    </row>
    <row r="2595" customFormat="false" ht="18.7" hidden="false" customHeight="true" outlineLevel="0" collapsed="false">
      <c r="A2595" s="1" t="n">
        <v>2594</v>
      </c>
      <c r="B2595" s="6" t="str">
        <f aca="false">HYPERLINK("https://mncourtfraud.com/file/MCRO_27-CR-22-14541_Notice of Remote Hearing with Instructions_2023-08-11_20240429161631.pdf","MCRO_27-CR-22-14541_Notice of Remote Hearing with Instructions_2023-08-11_20240429161631.pdf")</f>
        <v>MCRO_27-CR-22-14541_Notice of Remote Hearing with Instructions_2023-08-11_20240429161631.pdf</v>
      </c>
      <c r="C2595" s="1" t="n">
        <v>5</v>
      </c>
      <c r="D2595" s="1" t="n">
        <v>1</v>
      </c>
      <c r="E2595" s="1" t="n">
        <v>1</v>
      </c>
      <c r="F2595" s="3" t="s">
        <v>20</v>
      </c>
      <c r="G2595" s="3" t="s">
        <v>10508</v>
      </c>
      <c r="H2595" s="1" t="s">
        <v>22</v>
      </c>
      <c r="I2595" s="1" t="n">
        <v>20240429161631</v>
      </c>
      <c r="J2595" s="3" t="s">
        <v>10509</v>
      </c>
      <c r="K2595" s="3" t="s">
        <v>10510</v>
      </c>
      <c r="L2595" s="3" t="s">
        <v>10511</v>
      </c>
      <c r="M2595" s="3" t="n">
        <v>844749</v>
      </c>
      <c r="N2595" s="3" t="s">
        <v>510</v>
      </c>
      <c r="O2595" s="1" t="n">
        <v>828363</v>
      </c>
      <c r="P2595" s="1" t="n">
        <v>98.06</v>
      </c>
      <c r="Q2595" s="1" t="s">
        <v>20</v>
      </c>
      <c r="R2595" s="1" t="s">
        <v>27</v>
      </c>
      <c r="S2595" s="1" t="s">
        <v>28</v>
      </c>
      <c r="T2595" s="1" t="s">
        <v>29</v>
      </c>
    </row>
    <row r="2596" customFormat="false" ht="18.7" hidden="false" customHeight="true" outlineLevel="0" collapsed="false">
      <c r="A2596" s="1" t="n">
        <v>2595</v>
      </c>
      <c r="B2596" s="6" t="str">
        <f aca="false">HYPERLINK("https://mncourtfraud.com/file/MCRO_27-CR-22-14541_Notice of Remote Hearing with Instructions_2024-03-19_20240429161628.pdf","MCRO_27-CR-22-14541_Notice of Remote Hearing with Instructions_2024-03-19_20240429161628.pdf")</f>
        <v>MCRO_27-CR-22-14541_Notice of Remote Hearing with Instructions_2024-03-19_20240429161628.pdf</v>
      </c>
      <c r="C2596" s="1" t="n">
        <v>4</v>
      </c>
      <c r="D2596" s="1" t="n">
        <v>1</v>
      </c>
      <c r="E2596" s="1" t="n">
        <v>1</v>
      </c>
      <c r="F2596" s="3" t="s">
        <v>20</v>
      </c>
      <c r="G2596" s="3" t="s">
        <v>10512</v>
      </c>
      <c r="H2596" s="1" t="s">
        <v>22</v>
      </c>
      <c r="I2596" s="1" t="n">
        <v>20240429161628</v>
      </c>
      <c r="J2596" s="3" t="s">
        <v>10513</v>
      </c>
      <c r="K2596" s="3" t="s">
        <v>10514</v>
      </c>
      <c r="L2596" s="3" t="s">
        <v>10515</v>
      </c>
      <c r="M2596" s="3" t="n">
        <v>256262</v>
      </c>
      <c r="N2596" s="3" t="s">
        <v>74</v>
      </c>
      <c r="O2596" s="1" t="n">
        <v>239876</v>
      </c>
      <c r="P2596" s="1" t="n">
        <v>93.61</v>
      </c>
      <c r="Q2596" s="1" t="s">
        <v>20</v>
      </c>
      <c r="R2596" s="1" t="s">
        <v>27</v>
      </c>
      <c r="S2596" s="1" t="s">
        <v>28</v>
      </c>
      <c r="T2596" s="1" t="s">
        <v>29</v>
      </c>
    </row>
    <row r="2597" customFormat="false" ht="18.7" hidden="false" customHeight="true" outlineLevel="0" collapsed="false">
      <c r="A2597" s="1" t="n">
        <v>2596</v>
      </c>
      <c r="B2597" s="6" t="str">
        <f aca="false">HYPERLINK("https://mncourtfraud.com/file/MCRO_27-CR-22-14541_Notice of Remote Hearing with Instructions_2024-04-24_20240429161625.pdf","MCRO_27-CR-22-14541_Notice of Remote Hearing with Instructions_2024-04-24_20240429161625.pdf")</f>
        <v>MCRO_27-CR-22-14541_Notice of Remote Hearing with Instructions_2024-04-24_20240429161625.pdf</v>
      </c>
      <c r="C2597" s="1" t="n">
        <v>4</v>
      </c>
      <c r="D2597" s="1" t="n">
        <v>1</v>
      </c>
      <c r="E2597" s="1" t="n">
        <v>1</v>
      </c>
      <c r="F2597" s="3" t="s">
        <v>20</v>
      </c>
      <c r="G2597" s="3" t="s">
        <v>10516</v>
      </c>
      <c r="H2597" s="1" t="s">
        <v>22</v>
      </c>
      <c r="I2597" s="1" t="n">
        <v>20240429161625</v>
      </c>
      <c r="J2597" s="3" t="s">
        <v>10517</v>
      </c>
      <c r="K2597" s="3" t="s">
        <v>10518</v>
      </c>
      <c r="L2597" s="3" t="s">
        <v>10519</v>
      </c>
      <c r="M2597" s="3" t="n">
        <v>255973</v>
      </c>
      <c r="N2597" s="3" t="s">
        <v>74</v>
      </c>
      <c r="O2597" s="1" t="n">
        <v>239587</v>
      </c>
      <c r="P2597" s="1" t="n">
        <v>93.6</v>
      </c>
      <c r="Q2597" s="1" t="s">
        <v>20</v>
      </c>
      <c r="R2597" s="1" t="s">
        <v>27</v>
      </c>
      <c r="S2597" s="1" t="s">
        <v>28</v>
      </c>
      <c r="T2597" s="1" t="s">
        <v>29</v>
      </c>
    </row>
    <row r="2598" customFormat="false" ht="18.7" hidden="false" customHeight="true" outlineLevel="0" collapsed="false">
      <c r="A2598" s="1" t="n">
        <v>2597</v>
      </c>
      <c r="B2598" s="6" t="str">
        <f aca="false">HYPERLINK("https://mncourtfraud.com/file/MCRO_27-CR-22-14541_Order-Evaluation for Competency to Proceed (Rule 20.01)_2022-12-09_20240429161636.pdf","MCRO_27-CR-22-14541_Order-Evaluation for Competency to Proceed (Rule 20.01)_2022-12-09_20240429161636.pdf")</f>
        <v>MCRO_27-CR-22-14541_Order-Evaluation for Competency to Proceed (Rule 20.01)_2022-12-09_20240429161636.pdf</v>
      </c>
      <c r="C2598" s="1" t="n">
        <v>3</v>
      </c>
      <c r="D2598" s="1" t="n">
        <v>1</v>
      </c>
      <c r="E2598" s="1" t="n">
        <v>1</v>
      </c>
      <c r="F2598" s="3" t="s">
        <v>20</v>
      </c>
      <c r="G2598" s="3" t="s">
        <v>10520</v>
      </c>
      <c r="H2598" s="1" t="s">
        <v>22</v>
      </c>
      <c r="I2598" s="1" t="n">
        <v>20240429161636</v>
      </c>
      <c r="J2598" s="3" t="s">
        <v>10521</v>
      </c>
      <c r="K2598" s="3" t="s">
        <v>10522</v>
      </c>
      <c r="L2598" s="3" t="s">
        <v>10523</v>
      </c>
      <c r="M2598" s="3" t="n">
        <v>810564</v>
      </c>
      <c r="N2598" s="3" t="s">
        <v>2520</v>
      </c>
      <c r="O2598" s="1" t="n">
        <v>794178</v>
      </c>
      <c r="P2598" s="1" t="n">
        <v>97.98</v>
      </c>
      <c r="Q2598" s="1" t="s">
        <v>20</v>
      </c>
      <c r="R2598" s="1" t="s">
        <v>27</v>
      </c>
      <c r="S2598" s="1" t="s">
        <v>28</v>
      </c>
      <c r="T2598" s="1" t="s">
        <v>29</v>
      </c>
    </row>
    <row r="2599" customFormat="false" ht="18.7" hidden="false" customHeight="true" outlineLevel="0" collapsed="false">
      <c r="A2599" s="1" t="n">
        <v>2598</v>
      </c>
      <c r="B2599" s="6" t="str">
        <f aca="false">HYPERLINK("https://mncourtfraud.com/file/MCRO_27-CR-22-14541_Order-Evaluation for Competency to Proceed (Rule 20.01)_2023-06-12_20240429161632.pdf","MCRO_27-CR-22-14541_Order-Evaluation for Competency to Proceed (Rule 20.01)_2023-06-12_20240429161632.pdf")</f>
        <v>MCRO_27-CR-22-14541_Order-Evaluation for Competency to Proceed (Rule 20.01)_2023-06-12_20240429161632.pdf</v>
      </c>
      <c r="C2599" s="1" t="n">
        <v>6</v>
      </c>
      <c r="D2599" s="1" t="n">
        <v>2</v>
      </c>
      <c r="E2599" s="1" t="n">
        <v>2</v>
      </c>
      <c r="F2599" s="3" t="s">
        <v>27</v>
      </c>
      <c r="G2599" s="3" t="s">
        <v>10524</v>
      </c>
      <c r="H2599" s="1" t="s">
        <v>22</v>
      </c>
      <c r="I2599" s="1" t="n">
        <v>20240429161632</v>
      </c>
      <c r="J2599" s="3" t="s">
        <v>10525</v>
      </c>
      <c r="K2599" s="3" t="s">
        <v>10526</v>
      </c>
      <c r="L2599" s="3" t="s">
        <v>10527</v>
      </c>
      <c r="M2599" s="3" t="n">
        <v>884795</v>
      </c>
      <c r="N2599" s="3" t="s">
        <v>810</v>
      </c>
      <c r="O2599" s="1" t="n">
        <v>868409</v>
      </c>
      <c r="P2599" s="1" t="n">
        <v>98.15</v>
      </c>
      <c r="Q2599" s="1" t="s">
        <v>20</v>
      </c>
      <c r="R2599" s="1" t="s">
        <v>27</v>
      </c>
      <c r="S2599" s="1" t="s">
        <v>28</v>
      </c>
      <c r="T2599" s="1" t="s">
        <v>29</v>
      </c>
    </row>
    <row r="2600" customFormat="false" ht="18.7" hidden="false" customHeight="true" outlineLevel="0" collapsed="false">
      <c r="A2600" s="1" t="n">
        <v>2599</v>
      </c>
      <c r="B2600" s="6" t="str">
        <f aca="false">HYPERLINK("https://mncourtfraud.com/file/MCRO_27-CR-22-14541_Order-Evaluation for Competency to Proceed (Rule 20.01)_2024-01-11_20240429161629.pdf","MCRO_27-CR-22-14541_Order-Evaluation for Competency to Proceed (Rule 20.01)_2024-01-11_20240429161629.pdf")</f>
        <v>MCRO_27-CR-22-14541_Order-Evaluation for Competency to Proceed (Rule 20.01)_2024-01-11_20240429161629.pdf</v>
      </c>
      <c r="C2600" s="1" t="n">
        <v>5</v>
      </c>
      <c r="D2600" s="1" t="n">
        <v>1</v>
      </c>
      <c r="E2600" s="1" t="n">
        <v>1</v>
      </c>
      <c r="F2600" s="3" t="s">
        <v>20</v>
      </c>
      <c r="G2600" s="3" t="s">
        <v>10528</v>
      </c>
      <c r="H2600" s="1" t="s">
        <v>22</v>
      </c>
      <c r="I2600" s="1" t="n">
        <v>20240429161629</v>
      </c>
      <c r="J2600" s="3" t="s">
        <v>10529</v>
      </c>
      <c r="K2600" s="3" t="s">
        <v>10530</v>
      </c>
      <c r="L2600" s="3" t="s">
        <v>4535</v>
      </c>
      <c r="M2600" s="3" t="n">
        <v>760752</v>
      </c>
      <c r="N2600" s="3" t="s">
        <v>1091</v>
      </c>
      <c r="O2600" s="1" t="n">
        <v>744366</v>
      </c>
      <c r="P2600" s="1" t="n">
        <v>97.85</v>
      </c>
      <c r="Q2600" s="1" t="s">
        <v>20</v>
      </c>
      <c r="R2600" s="1" t="s">
        <v>27</v>
      </c>
      <c r="S2600" s="1" t="s">
        <v>28</v>
      </c>
      <c r="T2600" s="1" t="s">
        <v>29</v>
      </c>
    </row>
    <row r="2601" customFormat="false" ht="18.7" hidden="false" customHeight="true" outlineLevel="0" collapsed="false">
      <c r="A2601" s="1" t="n">
        <v>2600</v>
      </c>
      <c r="B2601" s="6" t="str">
        <f aca="false">HYPERLINK("https://mncourtfraud.com/file/MCRO_27-CR-22-14541_Order-Evaluation for Competency to Proceed (Rule 20.01)_2024-04-23_20240429161626.pdf","MCRO_27-CR-22-14541_Order-Evaluation for Competency to Proceed (Rule 20.01)_2024-04-23_20240429161626.pdf")</f>
        <v>MCRO_27-CR-22-14541_Order-Evaluation for Competency to Proceed (Rule 20.01)_2024-04-23_20240429161626.pdf</v>
      </c>
      <c r="C2601" s="1" t="n">
        <v>4</v>
      </c>
      <c r="D2601" s="1" t="n">
        <v>1</v>
      </c>
      <c r="E2601" s="1" t="n">
        <v>1</v>
      </c>
      <c r="F2601" s="3" t="s">
        <v>20</v>
      </c>
      <c r="G2601" s="3" t="s">
        <v>10531</v>
      </c>
      <c r="H2601" s="1" t="s">
        <v>22</v>
      </c>
      <c r="I2601" s="1" t="n">
        <v>20240429161626</v>
      </c>
      <c r="J2601" s="3" t="s">
        <v>10532</v>
      </c>
      <c r="K2601" s="3" t="s">
        <v>10533</v>
      </c>
      <c r="L2601" s="3" t="s">
        <v>4539</v>
      </c>
      <c r="M2601" s="3" t="n">
        <v>265399</v>
      </c>
      <c r="N2601" s="3" t="s">
        <v>1222</v>
      </c>
      <c r="O2601" s="1" t="n">
        <v>249013</v>
      </c>
      <c r="P2601" s="1" t="n">
        <v>93.83</v>
      </c>
      <c r="Q2601" s="1" t="s">
        <v>20</v>
      </c>
      <c r="R2601" s="1" t="s">
        <v>27</v>
      </c>
      <c r="S2601" s="1" t="s">
        <v>28</v>
      </c>
      <c r="T2601" s="1" t="s">
        <v>29</v>
      </c>
    </row>
    <row r="2602" customFormat="false" ht="18.7" hidden="false" customHeight="true" outlineLevel="0" collapsed="false">
      <c r="A2602" s="1" t="n">
        <v>2601</v>
      </c>
      <c r="B2602" s="6" t="str">
        <f aca="false">HYPERLINK("https://mncourtfraud.com/file/MCRO_27-CR-22-14541_Order for Conditional Release_2022-07-27_20240429161641.pdf","MCRO_27-CR-22-14541_Order for Conditional Release_2022-07-27_20240429161641.pdf")</f>
        <v>MCRO_27-CR-22-14541_Order for Conditional Release_2022-07-27_20240429161641.pdf</v>
      </c>
      <c r="C2602" s="1" t="n">
        <v>4</v>
      </c>
      <c r="D2602" s="1" t="n">
        <v>1</v>
      </c>
      <c r="E2602" s="1" t="n">
        <v>1</v>
      </c>
      <c r="F2602" s="3" t="s">
        <v>20</v>
      </c>
      <c r="G2602" s="3" t="s">
        <v>10534</v>
      </c>
      <c r="H2602" s="1" t="s">
        <v>22</v>
      </c>
      <c r="I2602" s="1" t="n">
        <v>20240429161641</v>
      </c>
      <c r="J2602" s="3" t="s">
        <v>10535</v>
      </c>
      <c r="K2602" s="3" t="s">
        <v>10536</v>
      </c>
      <c r="L2602" s="3" t="s">
        <v>10537</v>
      </c>
      <c r="M2602" s="3" t="n">
        <v>136024</v>
      </c>
      <c r="N2602" s="3" t="s">
        <v>456</v>
      </c>
      <c r="O2602" s="1" t="n">
        <v>119638</v>
      </c>
      <c r="P2602" s="1" t="n">
        <v>87.95</v>
      </c>
      <c r="Q2602" s="1" t="s">
        <v>20</v>
      </c>
      <c r="R2602" s="1" t="s">
        <v>27</v>
      </c>
      <c r="S2602" s="1" t="s">
        <v>28</v>
      </c>
      <c r="T2602" s="1" t="s">
        <v>29</v>
      </c>
    </row>
    <row r="2603" customFormat="false" ht="18.7" hidden="false" customHeight="true" outlineLevel="0" collapsed="false">
      <c r="A2603" s="1" t="n">
        <v>2602</v>
      </c>
      <c r="B2603" s="6" t="str">
        <f aca="false">HYPERLINK("https://mncourtfraud.com/file/MCRO_27-CR-22-14541_Proposed Order or Document_2023-03-06_20240429161633.pdf","MCRO_27-CR-22-14541_Proposed Order or Document_2023-03-06_20240429161633.pdf")</f>
        <v>MCRO_27-CR-22-14541_Proposed Order or Document_2023-03-06_20240429161633.pdf</v>
      </c>
      <c r="C2603" s="1" t="n">
        <v>3</v>
      </c>
      <c r="D2603" s="1" t="n">
        <v>1</v>
      </c>
      <c r="E2603" s="1" t="n">
        <v>1</v>
      </c>
      <c r="F2603" s="3" t="s">
        <v>20</v>
      </c>
      <c r="G2603" s="3" t="s">
        <v>10538</v>
      </c>
      <c r="H2603" s="1" t="s">
        <v>22</v>
      </c>
      <c r="I2603" s="1" t="n">
        <v>20240429161633</v>
      </c>
      <c r="J2603" s="3" t="s">
        <v>10539</v>
      </c>
      <c r="K2603" s="3" t="s">
        <v>10540</v>
      </c>
      <c r="L2603" s="3" t="s">
        <v>10541</v>
      </c>
      <c r="M2603" s="3" t="n">
        <v>179341</v>
      </c>
      <c r="N2603" s="3" t="s">
        <v>10542</v>
      </c>
      <c r="O2603" s="1" t="n">
        <v>162955</v>
      </c>
      <c r="P2603" s="1" t="n">
        <v>90.86</v>
      </c>
      <c r="Q2603" s="1" t="s">
        <v>20</v>
      </c>
      <c r="R2603" s="1" t="s">
        <v>27</v>
      </c>
      <c r="S2603" s="1" t="s">
        <v>28</v>
      </c>
      <c r="T2603" s="1" t="s">
        <v>29</v>
      </c>
    </row>
    <row r="2604" customFormat="false" ht="18.7" hidden="false" customHeight="true" outlineLevel="0" collapsed="false">
      <c r="A2604" s="1" t="n">
        <v>2603</v>
      </c>
      <c r="B2604" s="6" t="str">
        <f aca="false">HYPERLINK("https://mncourtfraud.com/file/MCRO_27-CR-22-14541_Returned Mail_2023-08-25_20240429161630.pdf","MCRO_27-CR-22-14541_Returned Mail_2023-08-25_20240429161630.pdf")</f>
        <v>MCRO_27-CR-22-14541_Returned Mail_2023-08-25_20240429161630.pdf</v>
      </c>
      <c r="C2604" s="1" t="n">
        <v>4</v>
      </c>
      <c r="D2604" s="1" t="n">
        <v>1</v>
      </c>
      <c r="E2604" s="1" t="n">
        <v>1</v>
      </c>
      <c r="F2604" s="3" t="s">
        <v>20</v>
      </c>
      <c r="G2604" s="3" t="s">
        <v>10543</v>
      </c>
      <c r="H2604" s="1" t="s">
        <v>22</v>
      </c>
      <c r="I2604" s="1" t="n">
        <v>20240429161630</v>
      </c>
      <c r="J2604" s="3" t="s">
        <v>10544</v>
      </c>
      <c r="K2604" s="3" t="s">
        <v>10545</v>
      </c>
      <c r="L2604" s="3" t="s">
        <v>10546</v>
      </c>
      <c r="M2604" s="3" t="n">
        <v>116534</v>
      </c>
      <c r="N2604" s="3" t="s">
        <v>3269</v>
      </c>
      <c r="O2604" s="1" t="n">
        <v>100148</v>
      </c>
      <c r="P2604" s="1" t="n">
        <v>85.94</v>
      </c>
      <c r="Q2604" s="1" t="s">
        <v>20</v>
      </c>
      <c r="R2604" s="1" t="s">
        <v>27</v>
      </c>
      <c r="S2604" s="1" t="s">
        <v>28</v>
      </c>
      <c r="T2604" s="1" t="s">
        <v>29</v>
      </c>
    </row>
    <row r="2605" customFormat="false" ht="18.7" hidden="false" customHeight="true" outlineLevel="0" collapsed="false">
      <c r="A2605" s="1" t="n">
        <v>2604</v>
      </c>
      <c r="B2605" s="6" t="str">
        <f aca="false">HYPERLINK("https://mncourtfraud.com/file/MCRO_27-CR-22-14541_Returned Mail_2024-04-09_20240429161627.pdf","MCRO_27-CR-22-14541_Returned Mail_2024-04-09_20240429161627.pdf")</f>
        <v>MCRO_27-CR-22-14541_Returned Mail_2024-04-09_20240429161627.pdf</v>
      </c>
      <c r="C2605" s="1" t="n">
        <v>4</v>
      </c>
      <c r="D2605" s="1" t="n">
        <v>1</v>
      </c>
      <c r="E2605" s="1" t="n">
        <v>1</v>
      </c>
      <c r="F2605" s="3" t="s">
        <v>20</v>
      </c>
      <c r="G2605" s="3" t="s">
        <v>10547</v>
      </c>
      <c r="H2605" s="1" t="s">
        <v>22</v>
      </c>
      <c r="I2605" s="1" t="n">
        <v>20240429161627</v>
      </c>
      <c r="J2605" s="3" t="s">
        <v>10548</v>
      </c>
      <c r="K2605" s="3" t="s">
        <v>10549</v>
      </c>
      <c r="L2605" s="3" t="s">
        <v>10550</v>
      </c>
      <c r="M2605" s="3" t="n">
        <v>286284</v>
      </c>
      <c r="N2605" s="3" t="s">
        <v>158</v>
      </c>
      <c r="O2605" s="1" t="n">
        <v>269898</v>
      </c>
      <c r="P2605" s="1" t="n">
        <v>94.28</v>
      </c>
      <c r="Q2605" s="1" t="s">
        <v>20</v>
      </c>
      <c r="R2605" s="1" t="s">
        <v>27</v>
      </c>
      <c r="S2605" s="1" t="s">
        <v>28</v>
      </c>
      <c r="T2605" s="1" t="s">
        <v>29</v>
      </c>
    </row>
    <row r="2606" customFormat="false" ht="18.7" hidden="false" customHeight="true" outlineLevel="0" collapsed="false">
      <c r="A2606" s="1" t="n">
        <v>2605</v>
      </c>
      <c r="B2606" s="6" t="str">
        <f aca="false">HYPERLINK("https://mncourtfraud.com/file/MCRO_27-CR-22-15358_Correspondence_2023-02-03_20240429161728.pdf","MCRO_27-CR-22-15358_Correspondence_2023-02-03_20240429161728.pdf")</f>
        <v>MCRO_27-CR-22-15358_Correspondence_2023-02-03_20240429161728.pdf</v>
      </c>
      <c r="C2606" s="1" t="n">
        <v>4</v>
      </c>
      <c r="D2606" s="1" t="n">
        <v>1</v>
      </c>
      <c r="E2606" s="1" t="n">
        <v>1</v>
      </c>
      <c r="F2606" s="3" t="s">
        <v>20</v>
      </c>
      <c r="G2606" s="3" t="s">
        <v>10551</v>
      </c>
      <c r="H2606" s="1" t="s">
        <v>22</v>
      </c>
      <c r="I2606" s="1" t="n">
        <v>20240429161728</v>
      </c>
      <c r="J2606" s="3" t="s">
        <v>10552</v>
      </c>
      <c r="K2606" s="3" t="s">
        <v>10553</v>
      </c>
      <c r="L2606" s="3" t="s">
        <v>10554</v>
      </c>
      <c r="M2606" s="3" t="n">
        <v>170325</v>
      </c>
      <c r="N2606" s="3" t="s">
        <v>104</v>
      </c>
      <c r="O2606" s="1" t="n">
        <v>153939</v>
      </c>
      <c r="P2606" s="1" t="n">
        <v>90.38</v>
      </c>
      <c r="Q2606" s="1" t="s">
        <v>20</v>
      </c>
      <c r="R2606" s="1" t="s">
        <v>27</v>
      </c>
      <c r="S2606" s="1" t="s">
        <v>28</v>
      </c>
      <c r="T2606" s="1" t="s">
        <v>29</v>
      </c>
    </row>
    <row r="2607" customFormat="false" ht="18.7" hidden="false" customHeight="true" outlineLevel="0" collapsed="false">
      <c r="A2607" s="1" t="n">
        <v>2606</v>
      </c>
      <c r="B2607" s="6" t="str">
        <f aca="false">HYPERLINK("https://mncourtfraud.com/file/MCRO_27-CR-22-15358_Correspondence for Judicial Approval_2023-02-14_20240429161727.pdf","MCRO_27-CR-22-15358_Correspondence for Judicial Approval_2023-02-14_20240429161727.pdf")</f>
        <v>MCRO_27-CR-22-15358_Correspondence for Judicial Approval_2023-02-14_20240429161727.pdf</v>
      </c>
      <c r="C2607" s="1" t="n">
        <v>3</v>
      </c>
      <c r="D2607" s="1" t="n">
        <v>1</v>
      </c>
      <c r="E2607" s="1" t="n">
        <v>1</v>
      </c>
      <c r="F2607" s="3" t="s">
        <v>20</v>
      </c>
      <c r="G2607" s="3" t="s">
        <v>10555</v>
      </c>
      <c r="H2607" s="1" t="s">
        <v>22</v>
      </c>
      <c r="I2607" s="1" t="n">
        <v>20240429161727</v>
      </c>
      <c r="J2607" s="3" t="s">
        <v>10556</v>
      </c>
      <c r="K2607" s="3" t="s">
        <v>10557</v>
      </c>
      <c r="L2607" s="3" t="s">
        <v>10558</v>
      </c>
      <c r="M2607" s="3" t="n">
        <v>256076</v>
      </c>
      <c r="N2607" s="3" t="s">
        <v>5613</v>
      </c>
      <c r="O2607" s="1" t="n">
        <v>239690</v>
      </c>
      <c r="P2607" s="1" t="n">
        <v>93.6</v>
      </c>
      <c r="Q2607" s="1" t="s">
        <v>20</v>
      </c>
      <c r="R2607" s="1" t="s">
        <v>27</v>
      </c>
      <c r="S2607" s="1" t="s">
        <v>28</v>
      </c>
      <c r="T2607" s="1" t="s">
        <v>29</v>
      </c>
    </row>
    <row r="2608" customFormat="false" ht="18.7" hidden="false" customHeight="true" outlineLevel="0" collapsed="false">
      <c r="A2608" s="1" t="n">
        <v>2607</v>
      </c>
      <c r="B2608" s="6" t="str">
        <f aca="false">HYPERLINK("https://mncourtfraud.com/file/MCRO_27-CR-22-15358_E-filed Comp-Order for Detention_2022-08-04_20240429161732.pdf","MCRO_27-CR-22-15358_E-filed Comp-Order for Detention_2022-08-04_20240429161732.pdf")</f>
        <v>MCRO_27-CR-22-15358_E-filed Comp-Order for Detention_2022-08-04_20240429161732.pdf</v>
      </c>
      <c r="C2608" s="1" t="n">
        <v>5</v>
      </c>
      <c r="D2608" s="1" t="n">
        <v>2</v>
      </c>
      <c r="E2608" s="1" t="n">
        <v>2</v>
      </c>
      <c r="F2608" s="3" t="s">
        <v>20</v>
      </c>
      <c r="G2608" s="3" t="s">
        <v>10559</v>
      </c>
      <c r="H2608" s="1" t="s">
        <v>22</v>
      </c>
      <c r="I2608" s="1" t="n">
        <v>20240429161732</v>
      </c>
      <c r="J2608" s="3" t="s">
        <v>10560</v>
      </c>
      <c r="K2608" s="3" t="s">
        <v>10561</v>
      </c>
      <c r="L2608" s="3" t="s">
        <v>10562</v>
      </c>
      <c r="M2608" s="3" t="n">
        <v>483867</v>
      </c>
      <c r="N2608" s="3" t="s">
        <v>4470</v>
      </c>
      <c r="O2608" s="1" t="n">
        <v>467481</v>
      </c>
      <c r="P2608" s="1" t="n">
        <v>96.61</v>
      </c>
      <c r="Q2608" s="1" t="s">
        <v>20</v>
      </c>
      <c r="R2608" s="1" t="s">
        <v>27</v>
      </c>
      <c r="S2608" s="1" t="s">
        <v>28</v>
      </c>
      <c r="T2608" s="1" t="s">
        <v>29</v>
      </c>
    </row>
    <row r="2609" customFormat="false" ht="18.7" hidden="false" customHeight="true" outlineLevel="0" collapsed="false">
      <c r="A2609" s="1" t="n">
        <v>2608</v>
      </c>
      <c r="B2609" s="6" t="str">
        <f aca="false">HYPERLINK("https://mncourtfraud.com/file/MCRO_27-CR-22-15358_Findings and Order_2022-08-16_20240429161730.pdf","MCRO_27-CR-22-15358_Findings and Order_2022-08-16_20240429161730.pdf")</f>
        <v>MCRO_27-CR-22-15358_Findings and Order_2022-08-16_20240429161730.pdf</v>
      </c>
      <c r="C2609" s="1" t="n">
        <v>4</v>
      </c>
      <c r="D2609" s="1" t="n">
        <v>2</v>
      </c>
      <c r="E2609" s="1" t="n">
        <v>2</v>
      </c>
      <c r="F2609" s="3" t="s">
        <v>20</v>
      </c>
      <c r="G2609" s="3" t="s">
        <v>10563</v>
      </c>
      <c r="H2609" s="1" t="s">
        <v>22</v>
      </c>
      <c r="I2609" s="1" t="n">
        <v>20240429161730</v>
      </c>
      <c r="J2609" s="3" t="s">
        <v>10564</v>
      </c>
      <c r="K2609" s="3" t="s">
        <v>10565</v>
      </c>
      <c r="L2609" s="3" t="s">
        <v>10566</v>
      </c>
      <c r="M2609" s="3" t="n">
        <v>329080</v>
      </c>
      <c r="N2609" s="3" t="s">
        <v>4122</v>
      </c>
      <c r="O2609" s="1" t="n">
        <v>312694</v>
      </c>
      <c r="P2609" s="1" t="n">
        <v>95.02</v>
      </c>
      <c r="Q2609" s="1" t="s">
        <v>20</v>
      </c>
      <c r="R2609" s="1" t="s">
        <v>27</v>
      </c>
      <c r="S2609" s="1" t="s">
        <v>28</v>
      </c>
      <c r="T2609" s="1" t="s">
        <v>29</v>
      </c>
    </row>
    <row r="2610" customFormat="false" ht="18.7" hidden="false" customHeight="true" outlineLevel="0" collapsed="false">
      <c r="A2610" s="1" t="n">
        <v>2609</v>
      </c>
      <c r="B2610" s="6" t="str">
        <f aca="false">HYPERLINK("https://mncourtfraud.com/file/MCRO_27-CR-22-15358_Notice of Intent to Prosecute_2022-08-15_20240429161731.pdf","MCRO_27-CR-22-15358_Notice of Intent to Prosecute_2022-08-15_20240429161731.pdf")</f>
        <v>MCRO_27-CR-22-15358_Notice of Intent to Prosecute_2022-08-15_20240429161731.pdf</v>
      </c>
      <c r="C2610" s="1" t="n">
        <v>3</v>
      </c>
      <c r="D2610" s="1" t="n">
        <v>1</v>
      </c>
      <c r="E2610" s="1" t="n">
        <v>1</v>
      </c>
      <c r="F2610" s="3" t="s">
        <v>20</v>
      </c>
      <c r="G2610" s="3" t="s">
        <v>10567</v>
      </c>
      <c r="H2610" s="1" t="s">
        <v>22</v>
      </c>
      <c r="I2610" s="1" t="n">
        <v>20240429161731</v>
      </c>
      <c r="J2610" s="3" t="s">
        <v>10568</v>
      </c>
      <c r="K2610" s="3" t="s">
        <v>10569</v>
      </c>
      <c r="L2610" s="3" t="s">
        <v>10570</v>
      </c>
      <c r="M2610" s="3" t="n">
        <v>124169</v>
      </c>
      <c r="N2610" s="3" t="s">
        <v>3225</v>
      </c>
      <c r="O2610" s="1" t="n">
        <v>107783</v>
      </c>
      <c r="P2610" s="1" t="n">
        <v>86.8</v>
      </c>
      <c r="Q2610" s="1" t="s">
        <v>20</v>
      </c>
      <c r="R2610" s="1" t="s">
        <v>27</v>
      </c>
      <c r="S2610" s="1" t="s">
        <v>28</v>
      </c>
      <c r="T2610" s="1" t="s">
        <v>29</v>
      </c>
    </row>
    <row r="2611" customFormat="false" ht="18.7" hidden="false" customHeight="true" outlineLevel="0" collapsed="false">
      <c r="A2611" s="1" t="n">
        <v>2610</v>
      </c>
      <c r="B2611" s="6" t="str">
        <f aca="false">HYPERLINK("https://mncourtfraud.com/file/MCRO_27-CR-22-15358_Notice of Remote Hearing with Instructions_2023-08-11_20240429161725.pdf","MCRO_27-CR-22-15358_Notice of Remote Hearing with Instructions_2023-08-11_20240429161725.pdf")</f>
        <v>MCRO_27-CR-22-15358_Notice of Remote Hearing with Instructions_2023-08-11_20240429161725.pdf</v>
      </c>
      <c r="C2611" s="1" t="n">
        <v>5</v>
      </c>
      <c r="D2611" s="1" t="n">
        <v>1</v>
      </c>
      <c r="E2611" s="1" t="n">
        <v>1</v>
      </c>
      <c r="F2611" s="3" t="s">
        <v>20</v>
      </c>
      <c r="G2611" s="3" t="s">
        <v>10571</v>
      </c>
      <c r="H2611" s="1" t="s">
        <v>22</v>
      </c>
      <c r="I2611" s="1" t="n">
        <v>20240429161725</v>
      </c>
      <c r="J2611" s="3" t="s">
        <v>10572</v>
      </c>
      <c r="K2611" s="3" t="s">
        <v>10573</v>
      </c>
      <c r="L2611" s="3" t="s">
        <v>10574</v>
      </c>
      <c r="M2611" s="3" t="n">
        <v>844751</v>
      </c>
      <c r="N2611" s="3" t="s">
        <v>510</v>
      </c>
      <c r="O2611" s="1" t="n">
        <v>828365</v>
      </c>
      <c r="P2611" s="1" t="n">
        <v>98.06</v>
      </c>
      <c r="Q2611" s="1" t="s">
        <v>20</v>
      </c>
      <c r="R2611" s="1" t="s">
        <v>27</v>
      </c>
      <c r="S2611" s="1" t="s">
        <v>28</v>
      </c>
      <c r="T2611" s="1" t="s">
        <v>29</v>
      </c>
    </row>
    <row r="2612" customFormat="false" ht="18.7" hidden="false" customHeight="true" outlineLevel="0" collapsed="false">
      <c r="A2612" s="1" t="n">
        <v>2611</v>
      </c>
      <c r="B2612" s="6" t="str">
        <f aca="false">HYPERLINK("https://mncourtfraud.com/file/MCRO_27-CR-22-15358_Notice of Remote Hearing with Instructions_2024-03-19_20240429161721.pdf","MCRO_27-CR-22-15358_Notice of Remote Hearing with Instructions_2024-03-19_20240429161721.pdf")</f>
        <v>MCRO_27-CR-22-15358_Notice of Remote Hearing with Instructions_2024-03-19_20240429161721.pdf</v>
      </c>
      <c r="C2612" s="1" t="n">
        <v>4</v>
      </c>
      <c r="D2612" s="1" t="n">
        <v>1</v>
      </c>
      <c r="E2612" s="1" t="n">
        <v>1</v>
      </c>
      <c r="F2612" s="3" t="s">
        <v>20</v>
      </c>
      <c r="G2612" s="3" t="s">
        <v>10575</v>
      </c>
      <c r="H2612" s="1" t="s">
        <v>22</v>
      </c>
      <c r="I2612" s="1" t="n">
        <v>20240429161721</v>
      </c>
      <c r="J2612" s="3" t="s">
        <v>10576</v>
      </c>
      <c r="K2612" s="3" t="s">
        <v>10577</v>
      </c>
      <c r="L2612" s="3" t="s">
        <v>10578</v>
      </c>
      <c r="M2612" s="3" t="n">
        <v>256260</v>
      </c>
      <c r="N2612" s="3" t="s">
        <v>74</v>
      </c>
      <c r="O2612" s="1" t="n">
        <v>239874</v>
      </c>
      <c r="P2612" s="1" t="n">
        <v>93.61</v>
      </c>
      <c r="Q2612" s="1" t="s">
        <v>20</v>
      </c>
      <c r="R2612" s="1" t="s">
        <v>27</v>
      </c>
      <c r="S2612" s="1" t="s">
        <v>28</v>
      </c>
      <c r="T2612" s="1" t="s">
        <v>29</v>
      </c>
    </row>
    <row r="2613" customFormat="false" ht="18.7" hidden="false" customHeight="true" outlineLevel="0" collapsed="false">
      <c r="A2613" s="1" t="n">
        <v>2612</v>
      </c>
      <c r="B2613" s="6" t="str">
        <f aca="false">HYPERLINK("https://mncourtfraud.com/file/MCRO_27-CR-22-15358_Notice of Remote Hearing with Instructions_2024-04-24_20240429161718.pdf","MCRO_27-CR-22-15358_Notice of Remote Hearing with Instructions_2024-04-24_20240429161718.pdf")</f>
        <v>MCRO_27-CR-22-15358_Notice of Remote Hearing with Instructions_2024-04-24_20240429161718.pdf</v>
      </c>
      <c r="C2613" s="1" t="n">
        <v>4</v>
      </c>
      <c r="D2613" s="1" t="n">
        <v>1</v>
      </c>
      <c r="E2613" s="1" t="n">
        <v>1</v>
      </c>
      <c r="F2613" s="3" t="s">
        <v>20</v>
      </c>
      <c r="G2613" s="3" t="s">
        <v>10579</v>
      </c>
      <c r="H2613" s="1" t="s">
        <v>22</v>
      </c>
      <c r="I2613" s="1" t="n">
        <v>20240429161718</v>
      </c>
      <c r="J2613" s="3" t="s">
        <v>10580</v>
      </c>
      <c r="K2613" s="3" t="s">
        <v>10581</v>
      </c>
      <c r="L2613" s="3" t="s">
        <v>10582</v>
      </c>
      <c r="M2613" s="3" t="n">
        <v>255975</v>
      </c>
      <c r="N2613" s="3" t="s">
        <v>74</v>
      </c>
      <c r="O2613" s="1" t="n">
        <v>239589</v>
      </c>
      <c r="P2613" s="1" t="n">
        <v>93.6</v>
      </c>
      <c r="Q2613" s="1" t="s">
        <v>20</v>
      </c>
      <c r="R2613" s="1" t="s">
        <v>27</v>
      </c>
      <c r="S2613" s="1" t="s">
        <v>28</v>
      </c>
      <c r="T2613" s="1" t="s">
        <v>29</v>
      </c>
    </row>
    <row r="2614" customFormat="false" ht="18.7" hidden="false" customHeight="true" outlineLevel="0" collapsed="false">
      <c r="A2614" s="1" t="n">
        <v>2613</v>
      </c>
      <c r="B2614" s="6" t="str">
        <f aca="false">HYPERLINK("https://mncourtfraud.com/file/MCRO_27-CR-22-15358_Order-Evaluation for Competency to Proceed (Rule 20.01)_2022-12-09_20240429161729.pdf","MCRO_27-CR-22-15358_Order-Evaluation for Competency to Proceed (Rule 20.01)_2022-12-09_20240429161729.pdf")</f>
        <v>MCRO_27-CR-22-15358_Order-Evaluation for Competency to Proceed (Rule 20.01)_2022-12-09_20240429161729.pdf</v>
      </c>
      <c r="C2614" s="1" t="n">
        <v>3</v>
      </c>
      <c r="D2614" s="1" t="n">
        <v>1</v>
      </c>
      <c r="E2614" s="1" t="n">
        <v>1</v>
      </c>
      <c r="F2614" s="3" t="s">
        <v>20</v>
      </c>
      <c r="G2614" s="3" t="s">
        <v>10583</v>
      </c>
      <c r="H2614" s="1" t="s">
        <v>22</v>
      </c>
      <c r="I2614" s="1" t="n">
        <v>20240429161729</v>
      </c>
      <c r="J2614" s="3" t="s">
        <v>10584</v>
      </c>
      <c r="K2614" s="3" t="s">
        <v>10585</v>
      </c>
      <c r="L2614" s="3" t="s">
        <v>10586</v>
      </c>
      <c r="M2614" s="3" t="n">
        <v>810566</v>
      </c>
      <c r="N2614" s="3" t="s">
        <v>2520</v>
      </c>
      <c r="O2614" s="1" t="n">
        <v>794180</v>
      </c>
      <c r="P2614" s="1" t="n">
        <v>97.98</v>
      </c>
      <c r="Q2614" s="1" t="s">
        <v>20</v>
      </c>
      <c r="R2614" s="1" t="s">
        <v>27</v>
      </c>
      <c r="S2614" s="1" t="s">
        <v>28</v>
      </c>
      <c r="T2614" s="1" t="s">
        <v>29</v>
      </c>
    </row>
    <row r="2615" customFormat="false" ht="18.7" hidden="false" customHeight="true" outlineLevel="0" collapsed="false">
      <c r="A2615" s="1" t="n">
        <v>2614</v>
      </c>
      <c r="B2615" s="6" t="str">
        <f aca="false">HYPERLINK("https://mncourtfraud.com/file/MCRO_27-CR-22-15358_Order-Evaluation for Competency to Proceed (Rule 20.01)_2023-06-12_20240429161726.pdf","MCRO_27-CR-22-15358_Order-Evaluation for Competency to Proceed (Rule 20.01)_2023-06-12_20240429161726.pdf")</f>
        <v>MCRO_27-CR-22-15358_Order-Evaluation for Competency to Proceed (Rule 20.01)_2023-06-12_20240429161726.pdf</v>
      </c>
      <c r="C2615" s="1" t="n">
        <v>6</v>
      </c>
      <c r="D2615" s="1" t="n">
        <v>2</v>
      </c>
      <c r="E2615" s="1" t="n">
        <v>2</v>
      </c>
      <c r="F2615" s="3" t="s">
        <v>27</v>
      </c>
      <c r="G2615" s="3" t="s">
        <v>10587</v>
      </c>
      <c r="H2615" s="1" t="s">
        <v>22</v>
      </c>
      <c r="I2615" s="1" t="n">
        <v>20240429161726</v>
      </c>
      <c r="J2615" s="3" t="s">
        <v>10588</v>
      </c>
      <c r="K2615" s="3" t="s">
        <v>10589</v>
      </c>
      <c r="L2615" s="3" t="s">
        <v>10590</v>
      </c>
      <c r="M2615" s="3" t="n">
        <v>884803</v>
      </c>
      <c r="N2615" s="3" t="s">
        <v>810</v>
      </c>
      <c r="O2615" s="1" t="n">
        <v>868417</v>
      </c>
      <c r="P2615" s="1" t="n">
        <v>98.15</v>
      </c>
      <c r="Q2615" s="1" t="s">
        <v>20</v>
      </c>
      <c r="R2615" s="1" t="s">
        <v>27</v>
      </c>
      <c r="S2615" s="1" t="s">
        <v>28</v>
      </c>
      <c r="T2615" s="1" t="s">
        <v>29</v>
      </c>
    </row>
    <row r="2616" customFormat="false" ht="18.7" hidden="false" customHeight="true" outlineLevel="0" collapsed="false">
      <c r="A2616" s="1" t="n">
        <v>2615</v>
      </c>
      <c r="B2616" s="6" t="str">
        <f aca="false">HYPERLINK("https://mncourtfraud.com/file/MCRO_27-CR-22-15358_Order-Evaluation for Competency to Proceed (Rule 20.01)_2024-01-11_20240429161723.pdf","MCRO_27-CR-22-15358_Order-Evaluation for Competency to Proceed (Rule 20.01)_2024-01-11_20240429161723.pdf")</f>
        <v>MCRO_27-CR-22-15358_Order-Evaluation for Competency to Proceed (Rule 20.01)_2024-01-11_20240429161723.pdf</v>
      </c>
      <c r="C2616" s="1" t="n">
        <v>5</v>
      </c>
      <c r="D2616" s="1" t="n">
        <v>1</v>
      </c>
      <c r="E2616" s="1" t="n">
        <v>1</v>
      </c>
      <c r="F2616" s="3" t="s">
        <v>20</v>
      </c>
      <c r="G2616" s="3" t="s">
        <v>10591</v>
      </c>
      <c r="H2616" s="1" t="s">
        <v>22</v>
      </c>
      <c r="I2616" s="1" t="n">
        <v>20240429161723</v>
      </c>
      <c r="J2616" s="3" t="s">
        <v>10592</v>
      </c>
      <c r="K2616" s="3" t="s">
        <v>10593</v>
      </c>
      <c r="L2616" s="3" t="s">
        <v>10594</v>
      </c>
      <c r="M2616" s="3" t="n">
        <v>760754</v>
      </c>
      <c r="N2616" s="3" t="s">
        <v>1091</v>
      </c>
      <c r="O2616" s="1" t="n">
        <v>744368</v>
      </c>
      <c r="P2616" s="1" t="n">
        <v>97.85</v>
      </c>
      <c r="Q2616" s="1" t="s">
        <v>20</v>
      </c>
      <c r="R2616" s="1" t="s">
        <v>27</v>
      </c>
      <c r="S2616" s="1" t="s">
        <v>28</v>
      </c>
      <c r="T2616" s="1" t="s">
        <v>29</v>
      </c>
    </row>
    <row r="2617" customFormat="false" ht="18.7" hidden="false" customHeight="true" outlineLevel="0" collapsed="false">
      <c r="A2617" s="1" t="n">
        <v>2616</v>
      </c>
      <c r="B2617" s="6" t="str">
        <f aca="false">HYPERLINK("https://mncourtfraud.com/file/MCRO_27-CR-22-15358_Order-Evaluation for Competency to Proceed (Rule 20.01)_2024-04-23_20240429161719.pdf","MCRO_27-CR-22-15358_Order-Evaluation for Competency to Proceed (Rule 20.01)_2024-04-23_20240429161719.pdf")</f>
        <v>MCRO_27-CR-22-15358_Order-Evaluation for Competency to Proceed (Rule 20.01)_2024-04-23_20240429161719.pdf</v>
      </c>
      <c r="C2617" s="1" t="n">
        <v>4</v>
      </c>
      <c r="D2617" s="1" t="n">
        <v>1</v>
      </c>
      <c r="E2617" s="1" t="n">
        <v>1</v>
      </c>
      <c r="F2617" s="3" t="s">
        <v>20</v>
      </c>
      <c r="G2617" s="3" t="s">
        <v>10595</v>
      </c>
      <c r="H2617" s="1" t="s">
        <v>22</v>
      </c>
      <c r="I2617" s="1" t="n">
        <v>20240429161719</v>
      </c>
      <c r="J2617" s="3" t="s">
        <v>10596</v>
      </c>
      <c r="K2617" s="3" t="s">
        <v>10597</v>
      </c>
      <c r="L2617" s="3" t="s">
        <v>4539</v>
      </c>
      <c r="M2617" s="3" t="n">
        <v>265399</v>
      </c>
      <c r="N2617" s="3" t="s">
        <v>1222</v>
      </c>
      <c r="O2617" s="1" t="n">
        <v>249013</v>
      </c>
      <c r="P2617" s="1" t="n">
        <v>93.83</v>
      </c>
      <c r="Q2617" s="1" t="s">
        <v>20</v>
      </c>
      <c r="R2617" s="1" t="s">
        <v>27</v>
      </c>
      <c r="S2617" s="1" t="s">
        <v>28</v>
      </c>
      <c r="T2617" s="1" t="s">
        <v>29</v>
      </c>
    </row>
    <row r="2618" customFormat="false" ht="18.7" hidden="false" customHeight="true" outlineLevel="0" collapsed="false">
      <c r="A2618" s="1" t="n">
        <v>2617</v>
      </c>
      <c r="B2618" s="6" t="str">
        <f aca="false">HYPERLINK("https://mncourtfraud.com/file/MCRO_27-CR-22-15358_Returned Mail_2023-08-25_20240429161724.pdf","MCRO_27-CR-22-15358_Returned Mail_2023-08-25_20240429161724.pdf")</f>
        <v>MCRO_27-CR-22-15358_Returned Mail_2023-08-25_20240429161724.pdf</v>
      </c>
      <c r="C2618" s="1" t="n">
        <v>4</v>
      </c>
      <c r="D2618" s="1" t="n">
        <v>1</v>
      </c>
      <c r="E2618" s="1" t="n">
        <v>1</v>
      </c>
      <c r="F2618" s="3" t="s">
        <v>20</v>
      </c>
      <c r="G2618" s="3" t="s">
        <v>10598</v>
      </c>
      <c r="H2618" s="1" t="s">
        <v>22</v>
      </c>
      <c r="I2618" s="1" t="n">
        <v>20240429161724</v>
      </c>
      <c r="J2618" s="3" t="s">
        <v>10592</v>
      </c>
      <c r="K2618" s="3" t="s">
        <v>10593</v>
      </c>
      <c r="L2618" s="3" t="s">
        <v>10546</v>
      </c>
      <c r="M2618" s="3" t="n">
        <v>116534</v>
      </c>
      <c r="N2618" s="3" t="s">
        <v>3269</v>
      </c>
      <c r="O2618" s="1" t="n">
        <v>100148</v>
      </c>
      <c r="P2618" s="1" t="n">
        <v>85.94</v>
      </c>
      <c r="Q2618" s="1" t="s">
        <v>20</v>
      </c>
      <c r="R2618" s="1" t="s">
        <v>27</v>
      </c>
      <c r="S2618" s="1" t="s">
        <v>28</v>
      </c>
      <c r="T2618" s="1" t="s">
        <v>29</v>
      </c>
    </row>
    <row r="2619" customFormat="false" ht="18.7" hidden="false" customHeight="true" outlineLevel="0" collapsed="false">
      <c r="A2619" s="1" t="n">
        <v>2618</v>
      </c>
      <c r="B2619" s="6" t="str">
        <f aca="false">HYPERLINK("https://mncourtfraud.com/file/MCRO_27-CR-22-15358_Returned Mail_2024-04-09_20240429161720.pdf","MCRO_27-CR-22-15358_Returned Mail_2024-04-09_20240429161720.pdf")</f>
        <v>MCRO_27-CR-22-15358_Returned Mail_2024-04-09_20240429161720.pdf</v>
      </c>
      <c r="C2619" s="1" t="n">
        <v>4</v>
      </c>
      <c r="D2619" s="1" t="n">
        <v>1</v>
      </c>
      <c r="E2619" s="1" t="n">
        <v>1</v>
      </c>
      <c r="F2619" s="3" t="s">
        <v>20</v>
      </c>
      <c r="G2619" s="3" t="s">
        <v>10599</v>
      </c>
      <c r="H2619" s="1" t="s">
        <v>22</v>
      </c>
      <c r="I2619" s="1" t="n">
        <v>20240429161720</v>
      </c>
      <c r="J2619" s="3" t="s">
        <v>10600</v>
      </c>
      <c r="K2619" s="3" t="s">
        <v>10601</v>
      </c>
      <c r="L2619" s="3" t="s">
        <v>10602</v>
      </c>
      <c r="M2619" s="3" t="n">
        <v>308338</v>
      </c>
      <c r="N2619" s="3" t="s">
        <v>158</v>
      </c>
      <c r="O2619" s="1" t="n">
        <v>291952</v>
      </c>
      <c r="P2619" s="1" t="n">
        <v>94.69</v>
      </c>
      <c r="Q2619" s="1" t="s">
        <v>20</v>
      </c>
      <c r="R2619" s="1" t="s">
        <v>27</v>
      </c>
      <c r="S2619" s="1" t="s">
        <v>28</v>
      </c>
      <c r="T2619" s="1" t="s">
        <v>29</v>
      </c>
    </row>
    <row r="2620" customFormat="false" ht="18.7" hidden="false" customHeight="true" outlineLevel="0" collapsed="false">
      <c r="A2620" s="1" t="n">
        <v>2619</v>
      </c>
      <c r="B2620" s="6" t="str">
        <f aca="false">HYPERLINK("https://mncourtfraud.com/file/MCRO_27-CR-22-15430_E-filed Comp-Warrant_2022-08-05_20240429161818.pdf","MCRO_27-CR-22-15430_E-filed Comp-Warrant_2022-08-05_20240429161818.pdf")</f>
        <v>MCRO_27-CR-22-15430_E-filed Comp-Warrant_2022-08-05_20240429161818.pdf</v>
      </c>
      <c r="C2620" s="1" t="n">
        <v>5</v>
      </c>
      <c r="D2620" s="1" t="n">
        <v>2</v>
      </c>
      <c r="E2620" s="1" t="n">
        <v>2</v>
      </c>
      <c r="F2620" s="3" t="s">
        <v>20</v>
      </c>
      <c r="G2620" s="3" t="s">
        <v>10603</v>
      </c>
      <c r="H2620" s="1" t="s">
        <v>22</v>
      </c>
      <c r="I2620" s="1" t="n">
        <v>20240429161818</v>
      </c>
      <c r="J2620" s="3" t="s">
        <v>10604</v>
      </c>
      <c r="K2620" s="3" t="s">
        <v>10605</v>
      </c>
      <c r="L2620" s="3" t="s">
        <v>10606</v>
      </c>
      <c r="M2620" s="3" t="n">
        <v>449470</v>
      </c>
      <c r="N2620" s="3" t="s">
        <v>4912</v>
      </c>
      <c r="O2620" s="1" t="n">
        <v>433084</v>
      </c>
      <c r="P2620" s="1" t="n">
        <v>96.35</v>
      </c>
      <c r="Q2620" s="1" t="s">
        <v>20</v>
      </c>
      <c r="R2620" s="1" t="s">
        <v>27</v>
      </c>
      <c r="S2620" s="1" t="s">
        <v>28</v>
      </c>
      <c r="T2620" s="1" t="s">
        <v>29</v>
      </c>
    </row>
    <row r="2621" customFormat="false" ht="18.7" hidden="false" customHeight="true" outlineLevel="0" collapsed="false">
      <c r="A2621" s="1" t="n">
        <v>2620</v>
      </c>
      <c r="B2621" s="6" t="str">
        <f aca="false">HYPERLINK("https://mncourtfraud.com/file/MCRO_27-CR-22-15430_Findings and Order_2022-08-30_20240429161816.pdf","MCRO_27-CR-22-15430_Findings and Order_2022-08-30_20240429161816.pdf")</f>
        <v>MCRO_27-CR-22-15430_Findings and Order_2022-08-30_20240429161816.pdf</v>
      </c>
      <c r="C2621" s="1" t="n">
        <v>6</v>
      </c>
      <c r="D2621" s="1" t="n">
        <v>1</v>
      </c>
      <c r="E2621" s="1" t="n">
        <v>1</v>
      </c>
      <c r="F2621" s="3" t="s">
        <v>20</v>
      </c>
      <c r="G2621" s="3" t="s">
        <v>10607</v>
      </c>
      <c r="H2621" s="1" t="s">
        <v>22</v>
      </c>
      <c r="I2621" s="1" t="n">
        <v>20240429161816</v>
      </c>
      <c r="J2621" s="3" t="s">
        <v>10608</v>
      </c>
      <c r="K2621" s="3" t="s">
        <v>10609</v>
      </c>
      <c r="L2621" s="3" t="s">
        <v>10610</v>
      </c>
      <c r="M2621" s="3" t="n">
        <v>243111</v>
      </c>
      <c r="N2621" s="3" t="s">
        <v>4183</v>
      </c>
      <c r="O2621" s="1" t="n">
        <v>226725</v>
      </c>
      <c r="P2621" s="1" t="n">
        <v>93.26</v>
      </c>
      <c r="Q2621" s="1" t="s">
        <v>20</v>
      </c>
      <c r="R2621" s="1" t="s">
        <v>27</v>
      </c>
      <c r="S2621" s="1" t="s">
        <v>28</v>
      </c>
      <c r="T2621" s="1" t="s">
        <v>29</v>
      </c>
    </row>
    <row r="2622" customFormat="false" ht="18.7" hidden="false" customHeight="true" outlineLevel="0" collapsed="false">
      <c r="A2622" s="1" t="n">
        <v>2621</v>
      </c>
      <c r="B2622" s="6" t="str">
        <f aca="false">HYPERLINK("https://mncourtfraud.com/file/MCRO_27-CR-22-15430_Notice of Hearing_2023-12-14_20240429161811.pdf","MCRO_27-CR-22-15430_Notice of Hearing_2023-12-14_20240429161811.pdf")</f>
        <v>MCRO_27-CR-22-15430_Notice of Hearing_2023-12-14_20240429161811.pdf</v>
      </c>
      <c r="C2622" s="1" t="n">
        <v>4</v>
      </c>
      <c r="D2622" s="1" t="n">
        <v>1</v>
      </c>
      <c r="E2622" s="1" t="n">
        <v>1</v>
      </c>
      <c r="F2622" s="3" t="s">
        <v>20</v>
      </c>
      <c r="G2622" s="3" t="s">
        <v>10611</v>
      </c>
      <c r="H2622" s="1" t="s">
        <v>22</v>
      </c>
      <c r="I2622" s="1" t="n">
        <v>20240429161811</v>
      </c>
      <c r="J2622" s="3" t="s">
        <v>10612</v>
      </c>
      <c r="K2622" s="3" t="s">
        <v>10613</v>
      </c>
      <c r="L2622" s="3" t="s">
        <v>10614</v>
      </c>
      <c r="M2622" s="3" t="n">
        <v>108919</v>
      </c>
      <c r="N2622" s="3" t="s">
        <v>3269</v>
      </c>
      <c r="O2622" s="1" t="n">
        <v>92533</v>
      </c>
      <c r="P2622" s="1" t="n">
        <v>84.96</v>
      </c>
      <c r="Q2622" s="1" t="s">
        <v>20</v>
      </c>
      <c r="R2622" s="1" t="s">
        <v>27</v>
      </c>
      <c r="S2622" s="1" t="s">
        <v>28</v>
      </c>
      <c r="T2622" s="1" t="s">
        <v>29</v>
      </c>
    </row>
    <row r="2623" customFormat="false" ht="18.7" hidden="false" customHeight="true" outlineLevel="0" collapsed="false">
      <c r="A2623" s="1" t="n">
        <v>2622</v>
      </c>
      <c r="B2623" s="6" t="str">
        <f aca="false">HYPERLINK("https://mncourtfraud.com/file/MCRO_27-CR-22-15430_Notice of Hearing_2024-04-16_20240429161809.pdf","MCRO_27-CR-22-15430_Notice of Hearing_2024-04-16_20240429161809.pdf")</f>
        <v>MCRO_27-CR-22-15430_Notice of Hearing_2024-04-16_20240429161809.pdf</v>
      </c>
      <c r="C2623" s="1" t="n">
        <v>4</v>
      </c>
      <c r="D2623" s="1" t="n">
        <v>1</v>
      </c>
      <c r="E2623" s="1" t="n">
        <v>1</v>
      </c>
      <c r="F2623" s="3" t="s">
        <v>20</v>
      </c>
      <c r="G2623" s="3" t="s">
        <v>10615</v>
      </c>
      <c r="H2623" s="1" t="s">
        <v>22</v>
      </c>
      <c r="I2623" s="1" t="n">
        <v>20240429161809</v>
      </c>
      <c r="J2623" s="3" t="s">
        <v>10616</v>
      </c>
      <c r="K2623" s="3" t="s">
        <v>10617</v>
      </c>
      <c r="L2623" s="3" t="s">
        <v>10618</v>
      </c>
      <c r="M2623" s="3" t="n">
        <v>687158</v>
      </c>
      <c r="N2623" s="3" t="s">
        <v>1065</v>
      </c>
      <c r="O2623" s="1" t="n">
        <v>670772</v>
      </c>
      <c r="P2623" s="1" t="n">
        <v>97.62</v>
      </c>
      <c r="Q2623" s="1" t="s">
        <v>20</v>
      </c>
      <c r="R2623" s="1" t="s">
        <v>27</v>
      </c>
      <c r="S2623" s="1" t="s">
        <v>28</v>
      </c>
      <c r="T2623" s="1" t="s">
        <v>29</v>
      </c>
    </row>
    <row r="2624" customFormat="false" ht="18.7" hidden="false" customHeight="true" outlineLevel="0" collapsed="false">
      <c r="A2624" s="1" t="n">
        <v>2623</v>
      </c>
      <c r="B2624" s="6" t="str">
        <f aca="false">HYPERLINK("https://mncourtfraud.com/file/MCRO_27-CR-22-15430_Notice of Intent to Prosecute_2022-09-06_20240429161816.pdf","MCRO_27-CR-22-15430_Notice of Intent to Prosecute_2022-09-06_20240429161816.pdf")</f>
        <v>MCRO_27-CR-22-15430_Notice of Intent to Prosecute_2022-09-06_20240429161816.pdf</v>
      </c>
      <c r="C2624" s="1" t="n">
        <v>3</v>
      </c>
      <c r="D2624" s="1" t="n">
        <v>1</v>
      </c>
      <c r="E2624" s="1" t="n">
        <v>1</v>
      </c>
      <c r="F2624" s="3" t="s">
        <v>20</v>
      </c>
      <c r="G2624" s="3" t="s">
        <v>10619</v>
      </c>
      <c r="H2624" s="1" t="s">
        <v>22</v>
      </c>
      <c r="I2624" s="1" t="n">
        <v>20240429161816</v>
      </c>
      <c r="J2624" s="3" t="s">
        <v>10608</v>
      </c>
      <c r="K2624" s="3" t="s">
        <v>10609</v>
      </c>
      <c r="L2624" s="3" t="s">
        <v>10620</v>
      </c>
      <c r="M2624" s="3" t="n">
        <v>114943</v>
      </c>
      <c r="N2624" s="3" t="s">
        <v>650</v>
      </c>
      <c r="O2624" s="1" t="n">
        <v>98557</v>
      </c>
      <c r="P2624" s="1" t="n">
        <v>85.74</v>
      </c>
      <c r="Q2624" s="1" t="s">
        <v>20</v>
      </c>
      <c r="R2624" s="1" t="s">
        <v>27</v>
      </c>
      <c r="S2624" s="1" t="s">
        <v>28</v>
      </c>
      <c r="T2624" s="1" t="s">
        <v>29</v>
      </c>
    </row>
    <row r="2625" customFormat="false" ht="18.7" hidden="false" customHeight="true" outlineLevel="0" collapsed="false">
      <c r="A2625" s="1" t="n">
        <v>2624</v>
      </c>
      <c r="B2625" s="6" t="str">
        <f aca="false">HYPERLINK("https://mncourtfraud.com/file/MCRO_27-CR-22-15430_Notice of Remote Hearing with Instructions_2023-06-28_20240429161812.pdf","MCRO_27-CR-22-15430_Notice of Remote Hearing with Instructions_2023-06-28_20240429161812.pdf")</f>
        <v>MCRO_27-CR-22-15430_Notice of Remote Hearing with Instructions_2023-06-28_20240429161812.pdf</v>
      </c>
      <c r="C2625" s="1" t="n">
        <v>5</v>
      </c>
      <c r="D2625" s="1" t="n">
        <v>1</v>
      </c>
      <c r="E2625" s="1" t="n">
        <v>1</v>
      </c>
      <c r="F2625" s="3" t="s">
        <v>20</v>
      </c>
      <c r="G2625" s="3" t="s">
        <v>10621</v>
      </c>
      <c r="H2625" s="1" t="s">
        <v>22</v>
      </c>
      <c r="I2625" s="1" t="n">
        <v>20240429161812</v>
      </c>
      <c r="J2625" s="3" t="s">
        <v>10622</v>
      </c>
      <c r="K2625" s="3" t="s">
        <v>10623</v>
      </c>
      <c r="L2625" s="3" t="s">
        <v>10624</v>
      </c>
      <c r="M2625" s="3" t="n">
        <v>846671</v>
      </c>
      <c r="N2625" s="3" t="s">
        <v>2852</v>
      </c>
      <c r="O2625" s="1" t="n">
        <v>830285</v>
      </c>
      <c r="P2625" s="1" t="n">
        <v>98.06</v>
      </c>
      <c r="Q2625" s="1" t="s">
        <v>20</v>
      </c>
      <c r="R2625" s="1" t="s">
        <v>27</v>
      </c>
      <c r="S2625" s="1" t="s">
        <v>28</v>
      </c>
      <c r="T2625" s="1" t="s">
        <v>29</v>
      </c>
    </row>
    <row r="2626" customFormat="false" ht="18.7" hidden="false" customHeight="true" outlineLevel="0" collapsed="false">
      <c r="A2626" s="1" t="n">
        <v>2625</v>
      </c>
      <c r="B2626" s="6" t="str">
        <f aca="false">HYPERLINK("https://mncourtfraud.com/file/MCRO_27-CR-22-15430_Notice of Remote Hearing with Instructions_2023-10-10_20240429161812.pdf","MCRO_27-CR-22-15430_Notice of Remote Hearing with Instructions_2023-10-10_20240429161812.pdf")</f>
        <v>MCRO_27-CR-22-15430_Notice of Remote Hearing with Instructions_2023-10-10_20240429161812.pdf</v>
      </c>
      <c r="C2626" s="1" t="n">
        <v>5</v>
      </c>
      <c r="D2626" s="1" t="n">
        <v>1</v>
      </c>
      <c r="E2626" s="1" t="n">
        <v>1</v>
      </c>
      <c r="F2626" s="3" t="s">
        <v>20</v>
      </c>
      <c r="G2626" s="3" t="s">
        <v>10625</v>
      </c>
      <c r="H2626" s="1" t="s">
        <v>22</v>
      </c>
      <c r="I2626" s="1" t="n">
        <v>20240429161812</v>
      </c>
      <c r="J2626" s="3" t="s">
        <v>10622</v>
      </c>
      <c r="K2626" s="3" t="s">
        <v>10623</v>
      </c>
      <c r="L2626" s="3" t="s">
        <v>10626</v>
      </c>
      <c r="M2626" s="3" t="n">
        <v>841076</v>
      </c>
      <c r="N2626" s="3" t="s">
        <v>510</v>
      </c>
      <c r="O2626" s="1" t="n">
        <v>824690</v>
      </c>
      <c r="P2626" s="1" t="n">
        <v>98.05</v>
      </c>
      <c r="Q2626" s="1" t="s">
        <v>20</v>
      </c>
      <c r="R2626" s="1" t="s">
        <v>27</v>
      </c>
      <c r="S2626" s="1" t="s">
        <v>28</v>
      </c>
      <c r="T2626" s="1" t="s">
        <v>29</v>
      </c>
    </row>
    <row r="2627" customFormat="false" ht="18.7" hidden="false" customHeight="true" outlineLevel="0" collapsed="false">
      <c r="A2627" s="1" t="n">
        <v>2626</v>
      </c>
      <c r="B2627" s="6" t="str">
        <f aca="false">HYPERLINK("https://mncourtfraud.com/file/MCRO_27-CR-22-15430_Order-Evaluation for Competency to Proceed (Rule 20.01)_2022-12-27_20240429161816.pdf","MCRO_27-CR-22-15430_Order-Evaluation for Competency to Proceed (Rule 20.01)_2022-12-27_20240429161816.pdf")</f>
        <v>MCRO_27-CR-22-15430_Order-Evaluation for Competency to Proceed (Rule 20.01)_2022-12-27_20240429161816.pdf</v>
      </c>
      <c r="C2627" s="1" t="n">
        <v>7</v>
      </c>
      <c r="D2627" s="1" t="n">
        <v>1</v>
      </c>
      <c r="E2627" s="1" t="n">
        <v>1</v>
      </c>
      <c r="F2627" s="3" t="s">
        <v>20</v>
      </c>
      <c r="G2627" s="3" t="s">
        <v>10627</v>
      </c>
      <c r="H2627" s="1" t="s">
        <v>22</v>
      </c>
      <c r="I2627" s="1" t="n">
        <v>20240429161816</v>
      </c>
      <c r="J2627" s="3" t="s">
        <v>10608</v>
      </c>
      <c r="K2627" s="3" t="s">
        <v>10609</v>
      </c>
      <c r="L2627" s="3" t="s">
        <v>10628</v>
      </c>
      <c r="M2627" s="3" t="n">
        <v>921528</v>
      </c>
      <c r="N2627" s="3" t="s">
        <v>1624</v>
      </c>
      <c r="O2627" s="1" t="n">
        <v>905142</v>
      </c>
      <c r="P2627" s="1" t="n">
        <v>98.22</v>
      </c>
      <c r="Q2627" s="1" t="s">
        <v>20</v>
      </c>
      <c r="R2627" s="1" t="s">
        <v>27</v>
      </c>
      <c r="S2627" s="1" t="s">
        <v>28</v>
      </c>
      <c r="T2627" s="1" t="s">
        <v>29</v>
      </c>
    </row>
    <row r="2628" customFormat="false" ht="18.7" hidden="false" customHeight="true" outlineLevel="0" collapsed="false">
      <c r="A2628" s="1" t="n">
        <v>2627</v>
      </c>
      <c r="B2628" s="6" t="str">
        <f aca="false">HYPERLINK("https://mncourtfraud.com/file/MCRO_27-CR-22-15430_Order-Evaluation for Competency to Proceed (Rule 20.01)_2023-06-28_20240429161814.pdf","MCRO_27-CR-22-15430_Order-Evaluation for Competency to Proceed (Rule 20.01)_2023-06-28_20240429161814.pdf")</f>
        <v>MCRO_27-CR-22-15430_Order-Evaluation for Competency to Proceed (Rule 20.01)_2023-06-28_20240429161814.pdf</v>
      </c>
      <c r="C2628" s="1" t="n">
        <v>9</v>
      </c>
      <c r="D2628" s="1" t="n">
        <v>3</v>
      </c>
      <c r="E2628" s="1" t="n">
        <v>3</v>
      </c>
      <c r="F2628" s="3" t="s">
        <v>27</v>
      </c>
      <c r="G2628" s="3" t="s">
        <v>10629</v>
      </c>
      <c r="H2628" s="1" t="s">
        <v>22</v>
      </c>
      <c r="I2628" s="1" t="n">
        <v>20240429161814</v>
      </c>
      <c r="J2628" s="3" t="s">
        <v>10630</v>
      </c>
      <c r="K2628" s="3" t="s">
        <v>10631</v>
      </c>
      <c r="L2628" s="3" t="s">
        <v>10632</v>
      </c>
      <c r="M2628" s="3" t="n">
        <v>922520</v>
      </c>
      <c r="N2628" s="3" t="s">
        <v>5006</v>
      </c>
      <c r="O2628" s="1" t="n">
        <v>906134</v>
      </c>
      <c r="P2628" s="1" t="n">
        <v>98.22</v>
      </c>
      <c r="Q2628" s="1" t="s">
        <v>20</v>
      </c>
      <c r="R2628" s="1" t="s">
        <v>27</v>
      </c>
      <c r="S2628" s="1" t="s">
        <v>28</v>
      </c>
      <c r="T2628" s="1" t="s">
        <v>29</v>
      </c>
    </row>
    <row r="2629" customFormat="false" ht="18.7" hidden="false" customHeight="true" outlineLevel="0" collapsed="false">
      <c r="A2629" s="1" t="n">
        <v>2628</v>
      </c>
      <c r="B2629" s="6" t="str">
        <f aca="false">HYPERLINK("https://mncourtfraud.com/file/MCRO_27-CR-22-15550_Demand or Request for Discovery_2022-08-15_20240429161925.pdf","MCRO_27-CR-22-15550_Demand or Request for Discovery_2022-08-15_20240429161925.pdf")</f>
        <v>MCRO_27-CR-22-15550_Demand or Request for Discovery_2022-08-15_20240429161925.pdf</v>
      </c>
      <c r="C2629" s="1" t="n">
        <v>3</v>
      </c>
      <c r="D2629" s="1" t="n">
        <v>1</v>
      </c>
      <c r="E2629" s="1" t="n">
        <v>1</v>
      </c>
      <c r="F2629" s="3" t="s">
        <v>20</v>
      </c>
      <c r="G2629" s="3" t="s">
        <v>10633</v>
      </c>
      <c r="H2629" s="1" t="s">
        <v>22</v>
      </c>
      <c r="I2629" s="1" t="n">
        <v>20240429161925</v>
      </c>
      <c r="J2629" s="3" t="s">
        <v>10634</v>
      </c>
      <c r="K2629" s="3" t="s">
        <v>10635</v>
      </c>
      <c r="L2629" s="3" t="s">
        <v>10636</v>
      </c>
      <c r="M2629" s="3" t="n">
        <v>713604</v>
      </c>
      <c r="N2629" s="3" t="s">
        <v>10637</v>
      </c>
      <c r="O2629" s="1" t="n">
        <v>697218</v>
      </c>
      <c r="P2629" s="1" t="n">
        <v>97.7</v>
      </c>
      <c r="Q2629" s="1" t="s">
        <v>20</v>
      </c>
      <c r="R2629" s="1" t="s">
        <v>27</v>
      </c>
      <c r="S2629" s="1" t="s">
        <v>28</v>
      </c>
      <c r="T2629" s="1" t="s">
        <v>29</v>
      </c>
    </row>
    <row r="2630" customFormat="false" ht="18.7" hidden="false" customHeight="true" outlineLevel="0" collapsed="false">
      <c r="A2630" s="1" t="n">
        <v>2629</v>
      </c>
      <c r="B2630" s="6" t="str">
        <f aca="false">HYPERLINK("https://mncourtfraud.com/file/MCRO_27-CR-22-15550_E-filed Comp-Order for Detention_2022-08-08_20240429161926.pdf","MCRO_27-CR-22-15550_E-filed Comp-Order for Detention_2022-08-08_20240429161926.pdf")</f>
        <v>MCRO_27-CR-22-15550_E-filed Comp-Order for Detention_2022-08-08_20240429161926.pdf</v>
      </c>
      <c r="C2630" s="1" t="n">
        <v>5</v>
      </c>
      <c r="D2630" s="1" t="n">
        <v>2</v>
      </c>
      <c r="E2630" s="1" t="n">
        <v>2</v>
      </c>
      <c r="F2630" s="3" t="s">
        <v>20</v>
      </c>
      <c r="G2630" s="3" t="s">
        <v>10638</v>
      </c>
      <c r="H2630" s="1" t="s">
        <v>22</v>
      </c>
      <c r="I2630" s="1" t="n">
        <v>20240429161926</v>
      </c>
      <c r="J2630" s="3" t="s">
        <v>10639</v>
      </c>
      <c r="K2630" s="3" t="s">
        <v>10640</v>
      </c>
      <c r="L2630" s="3" t="s">
        <v>10641</v>
      </c>
      <c r="M2630" s="3" t="n">
        <v>491912</v>
      </c>
      <c r="N2630" s="3" t="s">
        <v>10642</v>
      </c>
      <c r="O2630" s="1" t="n">
        <v>475526</v>
      </c>
      <c r="P2630" s="1" t="n">
        <v>96.67</v>
      </c>
      <c r="Q2630" s="1" t="s">
        <v>20</v>
      </c>
      <c r="R2630" s="1" t="s">
        <v>27</v>
      </c>
      <c r="S2630" s="1" t="s">
        <v>28</v>
      </c>
      <c r="T2630" s="1" t="s">
        <v>29</v>
      </c>
    </row>
    <row r="2631" customFormat="false" ht="18.7" hidden="false" customHeight="true" outlineLevel="0" collapsed="false">
      <c r="A2631" s="1" t="n">
        <v>2630</v>
      </c>
      <c r="B2631" s="6" t="str">
        <f aca="false">HYPERLINK("https://mncourtfraud.com/file/MCRO_27-CR-22-15550_Finding of Incompetency and Order_2023-07-12_20240429161911.pdf","MCRO_27-CR-22-15550_Finding of Incompetency and Order_2023-07-12_20240429161911.pdf")</f>
        <v>MCRO_27-CR-22-15550_Finding of Incompetency and Order_2023-07-12_20240429161911.pdf</v>
      </c>
      <c r="C2631" s="1" t="n">
        <v>9</v>
      </c>
      <c r="D2631" s="1" t="n">
        <v>3</v>
      </c>
      <c r="E2631" s="1" t="n">
        <v>3</v>
      </c>
      <c r="F2631" s="3" t="s">
        <v>27</v>
      </c>
      <c r="G2631" s="3" t="s">
        <v>10643</v>
      </c>
      <c r="H2631" s="1" t="s">
        <v>22</v>
      </c>
      <c r="I2631" s="1" t="n">
        <v>20240429161911</v>
      </c>
      <c r="J2631" s="3" t="s">
        <v>10644</v>
      </c>
      <c r="K2631" s="3" t="s">
        <v>10645</v>
      </c>
      <c r="L2631" s="3" t="s">
        <v>10646</v>
      </c>
      <c r="M2631" s="3" t="n">
        <v>927759</v>
      </c>
      <c r="N2631" s="3" t="s">
        <v>6172</v>
      </c>
      <c r="O2631" s="1" t="n">
        <v>911373</v>
      </c>
      <c r="P2631" s="1" t="n">
        <v>98.23</v>
      </c>
      <c r="Q2631" s="1" t="s">
        <v>20</v>
      </c>
      <c r="R2631" s="1" t="s">
        <v>27</v>
      </c>
      <c r="S2631" s="1" t="s">
        <v>28</v>
      </c>
      <c r="T2631" s="1" t="s">
        <v>29</v>
      </c>
    </row>
    <row r="2632" customFormat="false" ht="18.7" hidden="false" customHeight="true" outlineLevel="0" collapsed="false">
      <c r="A2632" s="1" t="n">
        <v>2631</v>
      </c>
      <c r="B2632" s="6" t="str">
        <f aca="false">HYPERLINK("https://mncourtfraud.com/file/MCRO_27-CR-22-15550_Findings and Order_2022-08-16_20240429161924.pdf","MCRO_27-CR-22-15550_Findings and Order_2022-08-16_20240429161924.pdf")</f>
        <v>MCRO_27-CR-22-15550_Findings and Order_2022-08-16_20240429161924.pdf</v>
      </c>
      <c r="C2632" s="1" t="n">
        <v>4</v>
      </c>
      <c r="D2632" s="1" t="n">
        <v>2</v>
      </c>
      <c r="E2632" s="1" t="n">
        <v>2</v>
      </c>
      <c r="F2632" s="3" t="s">
        <v>20</v>
      </c>
      <c r="G2632" s="3" t="s">
        <v>10647</v>
      </c>
      <c r="H2632" s="1" t="s">
        <v>22</v>
      </c>
      <c r="I2632" s="1" t="n">
        <v>20240429161924</v>
      </c>
      <c r="J2632" s="3" t="s">
        <v>10648</v>
      </c>
      <c r="K2632" s="3" t="s">
        <v>10649</v>
      </c>
      <c r="L2632" s="3" t="s">
        <v>10650</v>
      </c>
      <c r="M2632" s="3" t="n">
        <v>328771</v>
      </c>
      <c r="N2632" s="3" t="s">
        <v>6588</v>
      </c>
      <c r="O2632" s="1" t="n">
        <v>312385</v>
      </c>
      <c r="P2632" s="1" t="n">
        <v>95.02</v>
      </c>
      <c r="Q2632" s="1" t="s">
        <v>20</v>
      </c>
      <c r="R2632" s="1" t="s">
        <v>27</v>
      </c>
      <c r="S2632" s="1" t="s">
        <v>28</v>
      </c>
      <c r="T2632" s="1" t="s">
        <v>29</v>
      </c>
    </row>
    <row r="2633" customFormat="false" ht="18.7" hidden="false" customHeight="true" outlineLevel="0" collapsed="false">
      <c r="A2633" s="1" t="n">
        <v>2632</v>
      </c>
      <c r="B2633" s="6" t="str">
        <f aca="false">HYPERLINK("https://mncourtfraud.com/file/MCRO_27-CR-22-15550_Notice of Hearing_2024-03-11_20240429161907.pdf","MCRO_27-CR-22-15550_Notice of Hearing_2024-03-11_20240429161907.pdf")</f>
        <v>MCRO_27-CR-22-15550_Notice of Hearing_2024-03-11_20240429161907.pdf</v>
      </c>
      <c r="C2633" s="1" t="n">
        <v>4</v>
      </c>
      <c r="D2633" s="1" t="n">
        <v>1</v>
      </c>
      <c r="E2633" s="1" t="n">
        <v>1</v>
      </c>
      <c r="F2633" s="3" t="s">
        <v>20</v>
      </c>
      <c r="G2633" s="3" t="s">
        <v>10651</v>
      </c>
      <c r="H2633" s="1" t="s">
        <v>22</v>
      </c>
      <c r="I2633" s="1" t="n">
        <v>20240429161907</v>
      </c>
      <c r="J2633" s="3" t="s">
        <v>10652</v>
      </c>
      <c r="K2633" s="3" t="s">
        <v>10653</v>
      </c>
      <c r="L2633" s="3" t="s">
        <v>10654</v>
      </c>
      <c r="M2633" s="3" t="n">
        <v>454605</v>
      </c>
      <c r="N2633" s="3" t="s">
        <v>158</v>
      </c>
      <c r="O2633" s="1" t="n">
        <v>438219</v>
      </c>
      <c r="P2633" s="1" t="n">
        <v>96.4</v>
      </c>
      <c r="Q2633" s="1" t="s">
        <v>20</v>
      </c>
      <c r="R2633" s="1" t="s">
        <v>27</v>
      </c>
      <c r="S2633" s="1" t="s">
        <v>28</v>
      </c>
      <c r="T2633" s="1" t="s">
        <v>29</v>
      </c>
    </row>
    <row r="2634" customFormat="false" ht="18.7" hidden="false" customHeight="true" outlineLevel="0" collapsed="false">
      <c r="A2634" s="1" t="n">
        <v>2633</v>
      </c>
      <c r="B2634" s="6" t="str">
        <f aca="false">HYPERLINK("https://mncourtfraud.com/file/MCRO_27-CR-22-15550_Notice of Remote Hearing with Instructions_2023-07-12_20240429161910.pdf","MCRO_27-CR-22-15550_Notice of Remote Hearing with Instructions_2023-07-12_20240429161910.pdf")</f>
        <v>MCRO_27-CR-22-15550_Notice of Remote Hearing with Instructions_2023-07-12_20240429161910.pdf</v>
      </c>
      <c r="C2634" s="1" t="n">
        <v>5</v>
      </c>
      <c r="D2634" s="1" t="n">
        <v>1</v>
      </c>
      <c r="E2634" s="1" t="n">
        <v>1</v>
      </c>
      <c r="F2634" s="3" t="s">
        <v>20</v>
      </c>
      <c r="G2634" s="3" t="s">
        <v>10655</v>
      </c>
      <c r="H2634" s="1" t="s">
        <v>22</v>
      </c>
      <c r="I2634" s="1" t="n">
        <v>20240429161910</v>
      </c>
      <c r="J2634" s="3" t="s">
        <v>10656</v>
      </c>
      <c r="K2634" s="3" t="s">
        <v>10657</v>
      </c>
      <c r="L2634" s="3" t="s">
        <v>10658</v>
      </c>
      <c r="M2634" s="3" t="n">
        <v>852341</v>
      </c>
      <c r="N2634" s="3" t="s">
        <v>505</v>
      </c>
      <c r="O2634" s="1" t="n">
        <v>835955</v>
      </c>
      <c r="P2634" s="1" t="n">
        <v>98.08</v>
      </c>
      <c r="Q2634" s="1" t="s">
        <v>20</v>
      </c>
      <c r="R2634" s="1" t="s">
        <v>27</v>
      </c>
      <c r="S2634" s="1" t="s">
        <v>28</v>
      </c>
      <c r="T2634" s="1" t="s">
        <v>29</v>
      </c>
    </row>
    <row r="2635" customFormat="false" ht="18.7" hidden="false" customHeight="true" outlineLevel="0" collapsed="false">
      <c r="A2635" s="1" t="n">
        <v>2634</v>
      </c>
      <c r="B2635" s="6" t="str">
        <f aca="false">HYPERLINK("https://mncourtfraud.com/file/MCRO_27-CR-22-15550_Notice of Remote Hearing with Instructions_2024-03-11_20240429161905.pdf","MCRO_27-CR-22-15550_Notice of Remote Hearing with Instructions_2024-03-11_20240429161905.pdf")</f>
        <v>MCRO_27-CR-22-15550_Notice of Remote Hearing with Instructions_2024-03-11_20240429161905.pdf</v>
      </c>
      <c r="C2635" s="1" t="n">
        <v>4</v>
      </c>
      <c r="D2635" s="1" t="n">
        <v>1</v>
      </c>
      <c r="E2635" s="1" t="n">
        <v>1</v>
      </c>
      <c r="F2635" s="3" t="s">
        <v>20</v>
      </c>
      <c r="G2635" s="3" t="s">
        <v>10659</v>
      </c>
      <c r="H2635" s="1" t="s">
        <v>22</v>
      </c>
      <c r="I2635" s="1" t="n">
        <v>20240429161905</v>
      </c>
      <c r="J2635" s="3" t="s">
        <v>10660</v>
      </c>
      <c r="K2635" s="3" t="s">
        <v>10661</v>
      </c>
      <c r="L2635" s="3" t="s">
        <v>10662</v>
      </c>
      <c r="M2635" s="3" t="n">
        <v>801652</v>
      </c>
      <c r="N2635" s="3" t="s">
        <v>1128</v>
      </c>
      <c r="O2635" s="1" t="n">
        <v>785266</v>
      </c>
      <c r="P2635" s="1" t="n">
        <v>97.96</v>
      </c>
      <c r="Q2635" s="1" t="s">
        <v>20</v>
      </c>
      <c r="R2635" s="1" t="s">
        <v>27</v>
      </c>
      <c r="S2635" s="1" t="s">
        <v>28</v>
      </c>
      <c r="T2635" s="1" t="s">
        <v>29</v>
      </c>
    </row>
    <row r="2636" customFormat="false" ht="18.7" hidden="false" customHeight="true" outlineLevel="0" collapsed="false">
      <c r="A2636" s="1" t="n">
        <v>2635</v>
      </c>
      <c r="B2636" s="6" t="str">
        <f aca="false">HYPERLINK("https://mncourtfraud.com/file/MCRO_27-CR-22-15550_Order-Evaluation for Competency to Proceed (Rule 20.01)_2022-12-09_20240429161920.pdf","MCRO_27-CR-22-15550_Order-Evaluation for Competency to Proceed (Rule 20.01)_2022-12-09_20240429161920.pdf")</f>
        <v>MCRO_27-CR-22-15550_Order-Evaluation for Competency to Proceed (Rule 20.01)_2022-12-09_20240429161920.pdf</v>
      </c>
      <c r="C2636" s="1" t="n">
        <v>3</v>
      </c>
      <c r="D2636" s="1" t="n">
        <v>1</v>
      </c>
      <c r="E2636" s="1" t="n">
        <v>1</v>
      </c>
      <c r="F2636" s="3" t="s">
        <v>20</v>
      </c>
      <c r="G2636" s="3" t="s">
        <v>10663</v>
      </c>
      <c r="H2636" s="1" t="s">
        <v>22</v>
      </c>
      <c r="I2636" s="1" t="n">
        <v>20240429161920</v>
      </c>
      <c r="J2636" s="3" t="s">
        <v>10664</v>
      </c>
      <c r="K2636" s="3" t="s">
        <v>10665</v>
      </c>
      <c r="L2636" s="3" t="s">
        <v>10666</v>
      </c>
      <c r="M2636" s="3" t="n">
        <v>811138</v>
      </c>
      <c r="N2636" s="3" t="s">
        <v>2520</v>
      </c>
      <c r="O2636" s="1" t="n">
        <v>794752</v>
      </c>
      <c r="P2636" s="1" t="n">
        <v>97.98</v>
      </c>
      <c r="Q2636" s="1" t="s">
        <v>20</v>
      </c>
      <c r="R2636" s="1" t="s">
        <v>27</v>
      </c>
      <c r="S2636" s="1" t="s">
        <v>28</v>
      </c>
      <c r="T2636" s="1" t="s">
        <v>29</v>
      </c>
    </row>
    <row r="2637" customFormat="false" ht="18.7" hidden="false" customHeight="true" outlineLevel="0" collapsed="false">
      <c r="A2637" s="1" t="n">
        <v>2636</v>
      </c>
      <c r="B2637" s="6" t="str">
        <f aca="false">HYPERLINK("https://mncourtfraud.com/file/MCRO_27-CR-22-15550_Order-Evaluation for Competency to Proceed (Rule 20.01)_2023-03-13_20240429161918.pdf","MCRO_27-CR-22-15550_Order-Evaluation for Competency to Proceed (Rule 20.01)_2023-03-13_20240429161918.pdf")</f>
        <v>MCRO_27-CR-22-15550_Order-Evaluation for Competency to Proceed (Rule 20.01)_2023-03-13_20240429161918.pdf</v>
      </c>
      <c r="C2637" s="1" t="n">
        <v>4</v>
      </c>
      <c r="D2637" s="1" t="n">
        <v>1</v>
      </c>
      <c r="E2637" s="1" t="n">
        <v>1</v>
      </c>
      <c r="F2637" s="3" t="s">
        <v>20</v>
      </c>
      <c r="G2637" s="3" t="s">
        <v>10667</v>
      </c>
      <c r="H2637" s="1" t="s">
        <v>22</v>
      </c>
      <c r="I2637" s="1" t="n">
        <v>20240429161918</v>
      </c>
      <c r="J2637" s="3" t="s">
        <v>10668</v>
      </c>
      <c r="K2637" s="3" t="s">
        <v>10669</v>
      </c>
      <c r="L2637" s="3" t="s">
        <v>10670</v>
      </c>
      <c r="M2637" s="3" t="n">
        <v>1103109</v>
      </c>
      <c r="N2637" s="3" t="s">
        <v>1128</v>
      </c>
      <c r="O2637" s="1" t="n">
        <v>1086723</v>
      </c>
      <c r="P2637" s="1" t="n">
        <v>98.51</v>
      </c>
      <c r="Q2637" s="1" t="s">
        <v>20</v>
      </c>
      <c r="R2637" s="1" t="s">
        <v>27</v>
      </c>
      <c r="S2637" s="1" t="s">
        <v>28</v>
      </c>
      <c r="T2637" s="1" t="s">
        <v>29</v>
      </c>
    </row>
    <row r="2638" customFormat="false" ht="18.7" hidden="false" customHeight="true" outlineLevel="0" collapsed="false">
      <c r="A2638" s="1" t="n">
        <v>2637</v>
      </c>
      <c r="B2638" s="6" t="str">
        <f aca="false">HYPERLINK("https://mncourtfraud.com/file/MCRO_27-CR-22-15550_Order-Evaluation for Competency to Proceed (Rule 20.01)_2023-06-08_20240429161918.pdf","MCRO_27-CR-22-15550_Order-Evaluation for Competency to Proceed (Rule 20.01)_2023-06-08_20240429161918.pdf")</f>
        <v>MCRO_27-CR-22-15550_Order-Evaluation for Competency to Proceed (Rule 20.01)_2023-06-08_20240429161918.pdf</v>
      </c>
      <c r="C2638" s="1" t="n">
        <v>4</v>
      </c>
      <c r="D2638" s="1" t="n">
        <v>1</v>
      </c>
      <c r="E2638" s="1" t="n">
        <v>1</v>
      </c>
      <c r="F2638" s="3" t="s">
        <v>20</v>
      </c>
      <c r="G2638" s="3" t="s">
        <v>10671</v>
      </c>
      <c r="H2638" s="1" t="s">
        <v>22</v>
      </c>
      <c r="I2638" s="1" t="n">
        <v>20240429161918</v>
      </c>
      <c r="J2638" s="3" t="s">
        <v>10672</v>
      </c>
      <c r="K2638" s="3" t="s">
        <v>10673</v>
      </c>
      <c r="L2638" s="3" t="s">
        <v>10674</v>
      </c>
      <c r="M2638" s="3" t="n">
        <v>1042755</v>
      </c>
      <c r="N2638" s="3" t="s">
        <v>1128</v>
      </c>
      <c r="O2638" s="1" t="n">
        <v>1026369</v>
      </c>
      <c r="P2638" s="1" t="n">
        <v>98.43</v>
      </c>
      <c r="Q2638" s="1" t="s">
        <v>20</v>
      </c>
      <c r="R2638" s="1" t="s">
        <v>27</v>
      </c>
      <c r="S2638" s="1" t="s">
        <v>28</v>
      </c>
      <c r="T2638" s="1" t="s">
        <v>29</v>
      </c>
    </row>
    <row r="2639" customFormat="false" ht="18.7" hidden="false" customHeight="true" outlineLevel="0" collapsed="false">
      <c r="A2639" s="1" t="n">
        <v>2638</v>
      </c>
      <c r="B2639" s="6" t="str">
        <f aca="false">HYPERLINK("https://mncourtfraud.com/file/MCRO_27-CR-22-15550_Order-Evaluation for Competency to Proceed (Rule 20.01)_2023-11-08_20240429161909.pdf","MCRO_27-CR-22-15550_Order-Evaluation for Competency to Proceed (Rule 20.01)_2023-11-08_20240429161909.pdf")</f>
        <v>MCRO_27-CR-22-15550_Order-Evaluation for Competency to Proceed (Rule 20.01)_2023-11-08_20240429161909.pdf</v>
      </c>
      <c r="C2639" s="1" t="n">
        <v>6</v>
      </c>
      <c r="D2639" s="1" t="n">
        <v>2</v>
      </c>
      <c r="E2639" s="1" t="n">
        <v>2</v>
      </c>
      <c r="F2639" s="3" t="s">
        <v>20</v>
      </c>
      <c r="G2639" s="3" t="s">
        <v>10675</v>
      </c>
      <c r="H2639" s="1" t="s">
        <v>22</v>
      </c>
      <c r="I2639" s="1" t="n">
        <v>20240429161909</v>
      </c>
      <c r="J2639" s="3" t="s">
        <v>10676</v>
      </c>
      <c r="K2639" s="3" t="s">
        <v>10677</v>
      </c>
      <c r="L2639" s="3" t="s">
        <v>10678</v>
      </c>
      <c r="M2639" s="3" t="n">
        <v>870068</v>
      </c>
      <c r="N2639" s="3" t="s">
        <v>4399</v>
      </c>
      <c r="O2639" s="1" t="n">
        <v>853682</v>
      </c>
      <c r="P2639" s="1" t="n">
        <v>98.12</v>
      </c>
      <c r="Q2639" s="1" t="s">
        <v>20</v>
      </c>
      <c r="R2639" s="1" t="s">
        <v>27</v>
      </c>
      <c r="S2639" s="1" t="s">
        <v>28</v>
      </c>
      <c r="T2639" s="1" t="s">
        <v>29</v>
      </c>
    </row>
    <row r="2640" customFormat="false" ht="18.7" hidden="false" customHeight="true" outlineLevel="0" collapsed="false">
      <c r="A2640" s="1" t="n">
        <v>2639</v>
      </c>
      <c r="B2640" s="6" t="str">
        <f aca="false">HYPERLINK("https://mncourtfraud.com/file/MCRO_27-CR-22-15550_Order-Evaluation for Competency to Proceed (Rule 20.01)_2024-03-11_20240429161908.pdf","MCRO_27-CR-22-15550_Order-Evaluation for Competency to Proceed (Rule 20.01)_2024-03-11_20240429161908.pdf")</f>
        <v>MCRO_27-CR-22-15550_Order-Evaluation for Competency to Proceed (Rule 20.01)_2024-03-11_20240429161908.pdf</v>
      </c>
      <c r="C2640" s="1" t="n">
        <v>4</v>
      </c>
      <c r="D2640" s="1" t="n">
        <v>1</v>
      </c>
      <c r="E2640" s="1" t="n">
        <v>1</v>
      </c>
      <c r="F2640" s="3" t="s">
        <v>20</v>
      </c>
      <c r="G2640" s="3" t="s">
        <v>10679</v>
      </c>
      <c r="H2640" s="1" t="s">
        <v>22</v>
      </c>
      <c r="I2640" s="1" t="n">
        <v>20240429161908</v>
      </c>
      <c r="J2640" s="3" t="s">
        <v>10680</v>
      </c>
      <c r="K2640" s="3" t="s">
        <v>10681</v>
      </c>
      <c r="L2640" s="3" t="s">
        <v>10682</v>
      </c>
      <c r="M2640" s="3" t="n">
        <v>143363</v>
      </c>
      <c r="N2640" s="3" t="s">
        <v>1159</v>
      </c>
      <c r="O2640" s="1" t="n">
        <v>126977</v>
      </c>
      <c r="P2640" s="1" t="n">
        <v>88.57</v>
      </c>
      <c r="Q2640" s="1" t="s">
        <v>20</v>
      </c>
      <c r="R2640" s="1" t="s">
        <v>27</v>
      </c>
      <c r="S2640" s="1" t="s">
        <v>28</v>
      </c>
      <c r="T2640" s="1" t="s">
        <v>29</v>
      </c>
    </row>
    <row r="2641" customFormat="false" ht="18.7" hidden="false" customHeight="true" outlineLevel="0" collapsed="false">
      <c r="A2641" s="1" t="n">
        <v>2640</v>
      </c>
      <c r="B2641" s="6" t="str">
        <f aca="false">HYPERLINK("https://mncourtfraud.com/file/MCRO_27-CR-22-15550_Order for Conditional Release_2022-11-04_20240429161923.pdf","MCRO_27-CR-22-15550_Order for Conditional Release_2022-11-04_20240429161923.pdf")</f>
        <v>MCRO_27-CR-22-15550_Order for Conditional Release_2022-11-04_20240429161923.pdf</v>
      </c>
      <c r="C2641" s="1" t="n">
        <v>5</v>
      </c>
      <c r="D2641" s="1" t="n">
        <v>1</v>
      </c>
      <c r="E2641" s="1" t="n">
        <v>1</v>
      </c>
      <c r="F2641" s="3" t="s">
        <v>20</v>
      </c>
      <c r="G2641" s="3" t="s">
        <v>10683</v>
      </c>
      <c r="H2641" s="1" t="s">
        <v>22</v>
      </c>
      <c r="I2641" s="1" t="n">
        <v>20240429161923</v>
      </c>
      <c r="J2641" s="3" t="s">
        <v>10684</v>
      </c>
      <c r="K2641" s="3" t="s">
        <v>10685</v>
      </c>
      <c r="L2641" s="3" t="s">
        <v>10686</v>
      </c>
      <c r="M2641" s="3" t="n">
        <v>790738</v>
      </c>
      <c r="N2641" s="3" t="s">
        <v>968</v>
      </c>
      <c r="O2641" s="1" t="n">
        <v>774352</v>
      </c>
      <c r="P2641" s="1" t="n">
        <v>97.93</v>
      </c>
      <c r="Q2641" s="1" t="s">
        <v>20</v>
      </c>
      <c r="R2641" s="1" t="s">
        <v>27</v>
      </c>
      <c r="S2641" s="1" t="s">
        <v>28</v>
      </c>
      <c r="T2641" s="1" t="s">
        <v>29</v>
      </c>
    </row>
    <row r="2642" customFormat="false" ht="18.7" hidden="false" customHeight="true" outlineLevel="0" collapsed="false">
      <c r="A2642" s="1" t="n">
        <v>2641</v>
      </c>
      <c r="B2642" s="6" t="str">
        <f aca="false">HYPERLINK("https://mncourtfraud.com/file/MCRO_27-CR-22-15550_Order for Conditional Release_2023-03-13_20240429161918.pdf","MCRO_27-CR-22-15550_Order for Conditional Release_2023-03-13_20240429161918.pdf")</f>
        <v>MCRO_27-CR-22-15550_Order for Conditional Release_2023-03-13_20240429161918.pdf</v>
      </c>
      <c r="C2642" s="1" t="n">
        <v>4</v>
      </c>
      <c r="D2642" s="1" t="n">
        <v>1</v>
      </c>
      <c r="E2642" s="1" t="n">
        <v>1</v>
      </c>
      <c r="F2642" s="3" t="s">
        <v>20</v>
      </c>
      <c r="G2642" s="3" t="s">
        <v>10687</v>
      </c>
      <c r="H2642" s="1" t="s">
        <v>22</v>
      </c>
      <c r="I2642" s="1" t="n">
        <v>20240429161918</v>
      </c>
      <c r="J2642" s="3" t="s">
        <v>10688</v>
      </c>
      <c r="K2642" s="3" t="s">
        <v>10689</v>
      </c>
      <c r="L2642" s="3" t="s">
        <v>10690</v>
      </c>
      <c r="M2642" s="3" t="n">
        <v>861184</v>
      </c>
      <c r="N2642" s="3" t="s">
        <v>158</v>
      </c>
      <c r="O2642" s="1" t="n">
        <v>844798</v>
      </c>
      <c r="P2642" s="1" t="n">
        <v>98.1</v>
      </c>
      <c r="Q2642" s="1" t="s">
        <v>20</v>
      </c>
      <c r="R2642" s="1" t="s">
        <v>27</v>
      </c>
      <c r="S2642" s="1" t="s">
        <v>28</v>
      </c>
      <c r="T2642" s="1" t="s">
        <v>29</v>
      </c>
    </row>
    <row r="2643" customFormat="false" ht="18.7" hidden="false" customHeight="true" outlineLevel="0" collapsed="false">
      <c r="A2643" s="1" t="n">
        <v>2642</v>
      </c>
      <c r="B2643" s="6" t="str">
        <f aca="false">HYPERLINK("https://mncourtfraud.com/file/MCRO_27-CR-22-15550_Order for Conditional Release_2023-06-08_20240429161914.pdf","MCRO_27-CR-22-15550_Order for Conditional Release_2023-06-08_20240429161914.pdf")</f>
        <v>MCRO_27-CR-22-15550_Order for Conditional Release_2023-06-08_20240429161914.pdf</v>
      </c>
      <c r="C2643" s="1" t="n">
        <v>4</v>
      </c>
      <c r="D2643" s="1" t="n">
        <v>1</v>
      </c>
      <c r="E2643" s="1" t="n">
        <v>1</v>
      </c>
      <c r="F2643" s="3" t="s">
        <v>20</v>
      </c>
      <c r="G2643" s="3" t="s">
        <v>10691</v>
      </c>
      <c r="H2643" s="1" t="s">
        <v>22</v>
      </c>
      <c r="I2643" s="1" t="n">
        <v>20240429161914</v>
      </c>
      <c r="J2643" s="3" t="s">
        <v>10692</v>
      </c>
      <c r="K2643" s="3" t="s">
        <v>10693</v>
      </c>
      <c r="L2643" s="3" t="s">
        <v>10694</v>
      </c>
      <c r="M2643" s="3" t="n">
        <v>908061</v>
      </c>
      <c r="N2643" s="3" t="s">
        <v>158</v>
      </c>
      <c r="O2643" s="1" t="n">
        <v>891675</v>
      </c>
      <c r="P2643" s="1" t="n">
        <v>98.2</v>
      </c>
      <c r="Q2643" s="1" t="s">
        <v>20</v>
      </c>
      <c r="R2643" s="1" t="s">
        <v>27</v>
      </c>
      <c r="S2643" s="1" t="s">
        <v>28</v>
      </c>
      <c r="T2643" s="1" t="s">
        <v>29</v>
      </c>
    </row>
    <row r="2644" customFormat="false" ht="18.7" hidden="false" customHeight="true" outlineLevel="0" collapsed="false">
      <c r="A2644" s="1" t="n">
        <v>2643</v>
      </c>
      <c r="B2644" s="6" t="str">
        <f aca="false">HYPERLINK("https://mncourtfraud.com/file/MCRO_27-CR-22-15550_Order for Conditional Release_2023-06-23_20240429161912.pdf","MCRO_27-CR-22-15550_Order for Conditional Release_2023-06-23_20240429161912.pdf")</f>
        <v>MCRO_27-CR-22-15550_Order for Conditional Release_2023-06-23_20240429161912.pdf</v>
      </c>
      <c r="C2644" s="1" t="n">
        <v>3</v>
      </c>
      <c r="D2644" s="1" t="n">
        <v>1</v>
      </c>
      <c r="E2644" s="1" t="n">
        <v>1</v>
      </c>
      <c r="F2644" s="3" t="s">
        <v>20</v>
      </c>
      <c r="G2644" s="3" t="s">
        <v>10695</v>
      </c>
      <c r="H2644" s="1" t="s">
        <v>22</v>
      </c>
      <c r="I2644" s="1" t="n">
        <v>20240429161912</v>
      </c>
      <c r="J2644" s="3" t="s">
        <v>10696</v>
      </c>
      <c r="K2644" s="3" t="s">
        <v>10697</v>
      </c>
      <c r="L2644" s="3" t="s">
        <v>10698</v>
      </c>
      <c r="M2644" s="3" t="n">
        <v>672433</v>
      </c>
      <c r="N2644" s="3" t="s">
        <v>1330</v>
      </c>
      <c r="O2644" s="1" t="n">
        <v>656047</v>
      </c>
      <c r="P2644" s="1" t="n">
        <v>97.56</v>
      </c>
      <c r="Q2644" s="1" t="s">
        <v>20</v>
      </c>
      <c r="R2644" s="1" t="s">
        <v>27</v>
      </c>
      <c r="S2644" s="1" t="s">
        <v>28</v>
      </c>
      <c r="T2644" s="1" t="s">
        <v>29</v>
      </c>
    </row>
    <row r="2645" customFormat="false" ht="18.7" hidden="false" customHeight="true" outlineLevel="0" collapsed="false">
      <c r="A2645" s="1" t="n">
        <v>2644</v>
      </c>
      <c r="B2645" s="6" t="str">
        <f aca="false">HYPERLINK("https://mncourtfraud.com/file/MCRO_27-CR-22-15550_Order for Conditional Release_2024-03-11_20240429161906.pdf","MCRO_27-CR-22-15550_Order for Conditional Release_2024-03-11_20240429161906.pdf")</f>
        <v>MCRO_27-CR-22-15550_Order for Conditional Release_2024-03-11_20240429161906.pdf</v>
      </c>
      <c r="C2645" s="1" t="n">
        <v>4</v>
      </c>
      <c r="D2645" s="1" t="n">
        <v>1</v>
      </c>
      <c r="E2645" s="1" t="n">
        <v>1</v>
      </c>
      <c r="F2645" s="3" t="s">
        <v>20</v>
      </c>
      <c r="G2645" s="3" t="s">
        <v>10699</v>
      </c>
      <c r="H2645" s="1" t="s">
        <v>22</v>
      </c>
      <c r="I2645" s="1" t="n">
        <v>20240429161906</v>
      </c>
      <c r="J2645" s="3" t="s">
        <v>10700</v>
      </c>
      <c r="K2645" s="3" t="s">
        <v>10701</v>
      </c>
      <c r="L2645" s="3" t="s">
        <v>10702</v>
      </c>
      <c r="M2645" s="3" t="n">
        <v>121951</v>
      </c>
      <c r="N2645" s="3" t="s">
        <v>435</v>
      </c>
      <c r="O2645" s="1" t="n">
        <v>105565</v>
      </c>
      <c r="P2645" s="1" t="n">
        <v>86.56</v>
      </c>
      <c r="Q2645" s="1" t="s">
        <v>20</v>
      </c>
      <c r="R2645" s="1" t="s">
        <v>27</v>
      </c>
      <c r="S2645" s="1" t="s">
        <v>28</v>
      </c>
      <c r="T2645" s="1" t="s">
        <v>29</v>
      </c>
    </row>
    <row r="2646" customFormat="false" ht="18.7" hidden="false" customHeight="true" outlineLevel="0" collapsed="false">
      <c r="A2646" s="1" t="n">
        <v>2645</v>
      </c>
      <c r="B2646" s="6" t="str">
        <f aca="false">HYPERLINK("https://mncourtfraud.com/file/MCRO_27-CR-22-15550_Order-Other_2022-11-04_20240429161923.pdf","MCRO_27-CR-22-15550_Order-Other_2022-11-04_20240429161923.pdf")</f>
        <v>MCRO_27-CR-22-15550_Order-Other_2022-11-04_20240429161923.pdf</v>
      </c>
      <c r="C2646" s="1" t="n">
        <v>5</v>
      </c>
      <c r="D2646" s="1" t="n">
        <v>1</v>
      </c>
      <c r="E2646" s="1" t="n">
        <v>1</v>
      </c>
      <c r="F2646" s="3" t="s">
        <v>20</v>
      </c>
      <c r="G2646" s="3" t="s">
        <v>10703</v>
      </c>
      <c r="H2646" s="1" t="s">
        <v>22</v>
      </c>
      <c r="I2646" s="1" t="n">
        <v>20240429161923</v>
      </c>
      <c r="J2646" s="3" t="s">
        <v>10684</v>
      </c>
      <c r="K2646" s="3" t="s">
        <v>10685</v>
      </c>
      <c r="L2646" s="3" t="s">
        <v>10704</v>
      </c>
      <c r="M2646" s="3" t="n">
        <v>810647</v>
      </c>
      <c r="N2646" s="3" t="s">
        <v>6697</v>
      </c>
      <c r="O2646" s="1" t="n">
        <v>794261</v>
      </c>
      <c r="P2646" s="1" t="n">
        <v>97.98</v>
      </c>
      <c r="Q2646" s="1" t="s">
        <v>20</v>
      </c>
      <c r="R2646" s="1" t="s">
        <v>27</v>
      </c>
      <c r="S2646" s="1" t="s">
        <v>28</v>
      </c>
      <c r="T2646" s="1" t="s">
        <v>29</v>
      </c>
    </row>
    <row r="2647" customFormat="false" ht="18.7" hidden="false" customHeight="true" outlineLevel="0" collapsed="false">
      <c r="A2647" s="1" t="n">
        <v>2646</v>
      </c>
      <c r="B2647" s="6" t="str">
        <f aca="false">HYPERLINK("https://mncourtfraud.com/file/MCRO_27-CR-22-15550_Order Revoking Interim Conditions of Release_2023-05-10_20240429161920.pdf","MCRO_27-CR-22-15550_Order Revoking Interim Conditions of Release_2023-05-10_20240429161920.pdf")</f>
        <v>MCRO_27-CR-22-15550_Order Revoking Interim Conditions of Release_2023-05-10_20240429161920.pdf</v>
      </c>
      <c r="C2647" s="1" t="n">
        <v>5</v>
      </c>
      <c r="D2647" s="1" t="n">
        <v>4</v>
      </c>
      <c r="E2647" s="1" t="n">
        <v>4</v>
      </c>
      <c r="F2647" s="3" t="s">
        <v>20</v>
      </c>
      <c r="G2647" s="3" t="s">
        <v>10705</v>
      </c>
      <c r="H2647" s="1" t="s">
        <v>22</v>
      </c>
      <c r="I2647" s="1" t="n">
        <v>20240429161920</v>
      </c>
      <c r="J2647" s="3" t="s">
        <v>10706</v>
      </c>
      <c r="K2647" s="3" t="s">
        <v>10707</v>
      </c>
      <c r="L2647" s="3" t="s">
        <v>10708</v>
      </c>
      <c r="M2647" s="3" t="n">
        <v>396331</v>
      </c>
      <c r="N2647" s="3" t="s">
        <v>1145</v>
      </c>
      <c r="O2647" s="1" t="n">
        <v>379945</v>
      </c>
      <c r="P2647" s="1" t="n">
        <v>95.87</v>
      </c>
      <c r="Q2647" s="1" t="s">
        <v>20</v>
      </c>
      <c r="R2647" s="1" t="s">
        <v>27</v>
      </c>
      <c r="S2647" s="1" t="s">
        <v>28</v>
      </c>
      <c r="T2647" s="1" t="s">
        <v>29</v>
      </c>
    </row>
    <row r="2648" customFormat="false" ht="18.7" hidden="false" customHeight="true" outlineLevel="0" collapsed="false">
      <c r="A2648" s="1" t="n">
        <v>2647</v>
      </c>
      <c r="B2648" s="6" t="str">
        <f aca="false">HYPERLINK("https://mncourtfraud.com/file/MCRO_27-CR-22-15550_Proposed Order or Document_2022-12-05_20240429161920.pdf","MCRO_27-CR-22-15550_Proposed Order or Document_2022-12-05_20240429161920.pdf")</f>
        <v>MCRO_27-CR-22-15550_Proposed Order or Document_2022-12-05_20240429161920.pdf</v>
      </c>
      <c r="C2648" s="1" t="n">
        <v>3</v>
      </c>
      <c r="D2648" s="1" t="n">
        <v>1</v>
      </c>
      <c r="E2648" s="1" t="n">
        <v>1</v>
      </c>
      <c r="F2648" s="3" t="s">
        <v>20</v>
      </c>
      <c r="G2648" s="3" t="s">
        <v>10709</v>
      </c>
      <c r="H2648" s="1" t="s">
        <v>22</v>
      </c>
      <c r="I2648" s="1" t="n">
        <v>20240429161920</v>
      </c>
      <c r="J2648" s="3" t="s">
        <v>10664</v>
      </c>
      <c r="K2648" s="3" t="s">
        <v>10665</v>
      </c>
      <c r="L2648" s="3" t="s">
        <v>10710</v>
      </c>
      <c r="M2648" s="3" t="n">
        <v>178953</v>
      </c>
      <c r="N2648" s="3" t="s">
        <v>1115</v>
      </c>
      <c r="O2648" s="1" t="n">
        <v>162567</v>
      </c>
      <c r="P2648" s="1" t="n">
        <v>90.84</v>
      </c>
      <c r="Q2648" s="1" t="s">
        <v>20</v>
      </c>
      <c r="R2648" s="1" t="s">
        <v>27</v>
      </c>
      <c r="S2648" s="1" t="s">
        <v>28</v>
      </c>
      <c r="T2648" s="1" t="s">
        <v>29</v>
      </c>
    </row>
    <row r="2649" customFormat="false" ht="18.7" hidden="false" customHeight="true" outlineLevel="0" collapsed="false">
      <c r="A2649" s="1" t="n">
        <v>2648</v>
      </c>
      <c r="B2649" s="6" t="str">
        <f aca="false">HYPERLINK("https://mncourtfraud.com/file/MCRO_27-CR-22-15550_Proposed Order or Document_2023-05-10_20240429161916.pdf","MCRO_27-CR-22-15550_Proposed Order or Document_2023-05-10_20240429161916.pdf")</f>
        <v>MCRO_27-CR-22-15550_Proposed Order or Document_2023-05-10_20240429161916.pdf</v>
      </c>
      <c r="C2649" s="1" t="n">
        <v>4</v>
      </c>
      <c r="D2649" s="1" t="n">
        <v>1</v>
      </c>
      <c r="E2649" s="1" t="n">
        <v>1</v>
      </c>
      <c r="F2649" s="3" t="s">
        <v>20</v>
      </c>
      <c r="G2649" s="3" t="s">
        <v>10711</v>
      </c>
      <c r="H2649" s="1" t="s">
        <v>22</v>
      </c>
      <c r="I2649" s="1" t="n">
        <v>20240429161916</v>
      </c>
      <c r="J2649" s="3" t="s">
        <v>10672</v>
      </c>
      <c r="K2649" s="3" t="s">
        <v>10673</v>
      </c>
      <c r="L2649" s="3" t="s">
        <v>10712</v>
      </c>
      <c r="M2649" s="3" t="n">
        <v>212307</v>
      </c>
      <c r="N2649" s="3" t="s">
        <v>251</v>
      </c>
      <c r="O2649" s="1" t="n">
        <v>195921</v>
      </c>
      <c r="P2649" s="1" t="n">
        <v>92.28</v>
      </c>
      <c r="Q2649" s="1" t="s">
        <v>20</v>
      </c>
      <c r="R2649" s="1" t="s">
        <v>27</v>
      </c>
      <c r="S2649" s="1" t="s">
        <v>28</v>
      </c>
      <c r="T2649" s="1" t="s">
        <v>29</v>
      </c>
    </row>
    <row r="2650" customFormat="false" ht="18.7" hidden="false" customHeight="true" outlineLevel="0" collapsed="false">
      <c r="A2650" s="1" t="n">
        <v>2649</v>
      </c>
      <c r="B2650" s="6" t="str">
        <f aca="false">HYPERLINK("https://mncourtfraud.com/file/MCRO_27-CR-22-15550_Returned Mail_2024-04-02_20240429161903.pdf","MCRO_27-CR-22-15550_Returned Mail_2024-04-02_20240429161903.pdf")</f>
        <v>MCRO_27-CR-22-15550_Returned Mail_2024-04-02_20240429161903.pdf</v>
      </c>
      <c r="C2650" s="1" t="n">
        <v>4</v>
      </c>
      <c r="D2650" s="1" t="n">
        <v>1</v>
      </c>
      <c r="E2650" s="1" t="n">
        <v>1</v>
      </c>
      <c r="F2650" s="3" t="s">
        <v>20</v>
      </c>
      <c r="G2650" s="3" t="s">
        <v>10713</v>
      </c>
      <c r="H2650" s="1" t="s">
        <v>22</v>
      </c>
      <c r="I2650" s="1" t="n">
        <v>20240429161903</v>
      </c>
      <c r="J2650" s="3" t="s">
        <v>10714</v>
      </c>
      <c r="K2650" s="3" t="s">
        <v>10715</v>
      </c>
      <c r="L2650" s="3" t="s">
        <v>10716</v>
      </c>
      <c r="M2650" s="3" t="n">
        <v>204129</v>
      </c>
      <c r="N2650" s="3" t="s">
        <v>119</v>
      </c>
      <c r="O2650" s="1" t="n">
        <v>187743</v>
      </c>
      <c r="P2650" s="1" t="n">
        <v>91.97</v>
      </c>
      <c r="Q2650" s="1" t="s">
        <v>20</v>
      </c>
      <c r="R2650" s="1" t="s">
        <v>27</v>
      </c>
      <c r="S2650" s="1" t="s">
        <v>28</v>
      </c>
      <c r="T2650" s="1" t="s">
        <v>29</v>
      </c>
    </row>
    <row r="2651" customFormat="false" ht="18.7" hidden="false" customHeight="true" outlineLevel="0" collapsed="false">
      <c r="A2651" s="1" t="n">
        <v>2650</v>
      </c>
      <c r="B2651" s="6" t="str">
        <f aca="false">HYPERLINK("https://mncourtfraud.com/file/MCRO_27-CR-22-17300_E-filed Comp-Summons_2022-09-01_20240429162010.pdf","MCRO_27-CR-22-17300_E-filed Comp-Summons_2022-09-01_20240429162010.pdf")</f>
        <v>MCRO_27-CR-22-17300_E-filed Comp-Summons_2022-09-01_20240429162010.pdf</v>
      </c>
      <c r="C2651" s="1" t="n">
        <v>5</v>
      </c>
      <c r="D2651" s="1" t="n">
        <v>2</v>
      </c>
      <c r="E2651" s="1" t="n">
        <v>2</v>
      </c>
      <c r="F2651" s="3" t="s">
        <v>20</v>
      </c>
      <c r="G2651" s="3" t="s">
        <v>10717</v>
      </c>
      <c r="H2651" s="1" t="s">
        <v>22</v>
      </c>
      <c r="I2651" s="1" t="n">
        <v>20240429162010</v>
      </c>
      <c r="J2651" s="3" t="s">
        <v>10718</v>
      </c>
      <c r="K2651" s="3" t="s">
        <v>10719</v>
      </c>
      <c r="L2651" s="3" t="s">
        <v>10720</v>
      </c>
      <c r="M2651" s="3" t="n">
        <v>447336</v>
      </c>
      <c r="N2651" s="3" t="s">
        <v>10721</v>
      </c>
      <c r="O2651" s="1" t="n">
        <v>430950</v>
      </c>
      <c r="P2651" s="1" t="n">
        <v>96.34</v>
      </c>
      <c r="Q2651" s="1" t="s">
        <v>20</v>
      </c>
      <c r="R2651" s="1" t="s">
        <v>27</v>
      </c>
      <c r="S2651" s="1" t="s">
        <v>28</v>
      </c>
      <c r="T2651" s="1" t="s">
        <v>29</v>
      </c>
    </row>
    <row r="2652" customFormat="false" ht="18.7" hidden="false" customHeight="true" outlineLevel="0" collapsed="false">
      <c r="A2652" s="1" t="n">
        <v>2651</v>
      </c>
      <c r="B2652" s="6" t="str">
        <f aca="false">HYPERLINK("https://mncourtfraud.com/file/MCRO_27-CR-22-17300_Finding of Incompetency and Order_2023-05-02_20240429162002.pdf","MCRO_27-CR-22-17300_Finding of Incompetency and Order_2023-05-02_20240429162002.pdf")</f>
        <v>MCRO_27-CR-22-17300_Finding of Incompetency and Order_2023-05-02_20240429162002.pdf</v>
      </c>
      <c r="C2652" s="1" t="n">
        <v>9</v>
      </c>
      <c r="D2652" s="1" t="n">
        <v>3</v>
      </c>
      <c r="E2652" s="1" t="n">
        <v>3</v>
      </c>
      <c r="F2652" s="3" t="s">
        <v>27</v>
      </c>
      <c r="G2652" s="3" t="s">
        <v>10722</v>
      </c>
      <c r="H2652" s="1" t="s">
        <v>22</v>
      </c>
      <c r="I2652" s="1" t="n">
        <v>20240429162002</v>
      </c>
      <c r="J2652" s="3" t="s">
        <v>10723</v>
      </c>
      <c r="K2652" s="3" t="s">
        <v>10724</v>
      </c>
      <c r="L2652" s="3" t="s">
        <v>9358</v>
      </c>
      <c r="M2652" s="3" t="n">
        <v>951851</v>
      </c>
      <c r="N2652" s="3" t="s">
        <v>3264</v>
      </c>
      <c r="O2652" s="1" t="n">
        <v>935465</v>
      </c>
      <c r="P2652" s="1" t="n">
        <v>98.28</v>
      </c>
      <c r="Q2652" s="1" t="s">
        <v>20</v>
      </c>
      <c r="R2652" s="1" t="s">
        <v>27</v>
      </c>
      <c r="S2652" s="1" t="s">
        <v>28</v>
      </c>
      <c r="T2652" s="1" t="s">
        <v>29</v>
      </c>
    </row>
    <row r="2653" customFormat="false" ht="18.7" hidden="false" customHeight="true" outlineLevel="0" collapsed="false">
      <c r="A2653" s="1" t="n">
        <v>2652</v>
      </c>
      <c r="B2653" s="6" t="str">
        <f aca="false">HYPERLINK("https://mncourtfraud.com/file/MCRO_27-CR-22-17300_Finding of Incompetency and Order_2023-11-01_20240429161959.pdf","MCRO_27-CR-22-17300_Finding of Incompetency and Order_2023-11-01_20240429161959.pdf")</f>
        <v>MCRO_27-CR-22-17300_Finding of Incompetency and Order_2023-11-01_20240429161959.pdf</v>
      </c>
      <c r="C2653" s="1" t="n">
        <v>7</v>
      </c>
      <c r="D2653" s="1" t="n">
        <v>2</v>
      </c>
      <c r="E2653" s="1" t="n">
        <v>2</v>
      </c>
      <c r="F2653" s="3" t="s">
        <v>20</v>
      </c>
      <c r="G2653" s="3" t="s">
        <v>10725</v>
      </c>
      <c r="H2653" s="1" t="s">
        <v>22</v>
      </c>
      <c r="I2653" s="1" t="n">
        <v>20240429161959</v>
      </c>
      <c r="J2653" s="3" t="s">
        <v>10726</v>
      </c>
      <c r="K2653" s="3" t="s">
        <v>10727</v>
      </c>
      <c r="L2653" s="3" t="s">
        <v>10728</v>
      </c>
      <c r="M2653" s="3" t="n">
        <v>924942</v>
      </c>
      <c r="N2653" s="3" t="s">
        <v>4961</v>
      </c>
      <c r="O2653" s="1" t="n">
        <v>908556</v>
      </c>
      <c r="P2653" s="1" t="n">
        <v>98.23</v>
      </c>
      <c r="Q2653" s="1" t="s">
        <v>20</v>
      </c>
      <c r="R2653" s="1" t="s">
        <v>27</v>
      </c>
      <c r="S2653" s="1" t="s">
        <v>28</v>
      </c>
      <c r="T2653" s="1" t="s">
        <v>29</v>
      </c>
    </row>
    <row r="2654" customFormat="false" ht="18.7" hidden="false" customHeight="true" outlineLevel="0" collapsed="false">
      <c r="A2654" s="1" t="n">
        <v>2653</v>
      </c>
      <c r="B2654" s="6" t="str">
        <f aca="false">HYPERLINK("https://mncourtfraud.com/file/MCRO_27-CR-22-17300_Notice of Case Reassignment_2024-01-12_20240429161957.pdf","MCRO_27-CR-22-17300_Notice of Case Reassignment_2024-01-12_20240429161957.pdf")</f>
        <v>MCRO_27-CR-22-17300_Notice of Case Reassignment_2024-01-12_20240429161957.pdf</v>
      </c>
      <c r="C2654" s="1" t="n">
        <v>4</v>
      </c>
      <c r="D2654" s="1" t="n">
        <v>1</v>
      </c>
      <c r="E2654" s="1" t="n">
        <v>1</v>
      </c>
      <c r="F2654" s="3" t="s">
        <v>20</v>
      </c>
      <c r="G2654" s="3" t="s">
        <v>10729</v>
      </c>
      <c r="H2654" s="1" t="s">
        <v>22</v>
      </c>
      <c r="I2654" s="1" t="n">
        <v>20240429161957</v>
      </c>
      <c r="J2654" s="3" t="s">
        <v>10730</v>
      </c>
      <c r="K2654" s="3" t="s">
        <v>10731</v>
      </c>
      <c r="L2654" s="3" t="s">
        <v>10732</v>
      </c>
      <c r="M2654" s="3" t="n">
        <v>296894</v>
      </c>
      <c r="N2654" s="3" t="s">
        <v>158</v>
      </c>
      <c r="O2654" s="1" t="n">
        <v>280508</v>
      </c>
      <c r="P2654" s="1" t="n">
        <v>94.48</v>
      </c>
      <c r="Q2654" s="1" t="s">
        <v>20</v>
      </c>
      <c r="R2654" s="1" t="s">
        <v>27</v>
      </c>
      <c r="S2654" s="1" t="s">
        <v>28</v>
      </c>
      <c r="T2654" s="1" t="s">
        <v>29</v>
      </c>
    </row>
    <row r="2655" customFormat="false" ht="18.7" hidden="false" customHeight="true" outlineLevel="0" collapsed="false">
      <c r="A2655" s="1" t="n">
        <v>2654</v>
      </c>
      <c r="B2655" s="6" t="str">
        <f aca="false">HYPERLINK("https://mncourtfraud.com/file/MCRO_27-CR-22-17300_Notice of Hearing_2022-10-03_20240429162007.pdf","MCRO_27-CR-22-17300_Notice of Hearing_2022-10-03_20240429162007.pdf")</f>
        <v>MCRO_27-CR-22-17300_Notice of Hearing_2022-10-03_20240429162007.pdf</v>
      </c>
      <c r="C2655" s="1" t="n">
        <v>4</v>
      </c>
      <c r="D2655" s="1" t="n">
        <v>1</v>
      </c>
      <c r="E2655" s="1" t="n">
        <v>1</v>
      </c>
      <c r="F2655" s="3" t="s">
        <v>20</v>
      </c>
      <c r="G2655" s="3" t="s">
        <v>10733</v>
      </c>
      <c r="H2655" s="1" t="s">
        <v>22</v>
      </c>
      <c r="I2655" s="1" t="n">
        <v>20240429162007</v>
      </c>
      <c r="J2655" s="3" t="s">
        <v>10734</v>
      </c>
      <c r="K2655" s="3" t="s">
        <v>10735</v>
      </c>
      <c r="L2655" s="3" t="s">
        <v>10736</v>
      </c>
      <c r="M2655" s="3" t="n">
        <v>137371</v>
      </c>
      <c r="N2655" s="3" t="s">
        <v>1159</v>
      </c>
      <c r="O2655" s="1" t="n">
        <v>120985</v>
      </c>
      <c r="P2655" s="1" t="n">
        <v>88.07</v>
      </c>
      <c r="Q2655" s="1" t="s">
        <v>20</v>
      </c>
      <c r="R2655" s="1" t="s">
        <v>27</v>
      </c>
      <c r="S2655" s="1" t="s">
        <v>28</v>
      </c>
      <c r="T2655" s="1" t="s">
        <v>29</v>
      </c>
    </row>
    <row r="2656" customFormat="false" ht="18.7" hidden="false" customHeight="true" outlineLevel="0" collapsed="false">
      <c r="A2656" s="1" t="n">
        <v>2655</v>
      </c>
      <c r="B2656" s="6" t="str">
        <f aca="false">HYPERLINK("https://mncourtfraud.com/file/MCRO_27-CR-22-17300_Order-Evaluation for Competency to Proceed (Rule 20.01)_2022-10-06_20240429162006.pdf","MCRO_27-CR-22-17300_Order-Evaluation for Competency to Proceed (Rule 20.01)_2022-10-06_20240429162006.pdf")</f>
        <v>MCRO_27-CR-22-17300_Order-Evaluation for Competency to Proceed (Rule 20.01)_2022-10-06_20240429162006.pdf</v>
      </c>
      <c r="C2656" s="1" t="n">
        <v>5</v>
      </c>
      <c r="D2656" s="1" t="n">
        <v>1</v>
      </c>
      <c r="E2656" s="1" t="n">
        <v>1</v>
      </c>
      <c r="F2656" s="3" t="s">
        <v>20</v>
      </c>
      <c r="G2656" s="3" t="s">
        <v>10737</v>
      </c>
      <c r="H2656" s="1" t="s">
        <v>22</v>
      </c>
      <c r="I2656" s="1" t="n">
        <v>20240429162006</v>
      </c>
      <c r="J2656" s="3" t="s">
        <v>10738</v>
      </c>
      <c r="K2656" s="3" t="s">
        <v>10739</v>
      </c>
      <c r="L2656" s="3" t="s">
        <v>10740</v>
      </c>
      <c r="M2656" s="3" t="n">
        <v>791759</v>
      </c>
      <c r="N2656" s="3" t="s">
        <v>5856</v>
      </c>
      <c r="O2656" s="1" t="n">
        <v>775373</v>
      </c>
      <c r="P2656" s="1" t="n">
        <v>97.93</v>
      </c>
      <c r="Q2656" s="1" t="s">
        <v>20</v>
      </c>
      <c r="R2656" s="1" t="s">
        <v>27</v>
      </c>
      <c r="S2656" s="1" t="s">
        <v>28</v>
      </c>
      <c r="T2656" s="1" t="s">
        <v>29</v>
      </c>
    </row>
    <row r="2657" customFormat="false" ht="18.7" hidden="false" customHeight="true" outlineLevel="0" collapsed="false">
      <c r="A2657" s="1" t="n">
        <v>2656</v>
      </c>
      <c r="B2657" s="6" t="str">
        <f aca="false">HYPERLINK("https://mncourtfraud.com/file/MCRO_27-CR-22-17300_Order-Evaluation for Competency to Proceed (Rule 20.01)_2023-02-21_20240429162005.pdf","MCRO_27-CR-22-17300_Order-Evaluation for Competency to Proceed (Rule 20.01)_2023-02-21_20240429162005.pdf")</f>
        <v>MCRO_27-CR-22-17300_Order-Evaluation for Competency to Proceed (Rule 20.01)_2023-02-21_20240429162005.pdf</v>
      </c>
      <c r="C2657" s="1" t="n">
        <v>3</v>
      </c>
      <c r="D2657" s="1" t="n">
        <v>1</v>
      </c>
      <c r="E2657" s="1" t="n">
        <v>1</v>
      </c>
      <c r="F2657" s="3" t="s">
        <v>20</v>
      </c>
      <c r="G2657" s="3" t="s">
        <v>10741</v>
      </c>
      <c r="H2657" s="1" t="s">
        <v>22</v>
      </c>
      <c r="I2657" s="1" t="n">
        <v>20240429162005</v>
      </c>
      <c r="J2657" s="3" t="s">
        <v>10742</v>
      </c>
      <c r="K2657" s="3" t="s">
        <v>10743</v>
      </c>
      <c r="L2657" s="3" t="s">
        <v>8917</v>
      </c>
      <c r="M2657" s="3" t="n">
        <v>192381</v>
      </c>
      <c r="N2657" s="3" t="s">
        <v>1266</v>
      </c>
      <c r="O2657" s="1" t="n">
        <v>175995</v>
      </c>
      <c r="P2657" s="1" t="n">
        <v>91.48</v>
      </c>
      <c r="Q2657" s="1" t="s">
        <v>20</v>
      </c>
      <c r="R2657" s="1" t="s">
        <v>27</v>
      </c>
      <c r="S2657" s="1" t="s">
        <v>28</v>
      </c>
      <c r="T2657" s="1" t="s">
        <v>29</v>
      </c>
    </row>
    <row r="2658" customFormat="false" ht="18.7" hidden="false" customHeight="true" outlineLevel="0" collapsed="false">
      <c r="A2658" s="1" t="n">
        <v>2657</v>
      </c>
      <c r="B2658" s="6" t="str">
        <f aca="false">HYPERLINK("https://mncourtfraud.com/file/MCRO_27-CR-22-17300_Order-Evaluation for Competency to Proceed (Rule 20.01)_2023-03-28_20240429162003.pdf","MCRO_27-CR-22-17300_Order-Evaluation for Competency to Proceed (Rule 20.01)_2023-03-28_20240429162003.pdf")</f>
        <v>MCRO_27-CR-22-17300_Order-Evaluation for Competency to Proceed (Rule 20.01)_2023-03-28_20240429162003.pdf</v>
      </c>
      <c r="C2658" s="1" t="n">
        <v>6</v>
      </c>
      <c r="D2658" s="1" t="n">
        <v>2</v>
      </c>
      <c r="E2658" s="1" t="n">
        <v>2</v>
      </c>
      <c r="F2658" s="3" t="s">
        <v>27</v>
      </c>
      <c r="G2658" s="3" t="s">
        <v>10744</v>
      </c>
      <c r="H2658" s="1" t="s">
        <v>22</v>
      </c>
      <c r="I2658" s="1" t="n">
        <v>20240429162003</v>
      </c>
      <c r="J2658" s="3" t="s">
        <v>10745</v>
      </c>
      <c r="K2658" s="3" t="s">
        <v>10746</v>
      </c>
      <c r="L2658" s="3" t="s">
        <v>10747</v>
      </c>
      <c r="M2658" s="3" t="n">
        <v>888435</v>
      </c>
      <c r="N2658" s="3" t="s">
        <v>559</v>
      </c>
      <c r="O2658" s="1" t="n">
        <v>872049</v>
      </c>
      <c r="P2658" s="1" t="n">
        <v>98.16</v>
      </c>
      <c r="Q2658" s="1" t="s">
        <v>20</v>
      </c>
      <c r="R2658" s="1" t="s">
        <v>27</v>
      </c>
      <c r="S2658" s="1" t="s">
        <v>28</v>
      </c>
      <c r="T2658" s="1" t="s">
        <v>29</v>
      </c>
    </row>
    <row r="2659" customFormat="false" ht="18.7" hidden="false" customHeight="true" outlineLevel="0" collapsed="false">
      <c r="A2659" s="1" t="n">
        <v>2658</v>
      </c>
      <c r="B2659" s="6" t="str">
        <f aca="false">HYPERLINK("https://mncourtfraud.com/file/MCRO_27-CR-22-17300_Order-Evaluation for Competency to Proceed (Rule 20.01)_2023-08-22_20240429162000.pdf","MCRO_27-CR-22-17300_Order-Evaluation for Competency to Proceed (Rule 20.01)_2023-08-22_20240429162000.pdf")</f>
        <v>MCRO_27-CR-22-17300_Order-Evaluation for Competency to Proceed (Rule 20.01)_2023-08-22_20240429162000.pdf</v>
      </c>
      <c r="C2659" s="1" t="n">
        <v>6</v>
      </c>
      <c r="D2659" s="1" t="n">
        <v>2</v>
      </c>
      <c r="E2659" s="1" t="n">
        <v>2</v>
      </c>
      <c r="F2659" s="3" t="s">
        <v>27</v>
      </c>
      <c r="G2659" s="3" t="s">
        <v>10748</v>
      </c>
      <c r="H2659" s="1" t="s">
        <v>22</v>
      </c>
      <c r="I2659" s="1" t="n">
        <v>20240429162000</v>
      </c>
      <c r="J2659" s="3" t="s">
        <v>10749</v>
      </c>
      <c r="K2659" s="3" t="s">
        <v>10750</v>
      </c>
      <c r="L2659" s="3" t="s">
        <v>10751</v>
      </c>
      <c r="M2659" s="3" t="n">
        <v>877449</v>
      </c>
      <c r="N2659" s="3" t="s">
        <v>554</v>
      </c>
      <c r="O2659" s="1" t="n">
        <v>861063</v>
      </c>
      <c r="P2659" s="1" t="n">
        <v>98.13</v>
      </c>
      <c r="Q2659" s="1" t="s">
        <v>20</v>
      </c>
      <c r="R2659" s="1" t="s">
        <v>27</v>
      </c>
      <c r="S2659" s="1" t="s">
        <v>28</v>
      </c>
      <c r="T2659" s="1" t="s">
        <v>29</v>
      </c>
    </row>
    <row r="2660" customFormat="false" ht="18.7" hidden="false" customHeight="true" outlineLevel="0" collapsed="false">
      <c r="A2660" s="1" t="n">
        <v>2659</v>
      </c>
      <c r="B2660" s="6" t="str">
        <f aca="false">HYPERLINK("https://mncourtfraud.com/file/MCRO_27-CR-22-17300_Order-Evaluation for Competency to Proceed (Rule 20.01)_2024-02-21_20240429161956.pdf","MCRO_27-CR-22-17300_Order-Evaluation for Competency to Proceed (Rule 20.01)_2024-02-21_20240429161956.pdf")</f>
        <v>MCRO_27-CR-22-17300_Order-Evaluation for Competency to Proceed (Rule 20.01)_2024-02-21_20240429161956.pdf</v>
      </c>
      <c r="C2660" s="1" t="n">
        <v>5</v>
      </c>
      <c r="D2660" s="1" t="n">
        <v>1</v>
      </c>
      <c r="E2660" s="1" t="n">
        <v>1</v>
      </c>
      <c r="F2660" s="3" t="s">
        <v>20</v>
      </c>
      <c r="G2660" s="3" t="s">
        <v>10752</v>
      </c>
      <c r="H2660" s="1" t="s">
        <v>22</v>
      </c>
      <c r="I2660" s="1" t="n">
        <v>20240429161956</v>
      </c>
      <c r="J2660" s="3" t="s">
        <v>10753</v>
      </c>
      <c r="K2660" s="3" t="s">
        <v>10754</v>
      </c>
      <c r="L2660" s="3" t="s">
        <v>9154</v>
      </c>
      <c r="M2660" s="3" t="n">
        <v>762225</v>
      </c>
      <c r="N2660" s="3" t="s">
        <v>6055</v>
      </c>
      <c r="O2660" s="1" t="n">
        <v>745839</v>
      </c>
      <c r="P2660" s="1" t="n">
        <v>97.85</v>
      </c>
      <c r="Q2660" s="1" t="s">
        <v>20</v>
      </c>
      <c r="R2660" s="1" t="s">
        <v>27</v>
      </c>
      <c r="S2660" s="1" t="s">
        <v>28</v>
      </c>
      <c r="T2660" s="1" t="s">
        <v>29</v>
      </c>
    </row>
    <row r="2661" customFormat="false" ht="18.7" hidden="false" customHeight="true" outlineLevel="0" collapsed="false">
      <c r="A2661" s="1" t="n">
        <v>2660</v>
      </c>
      <c r="B2661" s="6" t="str">
        <f aca="false">HYPERLINK("https://mncourtfraud.com/file/MCRO_27-CR-22-17300_Order for Conditional Release_2023-03-17_20240429162004.pdf","MCRO_27-CR-22-17300_Order for Conditional Release_2023-03-17_20240429162004.pdf")</f>
        <v>MCRO_27-CR-22-17300_Order for Conditional Release_2023-03-17_20240429162004.pdf</v>
      </c>
      <c r="C2661" s="1" t="n">
        <v>4</v>
      </c>
      <c r="D2661" s="1" t="n">
        <v>1</v>
      </c>
      <c r="E2661" s="1" t="n">
        <v>1</v>
      </c>
      <c r="F2661" s="3" t="s">
        <v>20</v>
      </c>
      <c r="G2661" s="3" t="s">
        <v>10755</v>
      </c>
      <c r="H2661" s="1" t="s">
        <v>22</v>
      </c>
      <c r="I2661" s="1" t="n">
        <v>20240429162004</v>
      </c>
      <c r="J2661" s="3" t="s">
        <v>10756</v>
      </c>
      <c r="K2661" s="3" t="s">
        <v>10757</v>
      </c>
      <c r="L2661" s="3" t="s">
        <v>10758</v>
      </c>
      <c r="M2661" s="3" t="n">
        <v>1015507</v>
      </c>
      <c r="N2661" s="3" t="s">
        <v>650</v>
      </c>
      <c r="O2661" s="1" t="n">
        <v>999121</v>
      </c>
      <c r="P2661" s="1" t="n">
        <v>98.39</v>
      </c>
      <c r="Q2661" s="1" t="s">
        <v>20</v>
      </c>
      <c r="R2661" s="1" t="s">
        <v>27</v>
      </c>
      <c r="S2661" s="1" t="s">
        <v>28</v>
      </c>
      <c r="T2661" s="1" t="s">
        <v>29</v>
      </c>
    </row>
    <row r="2662" customFormat="false" ht="18.7" hidden="false" customHeight="true" outlineLevel="0" collapsed="false">
      <c r="A2662" s="1" t="n">
        <v>2661</v>
      </c>
      <c r="B2662" s="6" t="str">
        <f aca="false">HYPERLINK("https://mncourtfraud.com/file/MCRO_27-CR-22-17300_Order for Conditional Release_2023-05-16_20240429162001.pdf","MCRO_27-CR-22-17300_Order for Conditional Release_2023-05-16_20240429162001.pdf")</f>
        <v>MCRO_27-CR-22-17300_Order for Conditional Release_2023-05-16_20240429162001.pdf</v>
      </c>
      <c r="C2662" s="1" t="n">
        <v>6</v>
      </c>
      <c r="D2662" s="1" t="n">
        <v>2</v>
      </c>
      <c r="E2662" s="1" t="n">
        <v>2</v>
      </c>
      <c r="F2662" s="3" t="s">
        <v>27</v>
      </c>
      <c r="G2662" s="3" t="s">
        <v>10759</v>
      </c>
      <c r="H2662" s="1" t="s">
        <v>22</v>
      </c>
      <c r="I2662" s="1" t="n">
        <v>20240429162001</v>
      </c>
      <c r="J2662" s="3" t="s">
        <v>10760</v>
      </c>
      <c r="K2662" s="3" t="s">
        <v>10761</v>
      </c>
      <c r="L2662" s="3" t="s">
        <v>10762</v>
      </c>
      <c r="M2662" s="3" t="n">
        <v>876651</v>
      </c>
      <c r="N2662" s="3" t="s">
        <v>69</v>
      </c>
      <c r="O2662" s="1" t="n">
        <v>860265</v>
      </c>
      <c r="P2662" s="1" t="n">
        <v>98.13</v>
      </c>
      <c r="Q2662" s="1" t="s">
        <v>20</v>
      </c>
      <c r="R2662" s="1" t="s">
        <v>27</v>
      </c>
      <c r="S2662" s="1" t="s">
        <v>28</v>
      </c>
      <c r="T2662" s="1" t="s">
        <v>29</v>
      </c>
    </row>
    <row r="2663" customFormat="false" ht="18.7" hidden="false" customHeight="true" outlineLevel="0" collapsed="false">
      <c r="A2663" s="1" t="n">
        <v>2662</v>
      </c>
      <c r="B2663" s="6" t="str">
        <f aca="false">HYPERLINK("https://mncourtfraud.com/file/MCRO_27-CR-22-17300_Returned Mail_2022-09-20_20240429162008.pdf","MCRO_27-CR-22-17300_Returned Mail_2022-09-20_20240429162008.pdf")</f>
        <v>MCRO_27-CR-22-17300_Returned Mail_2022-09-20_20240429162008.pdf</v>
      </c>
      <c r="C2663" s="1" t="n">
        <v>4</v>
      </c>
      <c r="D2663" s="1" t="n">
        <v>1</v>
      </c>
      <c r="E2663" s="1" t="n">
        <v>1</v>
      </c>
      <c r="F2663" s="3" t="s">
        <v>20</v>
      </c>
      <c r="G2663" s="3" t="s">
        <v>10763</v>
      </c>
      <c r="H2663" s="1" t="s">
        <v>22</v>
      </c>
      <c r="I2663" s="1" t="n">
        <v>20240429162008</v>
      </c>
      <c r="J2663" s="3" t="s">
        <v>10764</v>
      </c>
      <c r="K2663" s="3" t="s">
        <v>10765</v>
      </c>
      <c r="L2663" s="3" t="s">
        <v>10766</v>
      </c>
      <c r="M2663" s="3" t="n">
        <v>374021</v>
      </c>
      <c r="N2663" s="3" t="s">
        <v>158</v>
      </c>
      <c r="O2663" s="1" t="n">
        <v>357635</v>
      </c>
      <c r="P2663" s="1" t="n">
        <v>95.62</v>
      </c>
      <c r="Q2663" s="1" t="s">
        <v>20</v>
      </c>
      <c r="R2663" s="1" t="s">
        <v>27</v>
      </c>
      <c r="S2663" s="1" t="s">
        <v>28</v>
      </c>
      <c r="T2663" s="1" t="s">
        <v>29</v>
      </c>
    </row>
    <row r="2664" customFormat="false" ht="18.7" hidden="false" customHeight="true" outlineLevel="0" collapsed="false">
      <c r="A2664" s="1" t="n">
        <v>2663</v>
      </c>
      <c r="B2664" s="6" t="str">
        <f aca="false">HYPERLINK("https://mncourtfraud.com/file/MCRO_27-CR-22-17300_Summons_2022-09-08_20240429162009.pdf","MCRO_27-CR-22-17300_Summons_2022-09-08_20240429162009.pdf")</f>
        <v>MCRO_27-CR-22-17300_Summons_2022-09-08_20240429162009.pdf</v>
      </c>
      <c r="C2664" s="1" t="n">
        <v>5</v>
      </c>
      <c r="D2664" s="1" t="n">
        <v>1</v>
      </c>
      <c r="E2664" s="1" t="n">
        <v>1</v>
      </c>
      <c r="F2664" s="3" t="s">
        <v>20</v>
      </c>
      <c r="G2664" s="3" t="s">
        <v>10767</v>
      </c>
      <c r="H2664" s="1" t="s">
        <v>22</v>
      </c>
      <c r="I2664" s="1" t="n">
        <v>20240429162009</v>
      </c>
      <c r="J2664" s="3" t="s">
        <v>10768</v>
      </c>
      <c r="K2664" s="3" t="s">
        <v>10769</v>
      </c>
      <c r="L2664" s="3" t="s">
        <v>10770</v>
      </c>
      <c r="M2664" s="3" t="n">
        <v>703560</v>
      </c>
      <c r="N2664" s="3" t="s">
        <v>2723</v>
      </c>
      <c r="O2664" s="1" t="n">
        <v>687174</v>
      </c>
      <c r="P2664" s="1" t="n">
        <v>97.67</v>
      </c>
      <c r="Q2664" s="1" t="s">
        <v>20</v>
      </c>
      <c r="R2664" s="1" t="s">
        <v>27</v>
      </c>
      <c r="S2664" s="1" t="s">
        <v>28</v>
      </c>
      <c r="T2664" s="1" t="s">
        <v>29</v>
      </c>
    </row>
    <row r="2665" customFormat="false" ht="18.7" hidden="false" customHeight="true" outlineLevel="0" collapsed="false">
      <c r="A2665" s="1" t="n">
        <v>2664</v>
      </c>
      <c r="B2665" s="6" t="str">
        <f aca="false">HYPERLINK("https://mncourtfraud.com/file/MCRO_27-CR-22-18209_Amended Order_2022-10-13_20240429162108.pdf","MCRO_27-CR-22-18209_Amended Order_2022-10-13_20240429162108.pdf")</f>
        <v>MCRO_27-CR-22-18209_Amended Order_2022-10-13_20240429162108.pdf</v>
      </c>
      <c r="C2665" s="1" t="n">
        <v>4</v>
      </c>
      <c r="D2665" s="1" t="n">
        <v>1</v>
      </c>
      <c r="E2665" s="1" t="n">
        <v>1</v>
      </c>
      <c r="F2665" s="3" t="s">
        <v>20</v>
      </c>
      <c r="G2665" s="3" t="s">
        <v>10771</v>
      </c>
      <c r="H2665" s="1" t="s">
        <v>22</v>
      </c>
      <c r="I2665" s="1" t="n">
        <v>20240429162108</v>
      </c>
      <c r="J2665" s="3" t="s">
        <v>10772</v>
      </c>
      <c r="K2665" s="3" t="s">
        <v>10773</v>
      </c>
      <c r="L2665" s="3" t="s">
        <v>10774</v>
      </c>
      <c r="M2665" s="3" t="n">
        <v>97015</v>
      </c>
      <c r="N2665" s="3" t="s">
        <v>361</v>
      </c>
      <c r="O2665" s="1" t="n">
        <v>80629</v>
      </c>
      <c r="P2665" s="1" t="n">
        <v>83.11</v>
      </c>
      <c r="Q2665" s="1" t="s">
        <v>20</v>
      </c>
      <c r="R2665" s="1" t="s">
        <v>27</v>
      </c>
      <c r="S2665" s="1" t="s">
        <v>28</v>
      </c>
      <c r="T2665" s="1" t="s">
        <v>29</v>
      </c>
    </row>
    <row r="2666" customFormat="false" ht="18.7" hidden="false" customHeight="true" outlineLevel="0" collapsed="false">
      <c r="A2666" s="1" t="n">
        <v>2665</v>
      </c>
      <c r="B2666" s="6" t="str">
        <f aca="false">HYPERLINK("https://mncourtfraud.com/file/MCRO_27-CR-22-18209_Correspondence_2023-05-18_20240429162058.pdf","MCRO_27-CR-22-18209_Correspondence_2023-05-18_20240429162058.pdf")</f>
        <v>MCRO_27-CR-22-18209_Correspondence_2023-05-18_20240429162058.pdf</v>
      </c>
      <c r="C2666" s="1" t="n">
        <v>5</v>
      </c>
      <c r="D2666" s="1" t="n">
        <v>4</v>
      </c>
      <c r="E2666" s="1" t="n">
        <v>4</v>
      </c>
      <c r="F2666" s="3" t="s">
        <v>20</v>
      </c>
      <c r="G2666" s="3" t="s">
        <v>10775</v>
      </c>
      <c r="H2666" s="1" t="s">
        <v>22</v>
      </c>
      <c r="I2666" s="1" t="n">
        <v>20240429162058</v>
      </c>
      <c r="J2666" s="3" t="s">
        <v>10776</v>
      </c>
      <c r="K2666" s="3" t="s">
        <v>10777</v>
      </c>
      <c r="L2666" s="3" t="s">
        <v>10778</v>
      </c>
      <c r="M2666" s="3" t="n">
        <v>352674</v>
      </c>
      <c r="N2666" s="3" t="s">
        <v>3929</v>
      </c>
      <c r="O2666" s="1" t="n">
        <v>336288</v>
      </c>
      <c r="P2666" s="1" t="n">
        <v>95.35</v>
      </c>
      <c r="Q2666" s="1" t="s">
        <v>20</v>
      </c>
      <c r="R2666" s="1" t="s">
        <v>27</v>
      </c>
      <c r="S2666" s="1" t="s">
        <v>28</v>
      </c>
      <c r="T2666" s="1" t="s">
        <v>29</v>
      </c>
    </row>
    <row r="2667" customFormat="false" ht="18.7" hidden="false" customHeight="true" outlineLevel="0" collapsed="false">
      <c r="A2667" s="1" t="n">
        <v>2666</v>
      </c>
      <c r="B2667" s="6" t="str">
        <f aca="false">HYPERLINK("https://mncourtfraud.com/file/MCRO_27-CR-22-18209_Demand or Request for Discovery_2022-09-20_20240429162114.pdf","MCRO_27-CR-22-18209_Demand or Request for Discovery_2022-09-20_20240429162114.pdf")</f>
        <v>MCRO_27-CR-22-18209_Demand or Request for Discovery_2022-09-20_20240429162114.pdf</v>
      </c>
      <c r="C2667" s="1" t="n">
        <v>3</v>
      </c>
      <c r="D2667" s="1" t="n">
        <v>1</v>
      </c>
      <c r="E2667" s="1" t="n">
        <v>1</v>
      </c>
      <c r="F2667" s="3" t="s">
        <v>20</v>
      </c>
      <c r="G2667" s="3" t="s">
        <v>10779</v>
      </c>
      <c r="H2667" s="1" t="s">
        <v>22</v>
      </c>
      <c r="I2667" s="1" t="n">
        <v>20240429162114</v>
      </c>
      <c r="J2667" s="3" t="s">
        <v>10780</v>
      </c>
      <c r="K2667" s="3" t="s">
        <v>10781</v>
      </c>
      <c r="L2667" s="3" t="s">
        <v>10782</v>
      </c>
      <c r="M2667" s="3" t="n">
        <v>409535</v>
      </c>
      <c r="N2667" s="3" t="s">
        <v>5847</v>
      </c>
      <c r="O2667" s="1" t="n">
        <v>393149</v>
      </c>
      <c r="P2667" s="1" t="n">
        <v>96</v>
      </c>
      <c r="Q2667" s="1" t="s">
        <v>20</v>
      </c>
      <c r="R2667" s="1" t="s">
        <v>27</v>
      </c>
      <c r="S2667" s="1" t="s">
        <v>28</v>
      </c>
      <c r="T2667" s="1" t="s">
        <v>29</v>
      </c>
    </row>
    <row r="2668" customFormat="false" ht="18.7" hidden="false" customHeight="true" outlineLevel="0" collapsed="false">
      <c r="A2668" s="1" t="n">
        <v>2667</v>
      </c>
      <c r="B2668" s="6" t="str">
        <f aca="false">HYPERLINK("https://mncourtfraud.com/file/MCRO_27-CR-22-18209_E-filed Comp-Order for Detention_2022-09-13_20240429162116.pdf","MCRO_27-CR-22-18209_E-filed Comp-Order for Detention_2022-09-13_20240429162116.pdf")</f>
        <v>MCRO_27-CR-22-18209_E-filed Comp-Order for Detention_2022-09-13_20240429162116.pdf</v>
      </c>
      <c r="C2668" s="1" t="n">
        <v>5</v>
      </c>
      <c r="D2668" s="1" t="n">
        <v>2</v>
      </c>
      <c r="E2668" s="1" t="n">
        <v>2</v>
      </c>
      <c r="F2668" s="3" t="s">
        <v>20</v>
      </c>
      <c r="G2668" s="3" t="s">
        <v>10783</v>
      </c>
      <c r="H2668" s="1" t="s">
        <v>22</v>
      </c>
      <c r="I2668" s="1" t="n">
        <v>20240429162116</v>
      </c>
      <c r="J2668" s="3" t="s">
        <v>10784</v>
      </c>
      <c r="K2668" s="3" t="s">
        <v>10785</v>
      </c>
      <c r="L2668" s="3" t="s">
        <v>10786</v>
      </c>
      <c r="M2668" s="3" t="n">
        <v>446206</v>
      </c>
      <c r="N2668" s="3" t="s">
        <v>10787</v>
      </c>
      <c r="O2668" s="1" t="n">
        <v>429820</v>
      </c>
      <c r="P2668" s="1" t="n">
        <v>96.33</v>
      </c>
      <c r="Q2668" s="1" t="s">
        <v>20</v>
      </c>
      <c r="R2668" s="1" t="s">
        <v>27</v>
      </c>
      <c r="S2668" s="1" t="s">
        <v>28</v>
      </c>
      <c r="T2668" s="1" t="s">
        <v>29</v>
      </c>
    </row>
    <row r="2669" customFormat="false" ht="18.7" hidden="false" customHeight="true" outlineLevel="0" collapsed="false">
      <c r="A2669" s="1" t="n">
        <v>2668</v>
      </c>
      <c r="B2669" s="6" t="str">
        <f aca="false">HYPERLINK("https://mncourtfraud.com/file/MCRO_27-CR-22-18209_Finding of Incompetency and Order_2023-01-24_20240429162103.pdf","MCRO_27-CR-22-18209_Finding of Incompetency and Order_2023-01-24_20240429162103.pdf")</f>
        <v>MCRO_27-CR-22-18209_Finding of Incompetency and Order_2023-01-24_20240429162103.pdf</v>
      </c>
      <c r="C2669" s="1" t="n">
        <v>7</v>
      </c>
      <c r="D2669" s="1" t="n">
        <v>2</v>
      </c>
      <c r="E2669" s="1" t="n">
        <v>2</v>
      </c>
      <c r="F2669" s="3" t="s">
        <v>27</v>
      </c>
      <c r="G2669" s="3" t="s">
        <v>10788</v>
      </c>
      <c r="H2669" s="1" t="s">
        <v>22</v>
      </c>
      <c r="I2669" s="1" t="n">
        <v>20240429162103</v>
      </c>
      <c r="J2669" s="3" t="s">
        <v>10789</v>
      </c>
      <c r="K2669" s="3" t="s">
        <v>10790</v>
      </c>
      <c r="L2669" s="3" t="s">
        <v>10791</v>
      </c>
      <c r="M2669" s="3" t="n">
        <v>897978</v>
      </c>
      <c r="N2669" s="3" t="s">
        <v>2987</v>
      </c>
      <c r="O2669" s="1" t="n">
        <v>881592</v>
      </c>
      <c r="P2669" s="1" t="n">
        <v>98.18</v>
      </c>
      <c r="Q2669" s="1" t="s">
        <v>20</v>
      </c>
      <c r="R2669" s="1" t="s">
        <v>27</v>
      </c>
      <c r="S2669" s="1" t="s">
        <v>28</v>
      </c>
      <c r="T2669" s="1" t="s">
        <v>29</v>
      </c>
    </row>
    <row r="2670" customFormat="false" ht="18.7" hidden="false" customHeight="true" outlineLevel="0" collapsed="false">
      <c r="A2670" s="1" t="n">
        <v>2669</v>
      </c>
      <c r="B2670" s="6" t="str">
        <f aca="false">HYPERLINK("https://mncourtfraud.com/file/MCRO_27-CR-22-18209_Notice of Hearing_2022-09-14_20240429162115.pdf","MCRO_27-CR-22-18209_Notice of Hearing_2022-09-14_20240429162115.pdf")</f>
        <v>MCRO_27-CR-22-18209_Notice of Hearing_2022-09-14_20240429162115.pdf</v>
      </c>
      <c r="C2670" s="1" t="n">
        <v>4</v>
      </c>
      <c r="D2670" s="1" t="n">
        <v>1</v>
      </c>
      <c r="E2670" s="1" t="n">
        <v>1</v>
      </c>
      <c r="F2670" s="3" t="s">
        <v>20</v>
      </c>
      <c r="G2670" s="3" t="s">
        <v>10792</v>
      </c>
      <c r="H2670" s="1" t="s">
        <v>22</v>
      </c>
      <c r="I2670" s="1" t="n">
        <v>20240429162115</v>
      </c>
      <c r="J2670" s="3" t="s">
        <v>10793</v>
      </c>
      <c r="K2670" s="3" t="s">
        <v>10794</v>
      </c>
      <c r="L2670" s="3" t="s">
        <v>10795</v>
      </c>
      <c r="M2670" s="3" t="n">
        <v>112318</v>
      </c>
      <c r="N2670" s="3" t="s">
        <v>456</v>
      </c>
      <c r="O2670" s="1" t="n">
        <v>95932</v>
      </c>
      <c r="P2670" s="1" t="n">
        <v>85.41</v>
      </c>
      <c r="Q2670" s="1" t="s">
        <v>20</v>
      </c>
      <c r="R2670" s="1" t="s">
        <v>27</v>
      </c>
      <c r="S2670" s="1" t="s">
        <v>28</v>
      </c>
      <c r="T2670" s="1" t="s">
        <v>29</v>
      </c>
    </row>
    <row r="2671" customFormat="false" ht="18.7" hidden="false" customHeight="true" outlineLevel="0" collapsed="false">
      <c r="A2671" s="1" t="n">
        <v>2670</v>
      </c>
      <c r="B2671" s="6" t="str">
        <f aca="false">HYPERLINK("https://mncourtfraud.com/file/MCRO_27-CR-22-18209_Notice of Hearing_2022-09-23_20240429162113.pdf","MCRO_27-CR-22-18209_Notice of Hearing_2022-09-23_20240429162113.pdf")</f>
        <v>MCRO_27-CR-22-18209_Notice of Hearing_2022-09-23_20240429162113.pdf</v>
      </c>
      <c r="C2671" s="1" t="n">
        <v>4</v>
      </c>
      <c r="D2671" s="1" t="n">
        <v>1</v>
      </c>
      <c r="E2671" s="1" t="n">
        <v>1</v>
      </c>
      <c r="F2671" s="3" t="s">
        <v>20</v>
      </c>
      <c r="G2671" s="3" t="s">
        <v>10796</v>
      </c>
      <c r="H2671" s="1" t="s">
        <v>22</v>
      </c>
      <c r="I2671" s="1" t="n">
        <v>20240429162113</v>
      </c>
      <c r="J2671" s="3" t="s">
        <v>10797</v>
      </c>
      <c r="K2671" s="3" t="s">
        <v>10798</v>
      </c>
      <c r="L2671" s="3" t="s">
        <v>10799</v>
      </c>
      <c r="M2671" s="3" t="n">
        <v>320052</v>
      </c>
      <c r="N2671" s="3" t="s">
        <v>158</v>
      </c>
      <c r="O2671" s="1" t="n">
        <v>303666</v>
      </c>
      <c r="P2671" s="1" t="n">
        <v>94.88</v>
      </c>
      <c r="Q2671" s="1" t="s">
        <v>20</v>
      </c>
      <c r="R2671" s="1" t="s">
        <v>27</v>
      </c>
      <c r="S2671" s="1" t="s">
        <v>28</v>
      </c>
      <c r="T2671" s="1" t="s">
        <v>29</v>
      </c>
    </row>
    <row r="2672" customFormat="false" ht="18.7" hidden="false" customHeight="true" outlineLevel="0" collapsed="false">
      <c r="A2672" s="1" t="n">
        <v>2671</v>
      </c>
      <c r="B2672" s="6" t="str">
        <f aca="false">HYPERLINK("https://mncourtfraud.com/file/MCRO_27-CR-22-18209_Notice of Intent to Prosecute_2023-01-24_20240429162102.pdf","MCRO_27-CR-22-18209_Notice of Intent to Prosecute_2023-01-24_20240429162102.pdf")</f>
        <v>MCRO_27-CR-22-18209_Notice of Intent to Prosecute_2023-01-24_20240429162102.pdf</v>
      </c>
      <c r="C2672" s="1" t="n">
        <v>3</v>
      </c>
      <c r="D2672" s="1" t="n">
        <v>1</v>
      </c>
      <c r="E2672" s="1" t="n">
        <v>1</v>
      </c>
      <c r="F2672" s="3" t="s">
        <v>20</v>
      </c>
      <c r="G2672" s="3" t="s">
        <v>10800</v>
      </c>
      <c r="H2672" s="1" t="s">
        <v>22</v>
      </c>
      <c r="I2672" s="1" t="n">
        <v>20240429162102</v>
      </c>
      <c r="J2672" s="3" t="s">
        <v>10801</v>
      </c>
      <c r="K2672" s="3" t="s">
        <v>10802</v>
      </c>
      <c r="L2672" s="3" t="s">
        <v>10803</v>
      </c>
      <c r="M2672" s="3" t="n">
        <v>118234</v>
      </c>
      <c r="N2672" s="3" t="s">
        <v>736</v>
      </c>
      <c r="O2672" s="1" t="n">
        <v>101848</v>
      </c>
      <c r="P2672" s="1" t="n">
        <v>86.14</v>
      </c>
      <c r="Q2672" s="1" t="s">
        <v>20</v>
      </c>
      <c r="R2672" s="1" t="s">
        <v>27</v>
      </c>
      <c r="S2672" s="1" t="s">
        <v>28</v>
      </c>
      <c r="T2672" s="1" t="s">
        <v>29</v>
      </c>
    </row>
    <row r="2673" customFormat="false" ht="18.7" hidden="false" customHeight="true" outlineLevel="0" collapsed="false">
      <c r="A2673" s="1" t="n">
        <v>2672</v>
      </c>
      <c r="B2673" s="6" t="str">
        <f aca="false">HYPERLINK("https://mncourtfraud.com/file/MCRO_27-CR-22-18209_Notice of Remote Hearing with Instructions_2022-12-14_20240429162107.pdf","MCRO_27-CR-22-18209_Notice of Remote Hearing with Instructions_2022-12-14_20240429162107.pdf")</f>
        <v>MCRO_27-CR-22-18209_Notice of Remote Hearing with Instructions_2022-12-14_20240429162107.pdf</v>
      </c>
      <c r="C2673" s="1" t="n">
        <v>4</v>
      </c>
      <c r="D2673" s="1" t="n">
        <v>1</v>
      </c>
      <c r="E2673" s="1" t="n">
        <v>1</v>
      </c>
      <c r="F2673" s="3" t="s">
        <v>20</v>
      </c>
      <c r="G2673" s="3" t="s">
        <v>10804</v>
      </c>
      <c r="H2673" s="1" t="s">
        <v>22</v>
      </c>
      <c r="I2673" s="1" t="n">
        <v>20240429162107</v>
      </c>
      <c r="J2673" s="3" t="s">
        <v>10805</v>
      </c>
      <c r="K2673" s="3" t="s">
        <v>10806</v>
      </c>
      <c r="L2673" s="3" t="s">
        <v>10807</v>
      </c>
      <c r="M2673" s="3" t="n">
        <v>264269</v>
      </c>
      <c r="N2673" s="3" t="s">
        <v>2852</v>
      </c>
      <c r="O2673" s="1" t="n">
        <v>247883</v>
      </c>
      <c r="P2673" s="1" t="n">
        <v>93.8</v>
      </c>
      <c r="Q2673" s="1" t="s">
        <v>20</v>
      </c>
      <c r="R2673" s="1" t="s">
        <v>27</v>
      </c>
      <c r="S2673" s="1" t="s">
        <v>28</v>
      </c>
      <c r="T2673" s="1" t="s">
        <v>29</v>
      </c>
    </row>
    <row r="2674" customFormat="false" ht="18.7" hidden="false" customHeight="true" outlineLevel="0" collapsed="false">
      <c r="A2674" s="1" t="n">
        <v>2673</v>
      </c>
      <c r="B2674" s="6" t="str">
        <f aca="false">HYPERLINK("https://mncourtfraud.com/file/MCRO_27-CR-22-18209_Notice of Remote Hearing with Instructions_2023-07-25_20240429162055.pdf","MCRO_27-CR-22-18209_Notice of Remote Hearing with Instructions_2023-07-25_20240429162055.pdf")</f>
        <v>MCRO_27-CR-22-18209_Notice of Remote Hearing with Instructions_2023-07-25_20240429162055.pdf</v>
      </c>
      <c r="C2674" s="1" t="n">
        <v>5</v>
      </c>
      <c r="D2674" s="1" t="n">
        <v>1</v>
      </c>
      <c r="E2674" s="1" t="n">
        <v>1</v>
      </c>
      <c r="F2674" s="3" t="s">
        <v>20</v>
      </c>
      <c r="G2674" s="3" t="s">
        <v>10808</v>
      </c>
      <c r="H2674" s="1" t="s">
        <v>22</v>
      </c>
      <c r="I2674" s="1" t="n">
        <v>20240429162055</v>
      </c>
      <c r="J2674" s="3" t="s">
        <v>10809</v>
      </c>
      <c r="K2674" s="3" t="s">
        <v>10810</v>
      </c>
      <c r="L2674" s="3" t="s">
        <v>10811</v>
      </c>
      <c r="M2674" s="3" t="n">
        <v>843065</v>
      </c>
      <c r="N2674" s="3" t="s">
        <v>3164</v>
      </c>
      <c r="O2674" s="1" t="n">
        <v>826679</v>
      </c>
      <c r="P2674" s="1" t="n">
        <v>98.06</v>
      </c>
      <c r="Q2674" s="1" t="s">
        <v>20</v>
      </c>
      <c r="R2674" s="1" t="s">
        <v>27</v>
      </c>
      <c r="S2674" s="1" t="s">
        <v>28</v>
      </c>
      <c r="T2674" s="1" t="s">
        <v>29</v>
      </c>
    </row>
    <row r="2675" customFormat="false" ht="18.7" hidden="false" customHeight="true" outlineLevel="0" collapsed="false">
      <c r="A2675" s="1" t="n">
        <v>2674</v>
      </c>
      <c r="B2675" s="6" t="str">
        <f aca="false">HYPERLINK("https://mncourtfraud.com/file/MCRO_27-CR-22-18209_Notice of Remote Hearing with Instructions_2024-01-23_20240429162053.pdf","MCRO_27-CR-22-18209_Notice of Remote Hearing with Instructions_2024-01-23_20240429162053.pdf")</f>
        <v>MCRO_27-CR-22-18209_Notice of Remote Hearing with Instructions_2024-01-23_20240429162053.pdf</v>
      </c>
      <c r="C2675" s="1" t="n">
        <v>4</v>
      </c>
      <c r="D2675" s="1" t="n">
        <v>1</v>
      </c>
      <c r="E2675" s="1" t="n">
        <v>1</v>
      </c>
      <c r="F2675" s="3" t="s">
        <v>20</v>
      </c>
      <c r="G2675" s="3" t="s">
        <v>10812</v>
      </c>
      <c r="H2675" s="1" t="s">
        <v>22</v>
      </c>
      <c r="I2675" s="1" t="n">
        <v>20240429162053</v>
      </c>
      <c r="J2675" s="3" t="s">
        <v>10813</v>
      </c>
      <c r="K2675" s="3" t="s">
        <v>10814</v>
      </c>
      <c r="L2675" s="3" t="s">
        <v>10815</v>
      </c>
      <c r="M2675" s="3" t="n">
        <v>269750</v>
      </c>
      <c r="N2675" s="3" t="s">
        <v>74</v>
      </c>
      <c r="O2675" s="1" t="n">
        <v>253364</v>
      </c>
      <c r="P2675" s="1" t="n">
        <v>93.93</v>
      </c>
      <c r="Q2675" s="1" t="s">
        <v>20</v>
      </c>
      <c r="R2675" s="1" t="s">
        <v>27</v>
      </c>
      <c r="S2675" s="1" t="s">
        <v>28</v>
      </c>
      <c r="T2675" s="1" t="s">
        <v>29</v>
      </c>
    </row>
    <row r="2676" customFormat="false" ht="18.7" hidden="false" customHeight="true" outlineLevel="0" collapsed="false">
      <c r="A2676" s="1" t="n">
        <v>2675</v>
      </c>
      <c r="B2676" s="6" t="str">
        <f aca="false">HYPERLINK("https://mncourtfraud.com/file/MCRO_27-CR-22-18209_Notice of Remote Hearing with Instructions_2024-02-06_20240429162052.pdf","MCRO_27-CR-22-18209_Notice of Remote Hearing with Instructions_2024-02-06_20240429162052.pdf")</f>
        <v>MCRO_27-CR-22-18209_Notice of Remote Hearing with Instructions_2024-02-06_20240429162052.pdf</v>
      </c>
      <c r="C2676" s="1" t="n">
        <v>4</v>
      </c>
      <c r="D2676" s="1" t="n">
        <v>1</v>
      </c>
      <c r="E2676" s="1" t="n">
        <v>1</v>
      </c>
      <c r="F2676" s="3" t="s">
        <v>20</v>
      </c>
      <c r="G2676" s="3" t="s">
        <v>10816</v>
      </c>
      <c r="H2676" s="1" t="s">
        <v>22</v>
      </c>
      <c r="I2676" s="1" t="n">
        <v>20240429162052</v>
      </c>
      <c r="J2676" s="3" t="s">
        <v>10817</v>
      </c>
      <c r="K2676" s="3" t="s">
        <v>10818</v>
      </c>
      <c r="L2676" s="3" t="s">
        <v>10819</v>
      </c>
      <c r="M2676" s="3" t="n">
        <v>257632</v>
      </c>
      <c r="N2676" s="3" t="s">
        <v>936</v>
      </c>
      <c r="O2676" s="1" t="n">
        <v>241246</v>
      </c>
      <c r="P2676" s="1" t="n">
        <v>93.64</v>
      </c>
      <c r="Q2676" s="1" t="s">
        <v>20</v>
      </c>
      <c r="R2676" s="1" t="s">
        <v>27</v>
      </c>
      <c r="S2676" s="1" t="s">
        <v>28</v>
      </c>
      <c r="T2676" s="1" t="s">
        <v>29</v>
      </c>
    </row>
    <row r="2677" customFormat="false" ht="18.7" hidden="false" customHeight="true" outlineLevel="0" collapsed="false">
      <c r="A2677" s="1" t="n">
        <v>2676</v>
      </c>
      <c r="B2677" s="6" t="str">
        <f aca="false">HYPERLINK("https://mncourtfraud.com/file/MCRO_27-CR-22-18209_Notice of Remote Hearing with Instructions_2024-02-27_20240429162050.pdf","MCRO_27-CR-22-18209_Notice of Remote Hearing with Instructions_2024-02-27_20240429162050.pdf")</f>
        <v>MCRO_27-CR-22-18209_Notice of Remote Hearing with Instructions_2024-02-27_20240429162050.pdf</v>
      </c>
      <c r="C2677" s="1" t="n">
        <v>4</v>
      </c>
      <c r="D2677" s="1" t="n">
        <v>1</v>
      </c>
      <c r="E2677" s="1" t="n">
        <v>1</v>
      </c>
      <c r="F2677" s="3" t="s">
        <v>20</v>
      </c>
      <c r="G2677" s="3" t="s">
        <v>10820</v>
      </c>
      <c r="H2677" s="1" t="s">
        <v>22</v>
      </c>
      <c r="I2677" s="1" t="n">
        <v>20240429162050</v>
      </c>
      <c r="J2677" s="3" t="s">
        <v>10821</v>
      </c>
      <c r="K2677" s="3" t="s">
        <v>10822</v>
      </c>
      <c r="L2677" s="3" t="s">
        <v>10823</v>
      </c>
      <c r="M2677" s="3" t="n">
        <v>255684</v>
      </c>
      <c r="N2677" s="3" t="s">
        <v>74</v>
      </c>
      <c r="O2677" s="1" t="n">
        <v>239298</v>
      </c>
      <c r="P2677" s="1" t="n">
        <v>93.59</v>
      </c>
      <c r="Q2677" s="1" t="s">
        <v>20</v>
      </c>
      <c r="R2677" s="1" t="s">
        <v>27</v>
      </c>
      <c r="S2677" s="1" t="s">
        <v>28</v>
      </c>
      <c r="T2677" s="1" t="s">
        <v>29</v>
      </c>
    </row>
    <row r="2678" customFormat="false" ht="18.7" hidden="false" customHeight="true" outlineLevel="0" collapsed="false">
      <c r="A2678" s="1" t="n">
        <v>2677</v>
      </c>
      <c r="B2678" s="6" t="str">
        <f aca="false">HYPERLINK("https://mncourtfraud.com/file/MCRO_27-CR-22-18209_Order-Evaluation for Competency to Proceed (Rule 20.01)_2022-10-13_20240429162110.pdf","MCRO_27-CR-22-18209_Order-Evaluation for Competency to Proceed (Rule 20.01)_2022-10-13_20240429162110.pdf")</f>
        <v>MCRO_27-CR-22-18209_Order-Evaluation for Competency to Proceed (Rule 20.01)_2022-10-13_20240429162110.pdf</v>
      </c>
      <c r="C2678" s="1" t="n">
        <v>6</v>
      </c>
      <c r="D2678" s="1" t="n">
        <v>2</v>
      </c>
      <c r="E2678" s="1" t="n">
        <v>2</v>
      </c>
      <c r="F2678" s="3" t="s">
        <v>20</v>
      </c>
      <c r="G2678" s="3" t="s">
        <v>10824</v>
      </c>
      <c r="H2678" s="1" t="s">
        <v>22</v>
      </c>
      <c r="I2678" s="1" t="n">
        <v>20240429162110</v>
      </c>
      <c r="J2678" s="3" t="s">
        <v>10825</v>
      </c>
      <c r="K2678" s="3" t="s">
        <v>10826</v>
      </c>
      <c r="L2678" s="3" t="s">
        <v>10827</v>
      </c>
      <c r="M2678" s="3" t="n">
        <v>973839</v>
      </c>
      <c r="N2678" s="3" t="s">
        <v>10133</v>
      </c>
      <c r="O2678" s="1" t="n">
        <v>957453</v>
      </c>
      <c r="P2678" s="1" t="n">
        <v>98.32</v>
      </c>
      <c r="Q2678" s="1" t="s">
        <v>20</v>
      </c>
      <c r="R2678" s="1" t="s">
        <v>27</v>
      </c>
      <c r="S2678" s="1" t="s">
        <v>28</v>
      </c>
      <c r="T2678" s="1" t="s">
        <v>29</v>
      </c>
    </row>
    <row r="2679" customFormat="false" ht="18.7" hidden="false" customHeight="true" outlineLevel="0" collapsed="false">
      <c r="A2679" s="1" t="n">
        <v>2678</v>
      </c>
      <c r="B2679" s="6" t="str">
        <f aca="false">HYPERLINK("https://mncourtfraud.com/file/MCRO_27-CR-22-18209_Order-Evaluation for Competency to Proceed (Rule 20.01)_2023-11-27_20240429162054.pdf","MCRO_27-CR-22-18209_Order-Evaluation for Competency to Proceed (Rule 20.01)_2023-11-27_20240429162054.pdf")</f>
        <v>MCRO_27-CR-22-18209_Order-Evaluation for Competency to Proceed (Rule 20.01)_2023-11-27_20240429162054.pdf</v>
      </c>
      <c r="C2679" s="1" t="n">
        <v>6</v>
      </c>
      <c r="D2679" s="1" t="n">
        <v>2</v>
      </c>
      <c r="E2679" s="1" t="n">
        <v>2</v>
      </c>
      <c r="F2679" s="3" t="s">
        <v>20</v>
      </c>
      <c r="G2679" s="3" t="s">
        <v>10828</v>
      </c>
      <c r="H2679" s="1" t="s">
        <v>22</v>
      </c>
      <c r="I2679" s="1" t="n">
        <v>20240429162054</v>
      </c>
      <c r="J2679" s="3" t="s">
        <v>10829</v>
      </c>
      <c r="K2679" s="3" t="s">
        <v>10830</v>
      </c>
      <c r="L2679" s="3" t="s">
        <v>10831</v>
      </c>
      <c r="M2679" s="3" t="n">
        <v>862422</v>
      </c>
      <c r="N2679" s="3" t="s">
        <v>4399</v>
      </c>
      <c r="O2679" s="1" t="n">
        <v>846036</v>
      </c>
      <c r="P2679" s="1" t="n">
        <v>98.1</v>
      </c>
      <c r="Q2679" s="1" t="s">
        <v>20</v>
      </c>
      <c r="R2679" s="1" t="s">
        <v>27</v>
      </c>
      <c r="S2679" s="1" t="s">
        <v>28</v>
      </c>
      <c r="T2679" s="1" t="s">
        <v>29</v>
      </c>
    </row>
    <row r="2680" customFormat="false" ht="18.7" hidden="false" customHeight="true" outlineLevel="0" collapsed="false">
      <c r="A2680" s="1" t="n">
        <v>2679</v>
      </c>
      <c r="B2680" s="6" t="str">
        <f aca="false">HYPERLINK("https://mncourtfraud.com/file/MCRO_27-CR-22-18209_Order for Conditional Release_2023-02-21_20240429162101.pdf","MCRO_27-CR-22-18209_Order for Conditional Release_2023-02-21_20240429162101.pdf")</f>
        <v>MCRO_27-CR-22-18209_Order for Conditional Release_2023-02-21_20240429162101.pdf</v>
      </c>
      <c r="C2680" s="1" t="n">
        <v>9</v>
      </c>
      <c r="D2680" s="1" t="n">
        <v>3</v>
      </c>
      <c r="E2680" s="1" t="n">
        <v>3</v>
      </c>
      <c r="F2680" s="3" t="s">
        <v>27</v>
      </c>
      <c r="G2680" s="3" t="s">
        <v>10832</v>
      </c>
      <c r="H2680" s="1" t="s">
        <v>22</v>
      </c>
      <c r="I2680" s="1" t="n">
        <v>20240429162101</v>
      </c>
      <c r="J2680" s="3" t="s">
        <v>10833</v>
      </c>
      <c r="K2680" s="3" t="s">
        <v>10834</v>
      </c>
      <c r="L2680" s="3" t="s">
        <v>10835</v>
      </c>
      <c r="M2680" s="3" t="n">
        <v>896752</v>
      </c>
      <c r="N2680" s="3" t="s">
        <v>2520</v>
      </c>
      <c r="O2680" s="1" t="n">
        <v>880366</v>
      </c>
      <c r="P2680" s="1" t="n">
        <v>98.17</v>
      </c>
      <c r="Q2680" s="1" t="s">
        <v>20</v>
      </c>
      <c r="R2680" s="1" t="s">
        <v>27</v>
      </c>
      <c r="S2680" s="1" t="s">
        <v>28</v>
      </c>
      <c r="T2680" s="1" t="s">
        <v>29</v>
      </c>
    </row>
    <row r="2681" customFormat="false" ht="18.7" hidden="false" customHeight="true" outlineLevel="0" collapsed="false">
      <c r="A2681" s="1" t="n">
        <v>2680</v>
      </c>
      <c r="B2681" s="6" t="str">
        <f aca="false">HYPERLINK("https://mncourtfraud.com/file/MCRO_27-CR-22-18209_Order for Production of Medical Records_2023-04-03_20240429162059.pdf","MCRO_27-CR-22-18209_Order for Production of Medical Records_2023-04-03_20240429162059.pdf")</f>
        <v>MCRO_27-CR-22-18209_Order for Production of Medical Records_2023-04-03_20240429162059.pdf</v>
      </c>
      <c r="C2681" s="1" t="n">
        <v>7</v>
      </c>
      <c r="D2681" s="1" t="n">
        <v>4</v>
      </c>
      <c r="E2681" s="1" t="n">
        <v>4</v>
      </c>
      <c r="F2681" s="3" t="s">
        <v>20</v>
      </c>
      <c r="G2681" s="3" t="s">
        <v>10836</v>
      </c>
      <c r="H2681" s="1" t="s">
        <v>22</v>
      </c>
      <c r="I2681" s="1" t="n">
        <v>20240429162059</v>
      </c>
      <c r="J2681" s="3" t="s">
        <v>10837</v>
      </c>
      <c r="K2681" s="3" t="s">
        <v>10838</v>
      </c>
      <c r="L2681" s="3" t="s">
        <v>10839</v>
      </c>
      <c r="M2681" s="3" t="n">
        <v>325877</v>
      </c>
      <c r="N2681" s="3" t="s">
        <v>2347</v>
      </c>
      <c r="O2681" s="1" t="n">
        <v>309491</v>
      </c>
      <c r="P2681" s="1" t="n">
        <v>94.97</v>
      </c>
      <c r="Q2681" s="1" t="s">
        <v>20</v>
      </c>
      <c r="R2681" s="1" t="s">
        <v>27</v>
      </c>
      <c r="S2681" s="1" t="s">
        <v>28</v>
      </c>
      <c r="T2681" s="1" t="s">
        <v>29</v>
      </c>
    </row>
    <row r="2682" customFormat="false" ht="18.7" hidden="false" customHeight="true" outlineLevel="0" collapsed="false">
      <c r="A2682" s="1" t="n">
        <v>2681</v>
      </c>
      <c r="B2682" s="6" t="str">
        <f aca="false">HYPERLINK("https://mncourtfraud.com/file/MCRO_27-CR-22-18209_Order-Other_2023-06-08_20240429162056.pdf","MCRO_27-CR-22-18209_Order-Other_2023-06-08_20240429162056.pdf")</f>
        <v>MCRO_27-CR-22-18209_Order-Other_2023-06-08_20240429162056.pdf</v>
      </c>
      <c r="C2682" s="1" t="n">
        <v>7</v>
      </c>
      <c r="D2682" s="1" t="n">
        <v>5</v>
      </c>
      <c r="E2682" s="1" t="n">
        <v>5</v>
      </c>
      <c r="F2682" s="3" t="s">
        <v>20</v>
      </c>
      <c r="G2682" s="3" t="s">
        <v>10840</v>
      </c>
      <c r="H2682" s="1" t="s">
        <v>22</v>
      </c>
      <c r="I2682" s="1" t="n">
        <v>20240429162056</v>
      </c>
      <c r="J2682" s="3" t="s">
        <v>10841</v>
      </c>
      <c r="K2682" s="3" t="s">
        <v>10842</v>
      </c>
      <c r="L2682" s="3" t="s">
        <v>10843</v>
      </c>
      <c r="M2682" s="3" t="n">
        <v>326907</v>
      </c>
      <c r="N2682" s="3" t="s">
        <v>1316</v>
      </c>
      <c r="O2682" s="1" t="n">
        <v>310521</v>
      </c>
      <c r="P2682" s="1" t="n">
        <v>94.99</v>
      </c>
      <c r="Q2682" s="1" t="s">
        <v>20</v>
      </c>
      <c r="R2682" s="1" t="s">
        <v>27</v>
      </c>
      <c r="S2682" s="1" t="s">
        <v>28</v>
      </c>
      <c r="T2682" s="1" t="s">
        <v>29</v>
      </c>
    </row>
    <row r="2683" customFormat="false" ht="18.7" hidden="false" customHeight="true" outlineLevel="0" collapsed="false">
      <c r="A2683" s="1" t="n">
        <v>2682</v>
      </c>
      <c r="B2683" s="6" t="str">
        <f aca="false">HYPERLINK("https://mncourtfraud.com/file/MCRO_27-CR-22-18209_Order Revoking Interim Conditions of Release_2022-10-12_20240429162111.pdf","MCRO_27-CR-22-18209_Order Revoking Interim Conditions of Release_2022-10-12_20240429162111.pdf")</f>
        <v>MCRO_27-CR-22-18209_Order Revoking Interim Conditions of Release_2022-10-12_20240429162111.pdf</v>
      </c>
      <c r="C2683" s="1" t="n">
        <v>5</v>
      </c>
      <c r="D2683" s="1" t="n">
        <v>3</v>
      </c>
      <c r="E2683" s="1" t="n">
        <v>3</v>
      </c>
      <c r="F2683" s="3" t="s">
        <v>20</v>
      </c>
      <c r="G2683" s="3" t="s">
        <v>10844</v>
      </c>
      <c r="H2683" s="1" t="s">
        <v>22</v>
      </c>
      <c r="I2683" s="1" t="n">
        <v>20240429162111</v>
      </c>
      <c r="J2683" s="3" t="s">
        <v>10825</v>
      </c>
      <c r="K2683" s="3" t="s">
        <v>10826</v>
      </c>
      <c r="L2683" s="3" t="s">
        <v>10845</v>
      </c>
      <c r="M2683" s="3" t="n">
        <v>345559</v>
      </c>
      <c r="N2683" s="3" t="s">
        <v>2541</v>
      </c>
      <c r="O2683" s="1" t="n">
        <v>329173</v>
      </c>
      <c r="P2683" s="1" t="n">
        <v>95.26</v>
      </c>
      <c r="Q2683" s="1" t="s">
        <v>20</v>
      </c>
      <c r="R2683" s="1" t="s">
        <v>27</v>
      </c>
      <c r="S2683" s="1" t="s">
        <v>28</v>
      </c>
      <c r="T2683" s="1" t="s">
        <v>29</v>
      </c>
    </row>
    <row r="2684" customFormat="false" ht="18.7" hidden="false" customHeight="true" outlineLevel="0" collapsed="false">
      <c r="A2684" s="1" t="n">
        <v>2683</v>
      </c>
      <c r="B2684" s="6" t="str">
        <f aca="false">HYPERLINK("https://mncourtfraud.com/file/MCRO_27-CR-22-18209_Probation Violation Order for Detention_2023-01-11_20240429162105.pdf","MCRO_27-CR-22-18209_Probation Violation Order for Detention_2023-01-11_20240429162105.pdf")</f>
        <v>MCRO_27-CR-22-18209_Probation Violation Order for Detention_2023-01-11_20240429162105.pdf</v>
      </c>
      <c r="C2684" s="1" t="n">
        <v>5</v>
      </c>
      <c r="D2684" s="1" t="n">
        <v>3</v>
      </c>
      <c r="E2684" s="1" t="n">
        <v>3</v>
      </c>
      <c r="F2684" s="3" t="s">
        <v>20</v>
      </c>
      <c r="G2684" s="3" t="s">
        <v>10846</v>
      </c>
      <c r="H2684" s="1" t="s">
        <v>22</v>
      </c>
      <c r="I2684" s="1" t="n">
        <v>20240429162105</v>
      </c>
      <c r="J2684" s="3" t="s">
        <v>10847</v>
      </c>
      <c r="K2684" s="3" t="s">
        <v>10848</v>
      </c>
      <c r="L2684" s="3" t="s">
        <v>10849</v>
      </c>
      <c r="M2684" s="3" t="n">
        <v>327840</v>
      </c>
      <c r="N2684" s="3" t="s">
        <v>3699</v>
      </c>
      <c r="O2684" s="1" t="n">
        <v>311454</v>
      </c>
      <c r="P2684" s="1" t="n">
        <v>95</v>
      </c>
      <c r="Q2684" s="1" t="s">
        <v>20</v>
      </c>
      <c r="R2684" s="1" t="s">
        <v>27</v>
      </c>
      <c r="S2684" s="1" t="s">
        <v>28</v>
      </c>
      <c r="T2684" s="1" t="s">
        <v>29</v>
      </c>
    </row>
    <row r="2685" customFormat="false" ht="18.7" hidden="false" customHeight="true" outlineLevel="0" collapsed="false">
      <c r="A2685" s="1" t="n">
        <v>2684</v>
      </c>
      <c r="B2685" s="6" t="str">
        <f aca="false">HYPERLINK("https://mncourtfraud.com/file/MCRO_27-CR-22-18209_Proposed Order or Document_2022-10-12_20240429162114.pdf","MCRO_27-CR-22-18209_Proposed Order or Document_2022-10-12_20240429162114.pdf")</f>
        <v>MCRO_27-CR-22-18209_Proposed Order or Document_2022-10-12_20240429162114.pdf</v>
      </c>
      <c r="C2685" s="1" t="n">
        <v>3</v>
      </c>
      <c r="D2685" s="1" t="n">
        <v>1</v>
      </c>
      <c r="E2685" s="1" t="n">
        <v>1</v>
      </c>
      <c r="F2685" s="3" t="s">
        <v>20</v>
      </c>
      <c r="G2685" s="3" t="s">
        <v>10850</v>
      </c>
      <c r="H2685" s="1" t="s">
        <v>22</v>
      </c>
      <c r="I2685" s="1" t="n">
        <v>20240429162114</v>
      </c>
      <c r="J2685" s="3" t="s">
        <v>10797</v>
      </c>
      <c r="K2685" s="3" t="s">
        <v>10798</v>
      </c>
      <c r="L2685" s="3" t="s">
        <v>10851</v>
      </c>
      <c r="M2685" s="3" t="n">
        <v>172772</v>
      </c>
      <c r="N2685" s="3" t="s">
        <v>1512</v>
      </c>
      <c r="O2685" s="1" t="n">
        <v>156386</v>
      </c>
      <c r="P2685" s="1" t="n">
        <v>90.52</v>
      </c>
      <c r="Q2685" s="1" t="s">
        <v>20</v>
      </c>
      <c r="R2685" s="1" t="s">
        <v>27</v>
      </c>
      <c r="S2685" s="1" t="s">
        <v>28</v>
      </c>
      <c r="T2685" s="1" t="s">
        <v>29</v>
      </c>
    </row>
    <row r="2686" customFormat="false" ht="18.7" hidden="false" customHeight="true" outlineLevel="0" collapsed="false">
      <c r="A2686" s="1" t="n">
        <v>2685</v>
      </c>
      <c r="B2686" s="6" t="str">
        <f aca="false">HYPERLINK("https://mncourtfraud.com/file/MCRO_27-CR-22-18209_Proposed Order or Document_2023-01-11_20240429162106.pdf","MCRO_27-CR-22-18209_Proposed Order or Document_2023-01-11_20240429162106.pdf")</f>
        <v>MCRO_27-CR-22-18209_Proposed Order or Document_2023-01-11_20240429162106.pdf</v>
      </c>
      <c r="C2686" s="1" t="n">
        <v>3</v>
      </c>
      <c r="D2686" s="1" t="n">
        <v>1</v>
      </c>
      <c r="E2686" s="1" t="n">
        <v>1</v>
      </c>
      <c r="F2686" s="3" t="s">
        <v>20</v>
      </c>
      <c r="G2686" s="3" t="s">
        <v>10852</v>
      </c>
      <c r="H2686" s="1" t="s">
        <v>22</v>
      </c>
      <c r="I2686" s="1" t="n">
        <v>20240429162106</v>
      </c>
      <c r="J2686" s="3" t="s">
        <v>10853</v>
      </c>
      <c r="K2686" s="3" t="s">
        <v>10854</v>
      </c>
      <c r="L2686" s="3" t="s">
        <v>10855</v>
      </c>
      <c r="M2686" s="3" t="n">
        <v>172681</v>
      </c>
      <c r="N2686" s="3" t="s">
        <v>1512</v>
      </c>
      <c r="O2686" s="1" t="n">
        <v>156295</v>
      </c>
      <c r="P2686" s="1" t="n">
        <v>90.51</v>
      </c>
      <c r="Q2686" s="1" t="s">
        <v>20</v>
      </c>
      <c r="R2686" s="1" t="s">
        <v>27</v>
      </c>
      <c r="S2686" s="1" t="s">
        <v>28</v>
      </c>
      <c r="T2686" s="1" t="s">
        <v>29</v>
      </c>
    </row>
    <row r="2687" customFormat="false" ht="18.7" hidden="false" customHeight="true" outlineLevel="0" collapsed="false">
      <c r="A2687" s="1" t="n">
        <v>2686</v>
      </c>
      <c r="B2687" s="6" t="str">
        <f aca="false">HYPERLINK("https://mncourtfraud.com/file/MCRO_27-CR-22-18209_Proposed Order or Document_2023-03-10_20240429162100.pdf","MCRO_27-CR-22-18209_Proposed Order or Document_2023-03-10_20240429162100.pdf")</f>
        <v>MCRO_27-CR-22-18209_Proposed Order or Document_2023-03-10_20240429162100.pdf</v>
      </c>
      <c r="C2687" s="1" t="n">
        <v>3</v>
      </c>
      <c r="D2687" s="1" t="n">
        <v>1</v>
      </c>
      <c r="E2687" s="1" t="n">
        <v>1</v>
      </c>
      <c r="F2687" s="3" t="s">
        <v>20</v>
      </c>
      <c r="G2687" s="3" t="s">
        <v>10856</v>
      </c>
      <c r="H2687" s="1" t="s">
        <v>22</v>
      </c>
      <c r="I2687" s="1" t="n">
        <v>20240429162100</v>
      </c>
      <c r="J2687" s="3" t="s">
        <v>10857</v>
      </c>
      <c r="K2687" s="3" t="s">
        <v>10858</v>
      </c>
      <c r="L2687" s="3" t="s">
        <v>10859</v>
      </c>
      <c r="M2687" s="3" t="n">
        <v>174259</v>
      </c>
      <c r="N2687" s="3" t="s">
        <v>931</v>
      </c>
      <c r="O2687" s="1" t="n">
        <v>157873</v>
      </c>
      <c r="P2687" s="1" t="n">
        <v>90.6</v>
      </c>
      <c r="Q2687" s="1" t="s">
        <v>20</v>
      </c>
      <c r="R2687" s="1" t="s">
        <v>27</v>
      </c>
      <c r="S2687" s="1" t="s">
        <v>28</v>
      </c>
      <c r="T2687" s="1" t="s">
        <v>29</v>
      </c>
    </row>
    <row r="2688" customFormat="false" ht="18.7" hidden="false" customHeight="true" outlineLevel="0" collapsed="false">
      <c r="A2688" s="1" t="n">
        <v>2687</v>
      </c>
      <c r="B2688" s="6" t="str">
        <f aca="false">HYPERLINK("https://mncourtfraud.com/file/MCRO_27-CR-22-18209_Proposed Order or Document_2023-06-06_20240429162057.pdf","MCRO_27-CR-22-18209_Proposed Order or Document_2023-06-06_20240429162057.pdf")</f>
        <v>MCRO_27-CR-22-18209_Proposed Order or Document_2023-06-06_20240429162057.pdf</v>
      </c>
      <c r="C2688" s="1" t="n">
        <v>3</v>
      </c>
      <c r="D2688" s="1" t="n">
        <v>1</v>
      </c>
      <c r="E2688" s="1" t="n">
        <v>1</v>
      </c>
      <c r="F2688" s="3" t="s">
        <v>20</v>
      </c>
      <c r="G2688" s="3" t="s">
        <v>10860</v>
      </c>
      <c r="H2688" s="1" t="s">
        <v>22</v>
      </c>
      <c r="I2688" s="1" t="n">
        <v>20240429162057</v>
      </c>
      <c r="J2688" s="3" t="s">
        <v>10861</v>
      </c>
      <c r="K2688" s="3" t="s">
        <v>10862</v>
      </c>
      <c r="L2688" s="3" t="s">
        <v>10863</v>
      </c>
      <c r="M2688" s="3" t="n">
        <v>179455</v>
      </c>
      <c r="N2688" s="3" t="s">
        <v>2557</v>
      </c>
      <c r="O2688" s="1" t="n">
        <v>163069</v>
      </c>
      <c r="P2688" s="1" t="n">
        <v>90.87</v>
      </c>
      <c r="Q2688" s="1" t="s">
        <v>20</v>
      </c>
      <c r="R2688" s="1" t="s">
        <v>27</v>
      </c>
      <c r="S2688" s="1" t="s">
        <v>28</v>
      </c>
      <c r="T2688" s="1" t="s">
        <v>29</v>
      </c>
    </row>
    <row r="2689" customFormat="false" ht="18.7" hidden="false" customHeight="true" outlineLevel="0" collapsed="false">
      <c r="A2689" s="1" t="n">
        <v>2688</v>
      </c>
      <c r="B2689" s="6" t="str">
        <f aca="false">HYPERLINK("https://mncourtfraud.com/file/MCRO_27-CR-22-18209_Returned Mail_2023-01-17_20240429162104.pdf","MCRO_27-CR-22-18209_Returned Mail_2023-01-17_20240429162104.pdf")</f>
        <v>MCRO_27-CR-22-18209_Returned Mail_2023-01-17_20240429162104.pdf</v>
      </c>
      <c r="C2689" s="1" t="n">
        <v>4</v>
      </c>
      <c r="D2689" s="1" t="n">
        <v>1</v>
      </c>
      <c r="E2689" s="1" t="n">
        <v>1</v>
      </c>
      <c r="F2689" s="3" t="s">
        <v>20</v>
      </c>
      <c r="G2689" s="3" t="s">
        <v>10864</v>
      </c>
      <c r="H2689" s="1" t="s">
        <v>22</v>
      </c>
      <c r="I2689" s="1" t="n">
        <v>20240429162104</v>
      </c>
      <c r="J2689" s="3" t="s">
        <v>10865</v>
      </c>
      <c r="K2689" s="3" t="s">
        <v>10866</v>
      </c>
      <c r="L2689" s="3" t="s">
        <v>10867</v>
      </c>
      <c r="M2689" s="3" t="n">
        <v>101588</v>
      </c>
      <c r="N2689" s="3" t="s">
        <v>435</v>
      </c>
      <c r="O2689" s="1" t="n">
        <v>85202</v>
      </c>
      <c r="P2689" s="1" t="n">
        <v>83.87</v>
      </c>
      <c r="Q2689" s="1" t="s">
        <v>20</v>
      </c>
      <c r="R2689" s="1" t="s">
        <v>27</v>
      </c>
      <c r="S2689" s="1" t="s">
        <v>28</v>
      </c>
      <c r="T2689" s="1" t="s">
        <v>29</v>
      </c>
    </row>
    <row r="2690" customFormat="false" ht="18.7" hidden="false" customHeight="true" outlineLevel="0" collapsed="false">
      <c r="A2690" s="1" t="n">
        <v>2689</v>
      </c>
      <c r="B2690" s="6" t="str">
        <f aca="false">HYPERLINK("https://mncourtfraud.com/file/MCRO_27-CR-22-18776_Amended Order_2022-10-21_20240429162200.pdf","MCRO_27-CR-22-18776_Amended Order_2022-10-21_20240429162200.pdf")</f>
        <v>MCRO_27-CR-22-18776_Amended Order_2022-10-21_20240429162200.pdf</v>
      </c>
      <c r="C2690" s="1" t="n">
        <v>5</v>
      </c>
      <c r="D2690" s="1" t="n">
        <v>3</v>
      </c>
      <c r="E2690" s="1" t="n">
        <v>3</v>
      </c>
      <c r="F2690" s="3" t="s">
        <v>20</v>
      </c>
      <c r="G2690" s="3" t="s">
        <v>10868</v>
      </c>
      <c r="H2690" s="1" t="s">
        <v>22</v>
      </c>
      <c r="I2690" s="1" t="n">
        <v>20240429162200</v>
      </c>
      <c r="J2690" s="3" t="s">
        <v>10869</v>
      </c>
      <c r="K2690" s="3" t="s">
        <v>10870</v>
      </c>
      <c r="L2690" s="3" t="s">
        <v>10871</v>
      </c>
      <c r="M2690" s="3" t="n">
        <v>264600</v>
      </c>
      <c r="N2690" s="3" t="s">
        <v>6172</v>
      </c>
      <c r="O2690" s="1" t="n">
        <v>248214</v>
      </c>
      <c r="P2690" s="1" t="n">
        <v>93.81</v>
      </c>
      <c r="Q2690" s="1" t="s">
        <v>20</v>
      </c>
      <c r="R2690" s="1" t="s">
        <v>27</v>
      </c>
      <c r="S2690" s="1" t="s">
        <v>28</v>
      </c>
      <c r="T2690" s="1" t="s">
        <v>29</v>
      </c>
    </row>
    <row r="2691" customFormat="false" ht="18.7" hidden="false" customHeight="true" outlineLevel="0" collapsed="false">
      <c r="A2691" s="1" t="n">
        <v>2690</v>
      </c>
      <c r="B2691" s="6" t="str">
        <f aca="false">HYPERLINK("https://mncourtfraud.com/file/MCRO_27-CR-22-18776_Demand or Request for Discovery_2023-01-31_20240429162154.pdf","MCRO_27-CR-22-18776_Demand or Request for Discovery_2023-01-31_20240429162154.pdf")</f>
        <v>MCRO_27-CR-22-18776_Demand or Request for Discovery_2023-01-31_20240429162154.pdf</v>
      </c>
      <c r="C2691" s="1" t="n">
        <v>3</v>
      </c>
      <c r="D2691" s="1" t="n">
        <v>1</v>
      </c>
      <c r="E2691" s="1" t="n">
        <v>1</v>
      </c>
      <c r="F2691" s="3" t="s">
        <v>20</v>
      </c>
      <c r="G2691" s="3" t="s">
        <v>10872</v>
      </c>
      <c r="H2691" s="1" t="s">
        <v>22</v>
      </c>
      <c r="I2691" s="1" t="n">
        <v>20240429162154</v>
      </c>
      <c r="J2691" s="3" t="s">
        <v>10873</v>
      </c>
      <c r="K2691" s="3" t="s">
        <v>10874</v>
      </c>
      <c r="L2691" s="3" t="s">
        <v>10875</v>
      </c>
      <c r="M2691" s="3" t="n">
        <v>623881</v>
      </c>
      <c r="N2691" s="3" t="s">
        <v>3699</v>
      </c>
      <c r="O2691" s="1" t="n">
        <v>607495</v>
      </c>
      <c r="P2691" s="1" t="n">
        <v>97.37</v>
      </c>
      <c r="Q2691" s="1" t="s">
        <v>20</v>
      </c>
      <c r="R2691" s="1" t="s">
        <v>27</v>
      </c>
      <c r="S2691" s="1" t="s">
        <v>28</v>
      </c>
      <c r="T2691" s="1" t="s">
        <v>29</v>
      </c>
    </row>
    <row r="2692" customFormat="false" ht="18.7" hidden="false" customHeight="true" outlineLevel="0" collapsed="false">
      <c r="A2692" s="1" t="n">
        <v>2691</v>
      </c>
      <c r="B2692" s="6" t="str">
        <f aca="false">HYPERLINK("https://mncourtfraud.com/file/MCRO_27-CR-22-18776_E-filed Comp-Summons_2022-09-21_20240429162206.pdf","MCRO_27-CR-22-18776_E-filed Comp-Summons_2022-09-21_20240429162206.pdf")</f>
        <v>MCRO_27-CR-22-18776_E-filed Comp-Summons_2022-09-21_20240429162206.pdf</v>
      </c>
      <c r="C2692" s="1" t="n">
        <v>5</v>
      </c>
      <c r="D2692" s="1" t="n">
        <v>2</v>
      </c>
      <c r="E2692" s="1" t="n">
        <v>2</v>
      </c>
      <c r="F2692" s="3" t="s">
        <v>20</v>
      </c>
      <c r="G2692" s="3" t="s">
        <v>10876</v>
      </c>
      <c r="H2692" s="1" t="s">
        <v>22</v>
      </c>
      <c r="I2692" s="1" t="n">
        <v>20240429162206</v>
      </c>
      <c r="J2692" s="3" t="s">
        <v>10877</v>
      </c>
      <c r="K2692" s="3" t="s">
        <v>10878</v>
      </c>
      <c r="L2692" s="3" t="s">
        <v>10879</v>
      </c>
      <c r="M2692" s="3" t="n">
        <v>446295</v>
      </c>
      <c r="N2692" s="3" t="s">
        <v>10880</v>
      </c>
      <c r="O2692" s="1" t="n">
        <v>429909</v>
      </c>
      <c r="P2692" s="1" t="n">
        <v>96.33</v>
      </c>
      <c r="Q2692" s="1" t="s">
        <v>20</v>
      </c>
      <c r="R2692" s="1" t="s">
        <v>27</v>
      </c>
      <c r="S2692" s="1" t="s">
        <v>28</v>
      </c>
      <c r="T2692" s="1" t="s">
        <v>29</v>
      </c>
    </row>
    <row r="2693" customFormat="false" ht="18.7" hidden="false" customHeight="true" outlineLevel="0" collapsed="false">
      <c r="A2693" s="1" t="n">
        <v>2692</v>
      </c>
      <c r="B2693" s="6" t="str">
        <f aca="false">HYPERLINK("https://mncourtfraud.com/file/MCRO_27-CR-22-18776_Notice of Case Reassignment_2023-06-16_20240429162151.pdf","MCRO_27-CR-22-18776_Notice of Case Reassignment_2023-06-16_20240429162151.pdf")</f>
        <v>MCRO_27-CR-22-18776_Notice of Case Reassignment_2023-06-16_20240429162151.pdf</v>
      </c>
      <c r="C2693" s="1" t="n">
        <v>3</v>
      </c>
      <c r="D2693" s="1" t="n">
        <v>1</v>
      </c>
      <c r="E2693" s="1" t="n">
        <v>1</v>
      </c>
      <c r="F2693" s="3" t="s">
        <v>20</v>
      </c>
      <c r="G2693" s="3" t="s">
        <v>10881</v>
      </c>
      <c r="H2693" s="1" t="s">
        <v>22</v>
      </c>
      <c r="I2693" s="1" t="n">
        <v>20240429162151</v>
      </c>
      <c r="J2693" s="3" t="s">
        <v>10882</v>
      </c>
      <c r="K2693" s="3" t="s">
        <v>10883</v>
      </c>
      <c r="L2693" s="3" t="s">
        <v>10884</v>
      </c>
      <c r="M2693" s="3" t="n">
        <v>114139</v>
      </c>
      <c r="N2693" s="3" t="s">
        <v>128</v>
      </c>
      <c r="O2693" s="1" t="n">
        <v>97753</v>
      </c>
      <c r="P2693" s="1" t="n">
        <v>85.64</v>
      </c>
      <c r="Q2693" s="1" t="s">
        <v>20</v>
      </c>
      <c r="R2693" s="1" t="s">
        <v>27</v>
      </c>
      <c r="S2693" s="1" t="s">
        <v>28</v>
      </c>
      <c r="T2693" s="1" t="s">
        <v>29</v>
      </c>
    </row>
    <row r="2694" customFormat="false" ht="18.7" hidden="false" customHeight="true" outlineLevel="0" collapsed="false">
      <c r="A2694" s="1" t="n">
        <v>2693</v>
      </c>
      <c r="B2694" s="6" t="str">
        <f aca="false">HYPERLINK("https://mncourtfraud.com/file/MCRO_27-CR-22-18776_Notice of Hearing_2022-10-21_20240429162202.pdf","MCRO_27-CR-22-18776_Notice of Hearing_2022-10-21_20240429162202.pdf")</f>
        <v>MCRO_27-CR-22-18776_Notice of Hearing_2022-10-21_20240429162202.pdf</v>
      </c>
      <c r="C2694" s="1" t="n">
        <v>4</v>
      </c>
      <c r="D2694" s="1" t="n">
        <v>1</v>
      </c>
      <c r="E2694" s="1" t="n">
        <v>1</v>
      </c>
      <c r="F2694" s="3" t="s">
        <v>20</v>
      </c>
      <c r="G2694" s="3" t="s">
        <v>10885</v>
      </c>
      <c r="H2694" s="1" t="s">
        <v>22</v>
      </c>
      <c r="I2694" s="1" t="n">
        <v>20240429162202</v>
      </c>
      <c r="J2694" s="3" t="s">
        <v>10886</v>
      </c>
      <c r="K2694" s="3" t="s">
        <v>10887</v>
      </c>
      <c r="L2694" s="3" t="s">
        <v>10888</v>
      </c>
      <c r="M2694" s="3" t="n">
        <v>713653</v>
      </c>
      <c r="N2694" s="3" t="s">
        <v>500</v>
      </c>
      <c r="O2694" s="1" t="n">
        <v>697267</v>
      </c>
      <c r="P2694" s="1" t="n">
        <v>97.7</v>
      </c>
      <c r="Q2694" s="1" t="s">
        <v>20</v>
      </c>
      <c r="R2694" s="1" t="s">
        <v>27</v>
      </c>
      <c r="S2694" s="1" t="s">
        <v>28</v>
      </c>
      <c r="T2694" s="1" t="s">
        <v>29</v>
      </c>
    </row>
    <row r="2695" customFormat="false" ht="18.7" hidden="false" customHeight="true" outlineLevel="0" collapsed="false">
      <c r="A2695" s="1" t="n">
        <v>2694</v>
      </c>
      <c r="B2695" s="6" t="str">
        <f aca="false">HYPERLINK("https://mncourtfraud.com/file/MCRO_27-CR-22-18776_Notice of Hearing_2022-12-22_20240429162158.pdf","MCRO_27-CR-22-18776_Notice of Hearing_2022-12-22_20240429162158.pdf")</f>
        <v>MCRO_27-CR-22-18776_Notice of Hearing_2022-12-22_20240429162158.pdf</v>
      </c>
      <c r="C2695" s="1" t="n">
        <v>4</v>
      </c>
      <c r="D2695" s="1" t="n">
        <v>1</v>
      </c>
      <c r="E2695" s="1" t="n">
        <v>1</v>
      </c>
      <c r="F2695" s="3" t="s">
        <v>20</v>
      </c>
      <c r="G2695" s="3" t="s">
        <v>10889</v>
      </c>
      <c r="H2695" s="1" t="s">
        <v>22</v>
      </c>
      <c r="I2695" s="1" t="n">
        <v>20240429162158</v>
      </c>
      <c r="J2695" s="3" t="s">
        <v>10890</v>
      </c>
      <c r="K2695" s="3" t="s">
        <v>10891</v>
      </c>
      <c r="L2695" s="3" t="s">
        <v>10892</v>
      </c>
      <c r="M2695" s="3" t="n">
        <v>432990</v>
      </c>
      <c r="N2695" s="3" t="s">
        <v>158</v>
      </c>
      <c r="O2695" s="1" t="n">
        <v>416604</v>
      </c>
      <c r="P2695" s="1" t="n">
        <v>96.22</v>
      </c>
      <c r="Q2695" s="1" t="s">
        <v>20</v>
      </c>
      <c r="R2695" s="1" t="s">
        <v>27</v>
      </c>
      <c r="S2695" s="1" t="s">
        <v>28</v>
      </c>
      <c r="T2695" s="1" t="s">
        <v>29</v>
      </c>
    </row>
    <row r="2696" customFormat="false" ht="18.7" hidden="false" customHeight="true" outlineLevel="0" collapsed="false">
      <c r="A2696" s="1" t="n">
        <v>2695</v>
      </c>
      <c r="B2696" s="6" t="str">
        <f aca="false">HYPERLINK("https://mncourtfraud.com/file/MCRO_27-CR-22-18776_Notice of Hearing_2023-01-27_20240429162156.pdf","MCRO_27-CR-22-18776_Notice of Hearing_2023-01-27_20240429162156.pdf")</f>
        <v>MCRO_27-CR-22-18776_Notice of Hearing_2023-01-27_20240429162156.pdf</v>
      </c>
      <c r="C2696" s="1" t="n">
        <v>4</v>
      </c>
      <c r="D2696" s="1" t="n">
        <v>1</v>
      </c>
      <c r="E2696" s="1" t="n">
        <v>1</v>
      </c>
      <c r="F2696" s="3" t="s">
        <v>20</v>
      </c>
      <c r="G2696" s="3" t="s">
        <v>10893</v>
      </c>
      <c r="H2696" s="1" t="s">
        <v>22</v>
      </c>
      <c r="I2696" s="1" t="n">
        <v>20240429162156</v>
      </c>
      <c r="J2696" s="3" t="s">
        <v>10894</v>
      </c>
      <c r="K2696" s="3" t="s">
        <v>10895</v>
      </c>
      <c r="L2696" s="3" t="s">
        <v>10896</v>
      </c>
      <c r="M2696" s="3" t="n">
        <v>121669</v>
      </c>
      <c r="N2696" s="3" t="s">
        <v>777</v>
      </c>
      <c r="O2696" s="1" t="n">
        <v>105283</v>
      </c>
      <c r="P2696" s="1" t="n">
        <v>86.53</v>
      </c>
      <c r="Q2696" s="1" t="s">
        <v>20</v>
      </c>
      <c r="R2696" s="1" t="s">
        <v>27</v>
      </c>
      <c r="S2696" s="1" t="s">
        <v>28</v>
      </c>
      <c r="T2696" s="1" t="s">
        <v>29</v>
      </c>
    </row>
    <row r="2697" customFormat="false" ht="18.7" hidden="false" customHeight="true" outlineLevel="0" collapsed="false">
      <c r="A2697" s="1" t="n">
        <v>2696</v>
      </c>
      <c r="B2697" s="6" t="str">
        <f aca="false">HYPERLINK("https://mncourtfraud.com/file/MCRO_27-CR-22-18776_Notice of Hearing_2023-06-13_20240429162152.pdf","MCRO_27-CR-22-18776_Notice of Hearing_2023-06-13_20240429162152.pdf")</f>
        <v>MCRO_27-CR-22-18776_Notice of Hearing_2023-06-13_20240429162152.pdf</v>
      </c>
      <c r="C2697" s="1" t="n">
        <v>4</v>
      </c>
      <c r="D2697" s="1" t="n">
        <v>1</v>
      </c>
      <c r="E2697" s="1" t="n">
        <v>1</v>
      </c>
      <c r="F2697" s="3" t="s">
        <v>20</v>
      </c>
      <c r="G2697" s="3" t="s">
        <v>10897</v>
      </c>
      <c r="H2697" s="1" t="s">
        <v>22</v>
      </c>
      <c r="I2697" s="1" t="n">
        <v>20240429162152</v>
      </c>
      <c r="J2697" s="3" t="s">
        <v>10898</v>
      </c>
      <c r="K2697" s="3" t="s">
        <v>10899</v>
      </c>
      <c r="L2697" s="3" t="s">
        <v>10900</v>
      </c>
      <c r="M2697" s="3" t="n">
        <v>719372</v>
      </c>
      <c r="N2697" s="3" t="s">
        <v>7781</v>
      </c>
      <c r="O2697" s="1" t="n">
        <v>702986</v>
      </c>
      <c r="P2697" s="1" t="n">
        <v>97.72</v>
      </c>
      <c r="Q2697" s="1" t="s">
        <v>20</v>
      </c>
      <c r="R2697" s="1" t="s">
        <v>27</v>
      </c>
      <c r="S2697" s="1" t="s">
        <v>28</v>
      </c>
      <c r="T2697" s="1" t="s">
        <v>29</v>
      </c>
    </row>
    <row r="2698" customFormat="false" ht="18.7" hidden="false" customHeight="true" outlineLevel="0" collapsed="false">
      <c r="A2698" s="1" t="n">
        <v>2697</v>
      </c>
      <c r="B2698" s="6" t="str">
        <f aca="false">HYPERLINK("https://mncourtfraud.com/file/MCRO_27-CR-22-18776_Notice of Hearing_2023-06-13_20240429162153.pdf","MCRO_27-CR-22-18776_Notice of Hearing_2023-06-13_20240429162153.pdf")</f>
        <v>MCRO_27-CR-22-18776_Notice of Hearing_2023-06-13_20240429162153.pdf</v>
      </c>
      <c r="C2698" s="1" t="n">
        <v>4</v>
      </c>
      <c r="D2698" s="1" t="n">
        <v>1</v>
      </c>
      <c r="E2698" s="1" t="n">
        <v>1</v>
      </c>
      <c r="F2698" s="3" t="s">
        <v>20</v>
      </c>
      <c r="G2698" s="3" t="s">
        <v>10901</v>
      </c>
      <c r="H2698" s="1" t="s">
        <v>22</v>
      </c>
      <c r="I2698" s="1" t="n">
        <v>20240429162153</v>
      </c>
      <c r="J2698" s="3" t="s">
        <v>10902</v>
      </c>
      <c r="K2698" s="3" t="s">
        <v>10903</v>
      </c>
      <c r="L2698" s="3" t="s">
        <v>10904</v>
      </c>
      <c r="M2698" s="3" t="n">
        <v>726384</v>
      </c>
      <c r="N2698" s="3" t="s">
        <v>588</v>
      </c>
      <c r="O2698" s="1" t="n">
        <v>709998</v>
      </c>
      <c r="P2698" s="1" t="n">
        <v>97.74</v>
      </c>
      <c r="Q2698" s="1" t="s">
        <v>20</v>
      </c>
      <c r="R2698" s="1" t="s">
        <v>27</v>
      </c>
      <c r="S2698" s="1" t="s">
        <v>28</v>
      </c>
      <c r="T2698" s="1" t="s">
        <v>29</v>
      </c>
    </row>
    <row r="2699" customFormat="false" ht="18.7" hidden="false" customHeight="true" outlineLevel="0" collapsed="false">
      <c r="A2699" s="1" t="n">
        <v>2698</v>
      </c>
      <c r="B2699" s="6" t="str">
        <f aca="false">HYPERLINK("https://mncourtfraud.com/file/MCRO_27-CR-22-18776_Notice of Hearing_2024-04-10_20240429162146.pdf","MCRO_27-CR-22-18776_Notice of Hearing_2024-04-10_20240429162146.pdf")</f>
        <v>MCRO_27-CR-22-18776_Notice of Hearing_2024-04-10_20240429162146.pdf</v>
      </c>
      <c r="C2699" s="1" t="n">
        <v>4</v>
      </c>
      <c r="D2699" s="1" t="n">
        <v>1</v>
      </c>
      <c r="E2699" s="1" t="n">
        <v>1</v>
      </c>
      <c r="F2699" s="3" t="s">
        <v>20</v>
      </c>
      <c r="G2699" s="3" t="s">
        <v>10905</v>
      </c>
      <c r="H2699" s="1" t="s">
        <v>22</v>
      </c>
      <c r="I2699" s="1" t="n">
        <v>20240429162146</v>
      </c>
      <c r="J2699" s="3" t="s">
        <v>10906</v>
      </c>
      <c r="K2699" s="3" t="s">
        <v>10907</v>
      </c>
      <c r="L2699" s="3" t="s">
        <v>10908</v>
      </c>
      <c r="M2699" s="3" t="n">
        <v>98216</v>
      </c>
      <c r="N2699" s="3" t="s">
        <v>435</v>
      </c>
      <c r="O2699" s="1" t="n">
        <v>81830</v>
      </c>
      <c r="P2699" s="1" t="n">
        <v>83.32</v>
      </c>
      <c r="Q2699" s="1" t="s">
        <v>20</v>
      </c>
      <c r="R2699" s="1" t="s">
        <v>27</v>
      </c>
      <c r="S2699" s="1" t="s">
        <v>28</v>
      </c>
      <c r="T2699" s="1" t="s">
        <v>29</v>
      </c>
    </row>
    <row r="2700" customFormat="false" ht="18.7" hidden="false" customHeight="true" outlineLevel="0" collapsed="false">
      <c r="A2700" s="1" t="n">
        <v>2699</v>
      </c>
      <c r="B2700" s="6" t="str">
        <f aca="false">HYPERLINK("https://mncourtfraud.com/file/MCRO_27-CR-22-18776_Notice of Remote Hearing with Instructions_2023-07-25_20240429162150.pdf","MCRO_27-CR-22-18776_Notice of Remote Hearing with Instructions_2023-07-25_20240429162150.pdf")</f>
        <v>MCRO_27-CR-22-18776_Notice of Remote Hearing with Instructions_2023-07-25_20240429162150.pdf</v>
      </c>
      <c r="C2700" s="1" t="n">
        <v>5</v>
      </c>
      <c r="D2700" s="1" t="n">
        <v>1</v>
      </c>
      <c r="E2700" s="1" t="n">
        <v>1</v>
      </c>
      <c r="F2700" s="3" t="s">
        <v>20</v>
      </c>
      <c r="G2700" s="3" t="s">
        <v>10909</v>
      </c>
      <c r="H2700" s="1" t="s">
        <v>22</v>
      </c>
      <c r="I2700" s="1" t="n">
        <v>20240429162150</v>
      </c>
      <c r="J2700" s="3" t="s">
        <v>10910</v>
      </c>
      <c r="K2700" s="3" t="s">
        <v>10911</v>
      </c>
      <c r="L2700" s="3" t="s">
        <v>10912</v>
      </c>
      <c r="M2700" s="3" t="n">
        <v>846713</v>
      </c>
      <c r="N2700" s="3" t="s">
        <v>3164</v>
      </c>
      <c r="O2700" s="1" t="n">
        <v>830327</v>
      </c>
      <c r="P2700" s="1" t="n">
        <v>98.06</v>
      </c>
      <c r="Q2700" s="1" t="s">
        <v>20</v>
      </c>
      <c r="R2700" s="1" t="s">
        <v>27</v>
      </c>
      <c r="S2700" s="1" t="s">
        <v>28</v>
      </c>
      <c r="T2700" s="1" t="s">
        <v>29</v>
      </c>
    </row>
    <row r="2701" customFormat="false" ht="18.7" hidden="false" customHeight="true" outlineLevel="0" collapsed="false">
      <c r="A2701" s="1" t="n">
        <v>2700</v>
      </c>
      <c r="B2701" s="6" t="str">
        <f aca="false">HYPERLINK("https://mncourtfraud.com/file/MCRO_27-CR-22-18776_Notice of Remote Hearing with Instructions_2023-09-19_20240429162149.pdf","MCRO_27-CR-22-18776_Notice of Remote Hearing with Instructions_2023-09-19_20240429162149.pdf")</f>
        <v>MCRO_27-CR-22-18776_Notice of Remote Hearing with Instructions_2023-09-19_20240429162149.pdf</v>
      </c>
      <c r="C2701" s="1" t="n">
        <v>5</v>
      </c>
      <c r="D2701" s="1" t="n">
        <v>1</v>
      </c>
      <c r="E2701" s="1" t="n">
        <v>1</v>
      </c>
      <c r="F2701" s="3" t="s">
        <v>20</v>
      </c>
      <c r="G2701" s="3" t="s">
        <v>10913</v>
      </c>
      <c r="H2701" s="1" t="s">
        <v>22</v>
      </c>
      <c r="I2701" s="1" t="n">
        <v>20240429162149</v>
      </c>
      <c r="J2701" s="3" t="s">
        <v>10914</v>
      </c>
      <c r="K2701" s="3" t="s">
        <v>10915</v>
      </c>
      <c r="L2701" s="3" t="s">
        <v>10916</v>
      </c>
      <c r="M2701" s="3" t="n">
        <v>859680</v>
      </c>
      <c r="N2701" s="3" t="s">
        <v>1009</v>
      </c>
      <c r="O2701" s="1" t="n">
        <v>843294</v>
      </c>
      <c r="P2701" s="1" t="n">
        <v>98.09</v>
      </c>
      <c r="Q2701" s="1" t="s">
        <v>20</v>
      </c>
      <c r="R2701" s="1" t="s">
        <v>27</v>
      </c>
      <c r="S2701" s="1" t="s">
        <v>28</v>
      </c>
      <c r="T2701" s="1" t="s">
        <v>29</v>
      </c>
    </row>
    <row r="2702" customFormat="false" ht="18.7" hidden="false" customHeight="true" outlineLevel="0" collapsed="false">
      <c r="A2702" s="1" t="n">
        <v>2701</v>
      </c>
      <c r="B2702" s="6" t="str">
        <f aca="false">HYPERLINK("https://mncourtfraud.com/file/MCRO_27-CR-22-18776_Notice of Remote Hearing with Instructions_2023-11-14_20240429162148.pdf","MCRO_27-CR-22-18776_Notice of Remote Hearing with Instructions_2023-11-14_20240429162148.pdf")</f>
        <v>MCRO_27-CR-22-18776_Notice of Remote Hearing with Instructions_2023-11-14_20240429162148.pdf</v>
      </c>
      <c r="C2702" s="1" t="n">
        <v>5</v>
      </c>
      <c r="D2702" s="1" t="n">
        <v>1</v>
      </c>
      <c r="E2702" s="1" t="n">
        <v>1</v>
      </c>
      <c r="F2702" s="3" t="s">
        <v>20</v>
      </c>
      <c r="G2702" s="3" t="s">
        <v>10917</v>
      </c>
      <c r="H2702" s="1" t="s">
        <v>22</v>
      </c>
      <c r="I2702" s="1" t="n">
        <v>20240429162148</v>
      </c>
      <c r="J2702" s="3" t="s">
        <v>10918</v>
      </c>
      <c r="K2702" s="3" t="s">
        <v>10919</v>
      </c>
      <c r="L2702" s="3" t="s">
        <v>10920</v>
      </c>
      <c r="M2702" s="3" t="n">
        <v>845308</v>
      </c>
      <c r="N2702" s="3" t="s">
        <v>3164</v>
      </c>
      <c r="O2702" s="1" t="n">
        <v>828922</v>
      </c>
      <c r="P2702" s="1" t="n">
        <v>98.06</v>
      </c>
      <c r="Q2702" s="1" t="s">
        <v>20</v>
      </c>
      <c r="R2702" s="1" t="s">
        <v>27</v>
      </c>
      <c r="S2702" s="1" t="s">
        <v>28</v>
      </c>
      <c r="T2702" s="1" t="s">
        <v>29</v>
      </c>
    </row>
    <row r="2703" customFormat="false" ht="18.7" hidden="false" customHeight="true" outlineLevel="0" collapsed="false">
      <c r="A2703" s="1" t="n">
        <v>2702</v>
      </c>
      <c r="B2703" s="6" t="str">
        <f aca="false">HYPERLINK("https://mncourtfraud.com/file/MCRO_27-CR-22-18776_Order for Conditional Release_2023-01-27_20240429162155.pdf","MCRO_27-CR-22-18776_Order for Conditional Release_2023-01-27_20240429162155.pdf")</f>
        <v>MCRO_27-CR-22-18776_Order for Conditional Release_2023-01-27_20240429162155.pdf</v>
      </c>
      <c r="C2703" s="1" t="n">
        <v>4</v>
      </c>
      <c r="D2703" s="1" t="n">
        <v>1</v>
      </c>
      <c r="E2703" s="1" t="n">
        <v>1</v>
      </c>
      <c r="F2703" s="3" t="s">
        <v>20</v>
      </c>
      <c r="G2703" s="3" t="s">
        <v>10921</v>
      </c>
      <c r="H2703" s="1" t="s">
        <v>22</v>
      </c>
      <c r="I2703" s="1" t="n">
        <v>20240429162155</v>
      </c>
      <c r="J2703" s="3" t="s">
        <v>10922</v>
      </c>
      <c r="K2703" s="3" t="s">
        <v>10923</v>
      </c>
      <c r="L2703" s="3" t="s">
        <v>10924</v>
      </c>
      <c r="M2703" s="3" t="n">
        <v>141483</v>
      </c>
      <c r="N2703" s="3" t="s">
        <v>1159</v>
      </c>
      <c r="O2703" s="1" t="n">
        <v>125097</v>
      </c>
      <c r="P2703" s="1" t="n">
        <v>88.42</v>
      </c>
      <c r="Q2703" s="1" t="s">
        <v>20</v>
      </c>
      <c r="R2703" s="1" t="s">
        <v>27</v>
      </c>
      <c r="S2703" s="1" t="s">
        <v>28</v>
      </c>
      <c r="T2703" s="1" t="s">
        <v>29</v>
      </c>
    </row>
    <row r="2704" customFormat="false" ht="18.7" hidden="false" customHeight="true" outlineLevel="0" collapsed="false">
      <c r="A2704" s="1" t="n">
        <v>2703</v>
      </c>
      <c r="B2704" s="6" t="str">
        <f aca="false">HYPERLINK("https://mncourtfraud.com/file/MCRO_27-CR-22-18776_Returned Mail_2022-10-03_20240429162203.pdf","MCRO_27-CR-22-18776_Returned Mail_2022-10-03_20240429162203.pdf")</f>
        <v>MCRO_27-CR-22-18776_Returned Mail_2022-10-03_20240429162203.pdf</v>
      </c>
      <c r="C2704" s="1" t="n">
        <v>4</v>
      </c>
      <c r="D2704" s="1" t="n">
        <v>1</v>
      </c>
      <c r="E2704" s="1" t="n">
        <v>1</v>
      </c>
      <c r="F2704" s="3" t="s">
        <v>20</v>
      </c>
      <c r="G2704" s="3" t="s">
        <v>10925</v>
      </c>
      <c r="H2704" s="1" t="s">
        <v>22</v>
      </c>
      <c r="I2704" s="1" t="n">
        <v>20240429162203</v>
      </c>
      <c r="J2704" s="3" t="s">
        <v>10926</v>
      </c>
      <c r="K2704" s="3" t="s">
        <v>10927</v>
      </c>
      <c r="L2704" s="3" t="s">
        <v>10928</v>
      </c>
      <c r="M2704" s="3" t="n">
        <v>205551</v>
      </c>
      <c r="N2704" s="3" t="s">
        <v>3269</v>
      </c>
      <c r="O2704" s="1" t="n">
        <v>189165</v>
      </c>
      <c r="P2704" s="1" t="n">
        <v>92.03</v>
      </c>
      <c r="Q2704" s="1" t="s">
        <v>20</v>
      </c>
      <c r="R2704" s="1" t="s">
        <v>27</v>
      </c>
      <c r="S2704" s="1" t="s">
        <v>28</v>
      </c>
      <c r="T2704" s="1" t="s">
        <v>29</v>
      </c>
    </row>
    <row r="2705" customFormat="false" ht="18.7" hidden="false" customHeight="true" outlineLevel="0" collapsed="false">
      <c r="A2705" s="1" t="n">
        <v>2704</v>
      </c>
      <c r="B2705" s="6" t="str">
        <f aca="false">HYPERLINK("https://mncourtfraud.com/file/MCRO_27-CR-22-18776_Returned Mail_2022-11-03_20240429162159.pdf","MCRO_27-CR-22-18776_Returned Mail_2022-11-03_20240429162159.pdf")</f>
        <v>MCRO_27-CR-22-18776_Returned Mail_2022-11-03_20240429162159.pdf</v>
      </c>
      <c r="C2705" s="1" t="n">
        <v>4</v>
      </c>
      <c r="D2705" s="1" t="n">
        <v>1</v>
      </c>
      <c r="E2705" s="1" t="n">
        <v>1</v>
      </c>
      <c r="F2705" s="3" t="s">
        <v>20</v>
      </c>
      <c r="G2705" s="3" t="s">
        <v>10929</v>
      </c>
      <c r="H2705" s="1" t="s">
        <v>22</v>
      </c>
      <c r="I2705" s="1" t="n">
        <v>20240429162159</v>
      </c>
      <c r="J2705" s="3" t="s">
        <v>10930</v>
      </c>
      <c r="K2705" s="3" t="s">
        <v>10931</v>
      </c>
      <c r="L2705" s="3" t="s">
        <v>10932</v>
      </c>
      <c r="M2705" s="3" t="n">
        <v>231366</v>
      </c>
      <c r="N2705" s="3" t="s">
        <v>158</v>
      </c>
      <c r="O2705" s="1" t="n">
        <v>214980</v>
      </c>
      <c r="P2705" s="1" t="n">
        <v>92.92</v>
      </c>
      <c r="Q2705" s="1" t="s">
        <v>20</v>
      </c>
      <c r="R2705" s="1" t="s">
        <v>27</v>
      </c>
      <c r="S2705" s="1" t="s">
        <v>28</v>
      </c>
      <c r="T2705" s="1" t="s">
        <v>29</v>
      </c>
    </row>
    <row r="2706" customFormat="false" ht="18.7" hidden="false" customHeight="true" outlineLevel="0" collapsed="false">
      <c r="A2706" s="1" t="n">
        <v>2705</v>
      </c>
      <c r="B2706" s="6" t="str">
        <f aca="false">HYPERLINK("https://mncourtfraud.com/file/MCRO_27-CR-22-18776_Returned Mail_2023-01-17_20240429162157.pdf","MCRO_27-CR-22-18776_Returned Mail_2023-01-17_20240429162157.pdf")</f>
        <v>MCRO_27-CR-22-18776_Returned Mail_2023-01-17_20240429162157.pdf</v>
      </c>
      <c r="C2706" s="1" t="n">
        <v>4</v>
      </c>
      <c r="D2706" s="1" t="n">
        <v>1</v>
      </c>
      <c r="E2706" s="1" t="n">
        <v>1</v>
      </c>
      <c r="F2706" s="3" t="s">
        <v>20</v>
      </c>
      <c r="G2706" s="3" t="s">
        <v>10933</v>
      </c>
      <c r="H2706" s="1" t="s">
        <v>22</v>
      </c>
      <c r="I2706" s="1" t="n">
        <v>20240429162157</v>
      </c>
      <c r="J2706" s="3" t="s">
        <v>10934</v>
      </c>
      <c r="K2706" s="3" t="s">
        <v>10935</v>
      </c>
      <c r="L2706" s="3" t="s">
        <v>10936</v>
      </c>
      <c r="M2706" s="3" t="n">
        <v>243295</v>
      </c>
      <c r="N2706" s="3" t="s">
        <v>158</v>
      </c>
      <c r="O2706" s="1" t="n">
        <v>226909</v>
      </c>
      <c r="P2706" s="1" t="n">
        <v>93.26</v>
      </c>
      <c r="Q2706" s="1" t="s">
        <v>20</v>
      </c>
      <c r="R2706" s="1" t="s">
        <v>27</v>
      </c>
      <c r="S2706" s="1" t="s">
        <v>28</v>
      </c>
      <c r="T2706" s="1" t="s">
        <v>29</v>
      </c>
    </row>
    <row r="2707" customFormat="false" ht="18.7" hidden="false" customHeight="true" outlineLevel="0" collapsed="false">
      <c r="A2707" s="1" t="n">
        <v>2706</v>
      </c>
      <c r="B2707" s="6" t="str">
        <f aca="false">HYPERLINK("https://mncourtfraud.com/file/MCRO_27-CR-22-18776_Summons_2022-09-21_20240429162205.pdf","MCRO_27-CR-22-18776_Summons_2022-09-21_20240429162205.pdf")</f>
        <v>MCRO_27-CR-22-18776_Summons_2022-09-21_20240429162205.pdf</v>
      </c>
      <c r="C2707" s="1" t="n">
        <v>5</v>
      </c>
      <c r="D2707" s="1" t="n">
        <v>1</v>
      </c>
      <c r="E2707" s="1" t="n">
        <v>1</v>
      </c>
      <c r="F2707" s="3" t="s">
        <v>20</v>
      </c>
      <c r="G2707" s="3" t="s">
        <v>10937</v>
      </c>
      <c r="H2707" s="1" t="s">
        <v>22</v>
      </c>
      <c r="I2707" s="1" t="n">
        <v>20240429162205</v>
      </c>
      <c r="J2707" s="3" t="s">
        <v>10938</v>
      </c>
      <c r="K2707" s="3" t="s">
        <v>10939</v>
      </c>
      <c r="L2707" s="3" t="s">
        <v>10940</v>
      </c>
      <c r="M2707" s="3" t="n">
        <v>703045</v>
      </c>
      <c r="N2707" s="3" t="s">
        <v>2723</v>
      </c>
      <c r="O2707" s="1" t="n">
        <v>686659</v>
      </c>
      <c r="P2707" s="1" t="n">
        <v>97.67</v>
      </c>
      <c r="Q2707" s="1" t="s">
        <v>20</v>
      </c>
      <c r="R2707" s="1" t="s">
        <v>27</v>
      </c>
      <c r="S2707" s="1" t="s">
        <v>28</v>
      </c>
      <c r="T2707" s="1" t="s">
        <v>29</v>
      </c>
    </row>
    <row r="2708" customFormat="false" ht="18.7" hidden="false" customHeight="true" outlineLevel="0" collapsed="false">
      <c r="A2708" s="1" t="n">
        <v>2707</v>
      </c>
      <c r="B2708" s="6" t="str">
        <f aca="false">HYPERLINK("https://mncourtfraud.com/file/MCRO_27-CR-22-18776_Warrant Issued_2022-10-18_20240429162203.pdf","MCRO_27-CR-22-18776_Warrant Issued_2022-10-18_20240429162203.pdf")</f>
        <v>MCRO_27-CR-22-18776_Warrant Issued_2022-10-18_20240429162203.pdf</v>
      </c>
      <c r="C2708" s="1" t="n">
        <v>5</v>
      </c>
      <c r="D2708" s="1" t="n">
        <v>1</v>
      </c>
      <c r="E2708" s="1" t="n">
        <v>1</v>
      </c>
      <c r="F2708" s="3" t="s">
        <v>20</v>
      </c>
      <c r="G2708" s="3" t="s">
        <v>10941</v>
      </c>
      <c r="H2708" s="1" t="s">
        <v>22</v>
      </c>
      <c r="I2708" s="1" t="n">
        <v>20240429162203</v>
      </c>
      <c r="J2708" s="3" t="s">
        <v>10926</v>
      </c>
      <c r="K2708" s="3" t="s">
        <v>10927</v>
      </c>
      <c r="L2708" s="3" t="s">
        <v>10942</v>
      </c>
      <c r="M2708" s="3" t="n">
        <v>239502</v>
      </c>
      <c r="N2708" s="3" t="s">
        <v>481</v>
      </c>
      <c r="O2708" s="1" t="n">
        <v>223116</v>
      </c>
      <c r="P2708" s="1" t="n">
        <v>93.16</v>
      </c>
      <c r="Q2708" s="1" t="s">
        <v>20</v>
      </c>
      <c r="R2708" s="1" t="s">
        <v>27</v>
      </c>
      <c r="S2708" s="1" t="s">
        <v>28</v>
      </c>
      <c r="T2708" s="1" t="s">
        <v>29</v>
      </c>
    </row>
    <row r="2709" customFormat="false" ht="18.7" hidden="false" customHeight="true" outlineLevel="0" collapsed="false">
      <c r="A2709" s="1" t="n">
        <v>2708</v>
      </c>
      <c r="B2709" s="6" t="str">
        <f aca="false">HYPERLINK("https://mncourtfraud.com/file/MCRO_27-CR-22-18789_Demand or Request for Discovery_2022-09-26_20240429162256.pdf","MCRO_27-CR-22-18789_Demand or Request for Discovery_2022-09-26_20240429162256.pdf")</f>
        <v>MCRO_27-CR-22-18789_Demand or Request for Discovery_2022-09-26_20240429162256.pdf</v>
      </c>
      <c r="C2709" s="1" t="n">
        <v>3</v>
      </c>
      <c r="D2709" s="1" t="n">
        <v>1</v>
      </c>
      <c r="E2709" s="1" t="n">
        <v>1</v>
      </c>
      <c r="F2709" s="3" t="s">
        <v>20</v>
      </c>
      <c r="G2709" s="3" t="s">
        <v>10943</v>
      </c>
      <c r="H2709" s="1" t="s">
        <v>22</v>
      </c>
      <c r="I2709" s="1" t="n">
        <v>20240429162256</v>
      </c>
      <c r="J2709" s="3" t="s">
        <v>10944</v>
      </c>
      <c r="K2709" s="3" t="s">
        <v>10945</v>
      </c>
      <c r="L2709" s="3" t="s">
        <v>10946</v>
      </c>
      <c r="M2709" s="3" t="n">
        <v>316316</v>
      </c>
      <c r="N2709" s="3" t="s">
        <v>655</v>
      </c>
      <c r="O2709" s="1" t="n">
        <v>299930</v>
      </c>
      <c r="P2709" s="1" t="n">
        <v>94.82</v>
      </c>
      <c r="Q2709" s="1" t="s">
        <v>20</v>
      </c>
      <c r="R2709" s="1" t="s">
        <v>27</v>
      </c>
      <c r="S2709" s="1" t="s">
        <v>28</v>
      </c>
      <c r="T2709" s="1" t="s">
        <v>29</v>
      </c>
    </row>
    <row r="2710" customFormat="false" ht="18.7" hidden="false" customHeight="true" outlineLevel="0" collapsed="false">
      <c r="A2710" s="1" t="n">
        <v>2709</v>
      </c>
      <c r="B2710" s="6" t="str">
        <f aca="false">HYPERLINK("https://mncourtfraud.com/file/MCRO_27-CR-22-18789_E-filed Comp-Order for Detention_2022-09-21_20240429162258.pdf","MCRO_27-CR-22-18789_E-filed Comp-Order for Detention_2022-09-21_20240429162258.pdf")</f>
        <v>MCRO_27-CR-22-18789_E-filed Comp-Order for Detention_2022-09-21_20240429162258.pdf</v>
      </c>
      <c r="C2710" s="1" t="n">
        <v>5</v>
      </c>
      <c r="D2710" s="1" t="n">
        <v>2</v>
      </c>
      <c r="E2710" s="1" t="n">
        <v>2</v>
      </c>
      <c r="F2710" s="3" t="s">
        <v>20</v>
      </c>
      <c r="G2710" s="3" t="s">
        <v>10947</v>
      </c>
      <c r="H2710" s="1" t="s">
        <v>22</v>
      </c>
      <c r="I2710" s="1" t="n">
        <v>20240429162258</v>
      </c>
      <c r="J2710" s="3" t="s">
        <v>10948</v>
      </c>
      <c r="K2710" s="3" t="s">
        <v>10949</v>
      </c>
      <c r="L2710" s="3" t="s">
        <v>10950</v>
      </c>
      <c r="M2710" s="3" t="n">
        <v>445362</v>
      </c>
      <c r="N2710" s="3" t="s">
        <v>10787</v>
      </c>
      <c r="O2710" s="1" t="n">
        <v>428976</v>
      </c>
      <c r="P2710" s="1" t="n">
        <v>96.32</v>
      </c>
      <c r="Q2710" s="1" t="s">
        <v>20</v>
      </c>
      <c r="R2710" s="1" t="s">
        <v>27</v>
      </c>
      <c r="S2710" s="1" t="s">
        <v>28</v>
      </c>
      <c r="T2710" s="1" t="s">
        <v>29</v>
      </c>
    </row>
    <row r="2711" customFormat="false" ht="18.7" hidden="false" customHeight="true" outlineLevel="0" collapsed="false">
      <c r="A2711" s="1" t="n">
        <v>2710</v>
      </c>
      <c r="B2711" s="6" t="str">
        <f aca="false">HYPERLINK("https://mncourtfraud.com/file/MCRO_27-CR-22-18789_Finding of Incompetency and Order_2023-03-15_20240429162251.pdf","MCRO_27-CR-22-18789_Finding of Incompetency and Order_2023-03-15_20240429162251.pdf")</f>
        <v>MCRO_27-CR-22-18789_Finding of Incompetency and Order_2023-03-15_20240429162251.pdf</v>
      </c>
      <c r="C2711" s="1" t="n">
        <v>9</v>
      </c>
      <c r="D2711" s="1" t="n">
        <v>3</v>
      </c>
      <c r="E2711" s="1" t="n">
        <v>3</v>
      </c>
      <c r="F2711" s="3" t="s">
        <v>27</v>
      </c>
      <c r="G2711" s="3" t="s">
        <v>10951</v>
      </c>
      <c r="H2711" s="1" t="s">
        <v>22</v>
      </c>
      <c r="I2711" s="1" t="n">
        <v>20240429162251</v>
      </c>
      <c r="J2711" s="3" t="s">
        <v>10952</v>
      </c>
      <c r="K2711" s="3" t="s">
        <v>10953</v>
      </c>
      <c r="L2711" s="3" t="s">
        <v>10954</v>
      </c>
      <c r="M2711" s="3" t="n">
        <v>935521</v>
      </c>
      <c r="N2711" s="3" t="s">
        <v>4117</v>
      </c>
      <c r="O2711" s="1" t="n">
        <v>919135</v>
      </c>
      <c r="P2711" s="1" t="n">
        <v>98.25</v>
      </c>
      <c r="Q2711" s="1" t="s">
        <v>20</v>
      </c>
      <c r="R2711" s="1" t="s">
        <v>27</v>
      </c>
      <c r="S2711" s="1" t="s">
        <v>28</v>
      </c>
      <c r="T2711" s="1" t="s">
        <v>29</v>
      </c>
    </row>
    <row r="2712" customFormat="false" ht="18.7" hidden="false" customHeight="true" outlineLevel="0" collapsed="false">
      <c r="A2712" s="1" t="n">
        <v>2711</v>
      </c>
      <c r="B2712" s="6" t="str">
        <f aca="false">HYPERLINK("https://mncourtfraud.com/file/MCRO_27-CR-22-18789_Notice of Case Reassignment_2022-12-14_20240429162253.pdf","MCRO_27-CR-22-18789_Notice of Case Reassignment_2022-12-14_20240429162253.pdf")</f>
        <v>MCRO_27-CR-22-18789_Notice of Case Reassignment_2022-12-14_20240429162253.pdf</v>
      </c>
      <c r="C2712" s="1" t="n">
        <v>3</v>
      </c>
      <c r="D2712" s="1" t="n">
        <v>1</v>
      </c>
      <c r="E2712" s="1" t="n">
        <v>1</v>
      </c>
      <c r="F2712" s="3" t="s">
        <v>20</v>
      </c>
      <c r="G2712" s="3" t="s">
        <v>10955</v>
      </c>
      <c r="H2712" s="1" t="s">
        <v>22</v>
      </c>
      <c r="I2712" s="1" t="n">
        <v>20240429162253</v>
      </c>
      <c r="J2712" s="3" t="s">
        <v>10956</v>
      </c>
      <c r="K2712" s="3" t="s">
        <v>10957</v>
      </c>
      <c r="L2712" s="3" t="s">
        <v>10958</v>
      </c>
      <c r="M2712" s="3" t="n">
        <v>111891</v>
      </c>
      <c r="N2712" s="3" t="s">
        <v>614</v>
      </c>
      <c r="O2712" s="1" t="n">
        <v>95505</v>
      </c>
      <c r="P2712" s="1" t="n">
        <v>85.36</v>
      </c>
      <c r="Q2712" s="1" t="s">
        <v>20</v>
      </c>
      <c r="R2712" s="1" t="s">
        <v>27</v>
      </c>
      <c r="S2712" s="1" t="s">
        <v>28</v>
      </c>
      <c r="T2712" s="1" t="s">
        <v>29</v>
      </c>
    </row>
    <row r="2713" customFormat="false" ht="18.7" hidden="false" customHeight="true" outlineLevel="0" collapsed="false">
      <c r="A2713" s="1" t="n">
        <v>2712</v>
      </c>
      <c r="B2713" s="6" t="str">
        <f aca="false">HYPERLINK("https://mncourtfraud.com/file/MCRO_27-CR-22-18789_Notice of Hearing_2022-09-22_20240429162257.pdf","MCRO_27-CR-22-18789_Notice of Hearing_2022-09-22_20240429162257.pdf")</f>
        <v>MCRO_27-CR-22-18789_Notice of Hearing_2022-09-22_20240429162257.pdf</v>
      </c>
      <c r="C2713" s="1" t="n">
        <v>4</v>
      </c>
      <c r="D2713" s="1" t="n">
        <v>1</v>
      </c>
      <c r="E2713" s="1" t="n">
        <v>1</v>
      </c>
      <c r="F2713" s="3" t="s">
        <v>20</v>
      </c>
      <c r="G2713" s="3" t="s">
        <v>10959</v>
      </c>
      <c r="H2713" s="1" t="s">
        <v>22</v>
      </c>
      <c r="I2713" s="1" t="n">
        <v>20240429162257</v>
      </c>
      <c r="J2713" s="3" t="s">
        <v>10960</v>
      </c>
      <c r="K2713" s="3" t="s">
        <v>10961</v>
      </c>
      <c r="L2713" s="3" t="s">
        <v>10962</v>
      </c>
      <c r="M2713" s="3" t="n">
        <v>99935</v>
      </c>
      <c r="N2713" s="3" t="s">
        <v>435</v>
      </c>
      <c r="O2713" s="1" t="n">
        <v>83549</v>
      </c>
      <c r="P2713" s="1" t="n">
        <v>83.6</v>
      </c>
      <c r="Q2713" s="1" t="s">
        <v>20</v>
      </c>
      <c r="R2713" s="1" t="s">
        <v>27</v>
      </c>
      <c r="S2713" s="1" t="s">
        <v>28</v>
      </c>
      <c r="T2713" s="1" t="s">
        <v>29</v>
      </c>
    </row>
    <row r="2714" customFormat="false" ht="18.7" hidden="false" customHeight="true" outlineLevel="0" collapsed="false">
      <c r="A2714" s="1" t="n">
        <v>2713</v>
      </c>
      <c r="B2714" s="6" t="str">
        <f aca="false">HYPERLINK("https://mncourtfraud.com/file/MCRO_27-CR-22-18789_Notice of Hearing_2022-10-21_20240429162255.pdf","MCRO_27-CR-22-18789_Notice of Hearing_2022-10-21_20240429162255.pdf")</f>
        <v>MCRO_27-CR-22-18789_Notice of Hearing_2022-10-21_20240429162255.pdf</v>
      </c>
      <c r="C2714" s="1" t="n">
        <v>4</v>
      </c>
      <c r="D2714" s="1" t="n">
        <v>1</v>
      </c>
      <c r="E2714" s="1" t="n">
        <v>1</v>
      </c>
      <c r="F2714" s="3" t="s">
        <v>20</v>
      </c>
      <c r="G2714" s="3" t="s">
        <v>10963</v>
      </c>
      <c r="H2714" s="1" t="s">
        <v>22</v>
      </c>
      <c r="I2714" s="1" t="n">
        <v>20240429162255</v>
      </c>
      <c r="J2714" s="3" t="s">
        <v>10964</v>
      </c>
      <c r="K2714" s="3" t="s">
        <v>10965</v>
      </c>
      <c r="L2714" s="3" t="s">
        <v>10966</v>
      </c>
      <c r="M2714" s="3" t="n">
        <v>90715</v>
      </c>
      <c r="N2714" s="3" t="s">
        <v>3269</v>
      </c>
      <c r="O2714" s="1" t="n">
        <v>74329</v>
      </c>
      <c r="P2714" s="1" t="n">
        <v>81.94</v>
      </c>
      <c r="Q2714" s="1" t="s">
        <v>20</v>
      </c>
      <c r="R2714" s="1" t="s">
        <v>27</v>
      </c>
      <c r="S2714" s="1" t="s">
        <v>28</v>
      </c>
      <c r="T2714" s="1" t="s">
        <v>29</v>
      </c>
    </row>
    <row r="2715" customFormat="false" ht="18.7" hidden="false" customHeight="true" outlineLevel="0" collapsed="false">
      <c r="A2715" s="1" t="n">
        <v>2714</v>
      </c>
      <c r="B2715" s="6" t="str">
        <f aca="false">HYPERLINK("https://mncourtfraud.com/file/MCRO_27-CR-22-18789_Notice of Intent to Prosecute_2024-03-04_20240429162244.pdf","MCRO_27-CR-22-18789_Notice of Intent to Prosecute_2024-03-04_20240429162244.pdf")</f>
        <v>MCRO_27-CR-22-18789_Notice of Intent to Prosecute_2024-03-04_20240429162244.pdf</v>
      </c>
      <c r="C2715" s="1" t="n">
        <v>3</v>
      </c>
      <c r="D2715" s="1" t="n">
        <v>1</v>
      </c>
      <c r="E2715" s="1" t="n">
        <v>1</v>
      </c>
      <c r="F2715" s="3" t="s">
        <v>20</v>
      </c>
      <c r="G2715" s="3" t="s">
        <v>10967</v>
      </c>
      <c r="H2715" s="1" t="s">
        <v>22</v>
      </c>
      <c r="I2715" s="1" t="n">
        <v>20240429162244</v>
      </c>
      <c r="J2715" s="3" t="s">
        <v>10968</v>
      </c>
      <c r="K2715" s="3" t="s">
        <v>10969</v>
      </c>
      <c r="L2715" s="3" t="s">
        <v>10970</v>
      </c>
      <c r="M2715" s="3" t="n">
        <v>152611</v>
      </c>
      <c r="N2715" s="3" t="s">
        <v>10971</v>
      </c>
      <c r="O2715" s="1" t="n">
        <v>136225</v>
      </c>
      <c r="P2715" s="1" t="n">
        <v>89.26</v>
      </c>
      <c r="Q2715" s="1" t="s">
        <v>20</v>
      </c>
      <c r="R2715" s="1" t="s">
        <v>27</v>
      </c>
      <c r="S2715" s="1" t="s">
        <v>28</v>
      </c>
      <c r="T2715" s="1" t="s">
        <v>29</v>
      </c>
    </row>
    <row r="2716" customFormat="false" ht="18.7" hidden="false" customHeight="true" outlineLevel="0" collapsed="false">
      <c r="A2716" s="1" t="n">
        <v>2715</v>
      </c>
      <c r="B2716" s="6" t="str">
        <f aca="false">HYPERLINK("https://mncourtfraud.com/file/MCRO_27-CR-22-18789_Notice of Remote Hearing with Instructions_2023-09-12_20240429162249.pdf","MCRO_27-CR-22-18789_Notice of Remote Hearing with Instructions_2023-09-12_20240429162249.pdf")</f>
        <v>MCRO_27-CR-22-18789_Notice of Remote Hearing with Instructions_2023-09-12_20240429162249.pdf</v>
      </c>
      <c r="C2716" s="1" t="n">
        <v>5</v>
      </c>
      <c r="D2716" s="1" t="n">
        <v>1</v>
      </c>
      <c r="E2716" s="1" t="n">
        <v>1</v>
      </c>
      <c r="F2716" s="3" t="s">
        <v>20</v>
      </c>
      <c r="G2716" s="3" t="s">
        <v>10972</v>
      </c>
      <c r="H2716" s="1" t="s">
        <v>22</v>
      </c>
      <c r="I2716" s="1" t="n">
        <v>20240429162249</v>
      </c>
      <c r="J2716" s="3" t="s">
        <v>10973</v>
      </c>
      <c r="K2716" s="3" t="s">
        <v>10974</v>
      </c>
      <c r="L2716" s="3" t="s">
        <v>10975</v>
      </c>
      <c r="M2716" s="3" t="n">
        <v>846510</v>
      </c>
      <c r="N2716" s="3" t="s">
        <v>3164</v>
      </c>
      <c r="O2716" s="1" t="n">
        <v>830124</v>
      </c>
      <c r="P2716" s="1" t="n">
        <v>98.06</v>
      </c>
      <c r="Q2716" s="1" t="s">
        <v>20</v>
      </c>
      <c r="R2716" s="1" t="s">
        <v>27</v>
      </c>
      <c r="S2716" s="1" t="s">
        <v>28</v>
      </c>
      <c r="T2716" s="1" t="s">
        <v>29</v>
      </c>
    </row>
    <row r="2717" customFormat="false" ht="18.7" hidden="false" customHeight="true" outlineLevel="0" collapsed="false">
      <c r="A2717" s="1" t="n">
        <v>2716</v>
      </c>
      <c r="B2717" s="6" t="str">
        <f aca="false">HYPERLINK("https://mncourtfraud.com/file/MCRO_27-CR-22-18789_Notice of Remote Hearing with Instructions_2023-10-17_20240429162248.pdf","MCRO_27-CR-22-18789_Notice of Remote Hearing with Instructions_2023-10-17_20240429162248.pdf")</f>
        <v>MCRO_27-CR-22-18789_Notice of Remote Hearing with Instructions_2023-10-17_20240429162248.pdf</v>
      </c>
      <c r="C2717" s="1" t="n">
        <v>5</v>
      </c>
      <c r="D2717" s="1" t="n">
        <v>1</v>
      </c>
      <c r="E2717" s="1" t="n">
        <v>1</v>
      </c>
      <c r="F2717" s="3" t="s">
        <v>20</v>
      </c>
      <c r="G2717" s="3" t="s">
        <v>10976</v>
      </c>
      <c r="H2717" s="1" t="s">
        <v>22</v>
      </c>
      <c r="I2717" s="1" t="n">
        <v>20240429162248</v>
      </c>
      <c r="J2717" s="3" t="s">
        <v>10977</v>
      </c>
      <c r="K2717" s="3" t="s">
        <v>10978</v>
      </c>
      <c r="L2717" s="3" t="s">
        <v>10979</v>
      </c>
      <c r="M2717" s="3" t="n">
        <v>859780</v>
      </c>
      <c r="N2717" s="3" t="s">
        <v>1009</v>
      </c>
      <c r="O2717" s="1" t="n">
        <v>843394</v>
      </c>
      <c r="P2717" s="1" t="n">
        <v>98.09</v>
      </c>
      <c r="Q2717" s="1" t="s">
        <v>20</v>
      </c>
      <c r="R2717" s="1" t="s">
        <v>27</v>
      </c>
      <c r="S2717" s="1" t="s">
        <v>28</v>
      </c>
      <c r="T2717" s="1" t="s">
        <v>29</v>
      </c>
    </row>
    <row r="2718" customFormat="false" ht="18.7" hidden="false" customHeight="true" outlineLevel="0" collapsed="false">
      <c r="A2718" s="1" t="n">
        <v>2717</v>
      </c>
      <c r="B2718" s="6" t="str">
        <f aca="false">HYPERLINK("https://mncourtfraud.com/file/MCRO_27-CR-22-18789_Notice of Remote Hearing with Instructions_2023-11-21_20240429162247.pdf","MCRO_27-CR-22-18789_Notice of Remote Hearing with Instructions_2023-11-21_20240429162247.pdf")</f>
        <v>MCRO_27-CR-22-18789_Notice of Remote Hearing with Instructions_2023-11-21_20240429162247.pdf</v>
      </c>
      <c r="C2718" s="1" t="n">
        <v>5</v>
      </c>
      <c r="D2718" s="1" t="n">
        <v>1</v>
      </c>
      <c r="E2718" s="1" t="n">
        <v>1</v>
      </c>
      <c r="F2718" s="3" t="s">
        <v>20</v>
      </c>
      <c r="G2718" s="3" t="s">
        <v>10980</v>
      </c>
      <c r="H2718" s="1" t="s">
        <v>22</v>
      </c>
      <c r="I2718" s="1" t="n">
        <v>20240429162247</v>
      </c>
      <c r="J2718" s="3" t="s">
        <v>10981</v>
      </c>
      <c r="K2718" s="3" t="s">
        <v>10982</v>
      </c>
      <c r="L2718" s="3" t="s">
        <v>10983</v>
      </c>
      <c r="M2718" s="3" t="n">
        <v>855349</v>
      </c>
      <c r="N2718" s="3" t="s">
        <v>1248</v>
      </c>
      <c r="O2718" s="1" t="n">
        <v>838963</v>
      </c>
      <c r="P2718" s="1" t="n">
        <v>98.08</v>
      </c>
      <c r="Q2718" s="1" t="s">
        <v>20</v>
      </c>
      <c r="R2718" s="1" t="s">
        <v>27</v>
      </c>
      <c r="S2718" s="1" t="s">
        <v>28</v>
      </c>
      <c r="T2718" s="1" t="s">
        <v>29</v>
      </c>
    </row>
    <row r="2719" customFormat="false" ht="18.7" hidden="false" customHeight="true" outlineLevel="0" collapsed="false">
      <c r="A2719" s="1" t="n">
        <v>2718</v>
      </c>
      <c r="B2719" s="6" t="str">
        <f aca="false">HYPERLINK("https://mncourtfraud.com/file/MCRO_27-CR-22-18789_Notice of Remote Hearing with Instructions_2023-12-05_20240429162246.pdf","MCRO_27-CR-22-18789_Notice of Remote Hearing with Instructions_2023-12-05_20240429162246.pdf")</f>
        <v>MCRO_27-CR-22-18789_Notice of Remote Hearing with Instructions_2023-12-05_20240429162246.pdf</v>
      </c>
      <c r="C2719" s="1" t="n">
        <v>5</v>
      </c>
      <c r="D2719" s="1" t="n">
        <v>1</v>
      </c>
      <c r="E2719" s="1" t="n">
        <v>1</v>
      </c>
      <c r="F2719" s="3" t="s">
        <v>20</v>
      </c>
      <c r="G2719" s="3" t="s">
        <v>10984</v>
      </c>
      <c r="H2719" s="1" t="s">
        <v>22</v>
      </c>
      <c r="I2719" s="1" t="n">
        <v>20240429162246</v>
      </c>
      <c r="J2719" s="3" t="s">
        <v>10985</v>
      </c>
      <c r="K2719" s="3" t="s">
        <v>10986</v>
      </c>
      <c r="L2719" s="3" t="s">
        <v>10987</v>
      </c>
      <c r="M2719" s="3" t="n">
        <v>843404</v>
      </c>
      <c r="N2719" s="3" t="s">
        <v>3164</v>
      </c>
      <c r="O2719" s="1" t="n">
        <v>827018</v>
      </c>
      <c r="P2719" s="1" t="n">
        <v>98.06</v>
      </c>
      <c r="Q2719" s="1" t="s">
        <v>20</v>
      </c>
      <c r="R2719" s="1" t="s">
        <v>27</v>
      </c>
      <c r="S2719" s="1" t="s">
        <v>28</v>
      </c>
      <c r="T2719" s="1" t="s">
        <v>29</v>
      </c>
    </row>
    <row r="2720" customFormat="false" ht="18.7" hidden="false" customHeight="true" outlineLevel="0" collapsed="false">
      <c r="A2720" s="1" t="n">
        <v>2719</v>
      </c>
      <c r="B2720" s="6" t="str">
        <f aca="false">HYPERLINK("https://mncourtfraud.com/file/MCRO_27-CR-22-18789_Notice of Remote Hearing with Instructions_2024-03-12_20240429162243.pdf","MCRO_27-CR-22-18789_Notice of Remote Hearing with Instructions_2024-03-12_20240429162243.pdf")</f>
        <v>MCRO_27-CR-22-18789_Notice of Remote Hearing with Instructions_2024-03-12_20240429162243.pdf</v>
      </c>
      <c r="C2720" s="1" t="n">
        <v>4</v>
      </c>
      <c r="D2720" s="1" t="n">
        <v>1</v>
      </c>
      <c r="E2720" s="1" t="n">
        <v>1</v>
      </c>
      <c r="F2720" s="3" t="s">
        <v>20</v>
      </c>
      <c r="G2720" s="3" t="s">
        <v>10988</v>
      </c>
      <c r="H2720" s="1" t="s">
        <v>22</v>
      </c>
      <c r="I2720" s="1" t="n">
        <v>20240429162243</v>
      </c>
      <c r="J2720" s="3" t="s">
        <v>10989</v>
      </c>
      <c r="K2720" s="3" t="s">
        <v>10990</v>
      </c>
      <c r="L2720" s="3" t="s">
        <v>10991</v>
      </c>
      <c r="M2720" s="3" t="n">
        <v>256051</v>
      </c>
      <c r="N2720" s="3" t="s">
        <v>74</v>
      </c>
      <c r="O2720" s="1" t="n">
        <v>239665</v>
      </c>
      <c r="P2720" s="1" t="n">
        <v>93.6</v>
      </c>
      <c r="Q2720" s="1" t="s">
        <v>20</v>
      </c>
      <c r="R2720" s="1" t="s">
        <v>27</v>
      </c>
      <c r="S2720" s="1" t="s">
        <v>28</v>
      </c>
      <c r="T2720" s="1" t="s">
        <v>29</v>
      </c>
    </row>
    <row r="2721" customFormat="false" ht="18.7" hidden="false" customHeight="true" outlineLevel="0" collapsed="false">
      <c r="A2721" s="1" t="n">
        <v>2720</v>
      </c>
      <c r="B2721" s="6" t="str">
        <f aca="false">HYPERLINK("https://mncourtfraud.com/file/MCRO_27-CR-22-18789_Order-Eval for Mental Illness or Cognitive Impairment 20.02_2022-10-21_20240429162254.pdf","MCRO_27-CR-22-18789_Order-Eval for Mental Illness or Cognitive Impairment 20.02_2022-10-21_20240429162254.pdf")</f>
        <v>MCRO_27-CR-22-18789_Order-Eval for Mental Illness or Cognitive Impairment 20.02_2022-10-21_20240429162254.pdf</v>
      </c>
      <c r="C2721" s="1" t="n">
        <v>5</v>
      </c>
      <c r="D2721" s="1" t="n">
        <v>2</v>
      </c>
      <c r="E2721" s="1" t="n">
        <v>2</v>
      </c>
      <c r="F2721" s="3" t="s">
        <v>20</v>
      </c>
      <c r="G2721" s="3" t="s">
        <v>10992</v>
      </c>
      <c r="H2721" s="1" t="s">
        <v>22</v>
      </c>
      <c r="I2721" s="1" t="n">
        <v>20240429162254</v>
      </c>
      <c r="J2721" s="3" t="s">
        <v>10993</v>
      </c>
      <c r="K2721" s="3" t="s">
        <v>10994</v>
      </c>
      <c r="L2721" s="3" t="s">
        <v>10995</v>
      </c>
      <c r="M2721" s="3" t="n">
        <v>813326</v>
      </c>
      <c r="N2721" s="3" t="s">
        <v>958</v>
      </c>
      <c r="O2721" s="1" t="n">
        <v>796940</v>
      </c>
      <c r="P2721" s="1" t="n">
        <v>97.99</v>
      </c>
      <c r="Q2721" s="1" t="s">
        <v>20</v>
      </c>
      <c r="R2721" s="1" t="s">
        <v>27</v>
      </c>
      <c r="S2721" s="1" t="s">
        <v>28</v>
      </c>
      <c r="T2721" s="1" t="s">
        <v>29</v>
      </c>
    </row>
    <row r="2722" customFormat="false" ht="18.7" hidden="false" customHeight="true" outlineLevel="0" collapsed="false">
      <c r="A2722" s="1" t="n">
        <v>2721</v>
      </c>
      <c r="B2722" s="6" t="str">
        <f aca="false">HYPERLINK("https://mncourtfraud.com/file/MCRO_27-CR-22-18789_Order-Evaluation for Competency to Proceed (Rule 20.01)_2022-12-29_20240429162252.pdf","MCRO_27-CR-22-18789_Order-Evaluation for Competency to Proceed (Rule 20.01)_2022-12-29_20240429162252.pdf")</f>
        <v>MCRO_27-CR-22-18789_Order-Evaluation for Competency to Proceed (Rule 20.01)_2022-12-29_20240429162252.pdf</v>
      </c>
      <c r="C2722" s="1" t="n">
        <v>5</v>
      </c>
      <c r="D2722" s="1" t="n">
        <v>4</v>
      </c>
      <c r="E2722" s="1" t="n">
        <v>4</v>
      </c>
      <c r="F2722" s="3" t="s">
        <v>20</v>
      </c>
      <c r="G2722" s="3" t="s">
        <v>10996</v>
      </c>
      <c r="H2722" s="1" t="s">
        <v>22</v>
      </c>
      <c r="I2722" s="1" t="n">
        <v>20240429162252</v>
      </c>
      <c r="J2722" s="3" t="s">
        <v>10997</v>
      </c>
      <c r="K2722" s="3" t="s">
        <v>10998</v>
      </c>
      <c r="L2722" s="3" t="s">
        <v>10999</v>
      </c>
      <c r="M2722" s="3" t="n">
        <v>275189</v>
      </c>
      <c r="N2722" s="3" t="s">
        <v>9552</v>
      </c>
      <c r="O2722" s="1" t="n">
        <v>258803</v>
      </c>
      <c r="P2722" s="1" t="n">
        <v>94.05</v>
      </c>
      <c r="Q2722" s="1" t="s">
        <v>20</v>
      </c>
      <c r="R2722" s="1" t="s">
        <v>27</v>
      </c>
      <c r="S2722" s="1" t="s">
        <v>28</v>
      </c>
      <c r="T2722" s="1" t="s">
        <v>29</v>
      </c>
    </row>
    <row r="2723" customFormat="false" ht="18.7" hidden="false" customHeight="true" outlineLevel="0" collapsed="false">
      <c r="A2723" s="1" t="n">
        <v>2722</v>
      </c>
      <c r="B2723" s="6" t="str">
        <f aca="false">HYPERLINK("https://mncourtfraud.com/file/MCRO_27-CR-22-18789_Order-Evaluation for Competency to Proceed (Rule 20.01)_2023-07-05_20240429162250.pdf","MCRO_27-CR-22-18789_Order-Evaluation for Competency to Proceed (Rule 20.01)_2023-07-05_20240429162250.pdf")</f>
        <v>MCRO_27-CR-22-18789_Order-Evaluation for Competency to Proceed (Rule 20.01)_2023-07-05_20240429162250.pdf</v>
      </c>
      <c r="C2723" s="1" t="n">
        <v>6</v>
      </c>
      <c r="D2723" s="1" t="n">
        <v>2</v>
      </c>
      <c r="E2723" s="1" t="n">
        <v>2</v>
      </c>
      <c r="F2723" s="3" t="s">
        <v>27</v>
      </c>
      <c r="G2723" s="3" t="s">
        <v>11000</v>
      </c>
      <c r="H2723" s="1" t="s">
        <v>22</v>
      </c>
      <c r="I2723" s="1" t="n">
        <v>20240429162250</v>
      </c>
      <c r="J2723" s="3" t="s">
        <v>11001</v>
      </c>
      <c r="K2723" s="3" t="s">
        <v>11002</v>
      </c>
      <c r="L2723" s="3" t="s">
        <v>11003</v>
      </c>
      <c r="M2723" s="3" t="n">
        <v>891255</v>
      </c>
      <c r="N2723" s="3" t="s">
        <v>810</v>
      </c>
      <c r="O2723" s="1" t="n">
        <v>874869</v>
      </c>
      <c r="P2723" s="1" t="n">
        <v>98.16</v>
      </c>
      <c r="Q2723" s="1" t="s">
        <v>20</v>
      </c>
      <c r="R2723" s="1" t="s">
        <v>27</v>
      </c>
      <c r="S2723" s="1" t="s">
        <v>28</v>
      </c>
      <c r="T2723" s="1" t="s">
        <v>29</v>
      </c>
    </row>
    <row r="2724" customFormat="false" ht="18.7" hidden="false" customHeight="true" outlineLevel="0" collapsed="false">
      <c r="A2724" s="1" t="n">
        <v>2723</v>
      </c>
      <c r="B2724" s="6" t="str">
        <f aca="false">HYPERLINK("https://mncourtfraud.com/file/MCRO_27-CR-22-18789_Order-Evaluation for Competency to Proceed (Rule 20.01)_2024-03-13_20240429162242.pdf","MCRO_27-CR-22-18789_Order-Evaluation for Competency to Proceed (Rule 20.01)_2024-03-13_20240429162242.pdf")</f>
        <v>MCRO_27-CR-22-18789_Order-Evaluation for Competency to Proceed (Rule 20.01)_2024-03-13_20240429162242.pdf</v>
      </c>
      <c r="C2724" s="1" t="n">
        <v>5</v>
      </c>
      <c r="D2724" s="1" t="n">
        <v>1</v>
      </c>
      <c r="E2724" s="1" t="n">
        <v>1</v>
      </c>
      <c r="F2724" s="3" t="s">
        <v>20</v>
      </c>
      <c r="G2724" s="3" t="s">
        <v>11004</v>
      </c>
      <c r="H2724" s="1" t="s">
        <v>22</v>
      </c>
      <c r="I2724" s="1" t="n">
        <v>20240429162242</v>
      </c>
      <c r="J2724" s="3" t="s">
        <v>11005</v>
      </c>
      <c r="K2724" s="3" t="s">
        <v>11006</v>
      </c>
      <c r="L2724" s="3" t="s">
        <v>11007</v>
      </c>
      <c r="M2724" s="3" t="n">
        <v>765073</v>
      </c>
      <c r="N2724" s="3" t="s">
        <v>1257</v>
      </c>
      <c r="O2724" s="1" t="n">
        <v>748687</v>
      </c>
      <c r="P2724" s="1" t="n">
        <v>97.86</v>
      </c>
      <c r="Q2724" s="1" t="s">
        <v>20</v>
      </c>
      <c r="R2724" s="1" t="s">
        <v>27</v>
      </c>
      <c r="S2724" s="1" t="s">
        <v>28</v>
      </c>
      <c r="T2724" s="1" t="s">
        <v>29</v>
      </c>
    </row>
    <row r="2725" customFormat="false" ht="18.7" hidden="false" customHeight="true" outlineLevel="0" collapsed="false">
      <c r="A2725" s="1" t="n">
        <v>2724</v>
      </c>
      <c r="B2725" s="6" t="str">
        <f aca="false">HYPERLINK("https://mncourtfraud.com/file/MCRO_27-CR-22-18859_E-filed Comp-Summons_2022-09-22_20240429162350.pdf","MCRO_27-CR-22-18859_E-filed Comp-Summons_2022-09-22_20240429162350.pdf")</f>
        <v>MCRO_27-CR-22-18859_E-filed Comp-Summons_2022-09-22_20240429162350.pdf</v>
      </c>
      <c r="C2725" s="1" t="n">
        <v>5</v>
      </c>
      <c r="D2725" s="1" t="n">
        <v>2</v>
      </c>
      <c r="E2725" s="1" t="n">
        <v>2</v>
      </c>
      <c r="F2725" s="3" t="s">
        <v>20</v>
      </c>
      <c r="G2725" s="3" t="s">
        <v>11008</v>
      </c>
      <c r="H2725" s="1" t="s">
        <v>22</v>
      </c>
      <c r="I2725" s="1" t="n">
        <v>20240429162350</v>
      </c>
      <c r="J2725" s="3" t="s">
        <v>11009</v>
      </c>
      <c r="K2725" s="3" t="s">
        <v>11010</v>
      </c>
      <c r="L2725" s="3" t="s">
        <v>11011</v>
      </c>
      <c r="M2725" s="3" t="n">
        <v>449778</v>
      </c>
      <c r="N2725" s="3" t="s">
        <v>4912</v>
      </c>
      <c r="O2725" s="1" t="n">
        <v>433392</v>
      </c>
      <c r="P2725" s="1" t="n">
        <v>96.36</v>
      </c>
      <c r="Q2725" s="1" t="s">
        <v>20</v>
      </c>
      <c r="R2725" s="1" t="s">
        <v>27</v>
      </c>
      <c r="S2725" s="1" t="s">
        <v>28</v>
      </c>
      <c r="T2725" s="1" t="s">
        <v>29</v>
      </c>
    </row>
    <row r="2726" customFormat="false" ht="18.7" hidden="false" customHeight="true" outlineLevel="0" collapsed="false">
      <c r="A2726" s="1" t="n">
        <v>2725</v>
      </c>
      <c r="B2726" s="6" t="str">
        <f aca="false">HYPERLINK("https://mncourtfraud.com/file/MCRO_27-CR-22-18859_Findings and Order_2022-11-30_20240429162343.pdf","MCRO_27-CR-22-18859_Findings and Order_2022-11-30_20240429162343.pdf")</f>
        <v>MCRO_27-CR-22-18859_Findings and Order_2022-11-30_20240429162343.pdf</v>
      </c>
      <c r="C2726" s="1" t="n">
        <v>6</v>
      </c>
      <c r="D2726" s="1" t="n">
        <v>1</v>
      </c>
      <c r="E2726" s="1" t="n">
        <v>1</v>
      </c>
      <c r="F2726" s="3" t="s">
        <v>20</v>
      </c>
      <c r="G2726" s="3" t="s">
        <v>11012</v>
      </c>
      <c r="H2726" s="1" t="s">
        <v>22</v>
      </c>
      <c r="I2726" s="1" t="n">
        <v>20240429162343</v>
      </c>
      <c r="J2726" s="3" t="s">
        <v>11013</v>
      </c>
      <c r="K2726" s="3" t="s">
        <v>11014</v>
      </c>
      <c r="L2726" s="3" t="s">
        <v>11015</v>
      </c>
      <c r="M2726" s="3" t="n">
        <v>256701</v>
      </c>
      <c r="N2726" s="3" t="s">
        <v>675</v>
      </c>
      <c r="O2726" s="1" t="n">
        <v>240315</v>
      </c>
      <c r="P2726" s="1" t="n">
        <v>93.62</v>
      </c>
      <c r="Q2726" s="1" t="s">
        <v>20</v>
      </c>
      <c r="R2726" s="1" t="s">
        <v>27</v>
      </c>
      <c r="S2726" s="1" t="s">
        <v>28</v>
      </c>
      <c r="T2726" s="1" t="s">
        <v>29</v>
      </c>
    </row>
    <row r="2727" customFormat="false" ht="18.7" hidden="false" customHeight="true" outlineLevel="0" collapsed="false">
      <c r="A2727" s="1" t="n">
        <v>2726</v>
      </c>
      <c r="B2727" s="6" t="str">
        <f aca="false">HYPERLINK("https://mncourtfraud.com/file/MCRO_27-CR-22-18859_Notice of Case Reassignment_2022-12-19_20240429162342.pdf","MCRO_27-CR-22-18859_Notice of Case Reassignment_2022-12-19_20240429162342.pdf")</f>
        <v>MCRO_27-CR-22-18859_Notice of Case Reassignment_2022-12-19_20240429162342.pdf</v>
      </c>
      <c r="C2727" s="1" t="n">
        <v>4</v>
      </c>
      <c r="D2727" s="1" t="n">
        <v>1</v>
      </c>
      <c r="E2727" s="1" t="n">
        <v>1</v>
      </c>
      <c r="F2727" s="3" t="s">
        <v>20</v>
      </c>
      <c r="G2727" s="3" t="s">
        <v>11016</v>
      </c>
      <c r="H2727" s="1" t="s">
        <v>22</v>
      </c>
      <c r="I2727" s="1" t="n">
        <v>20240429162342</v>
      </c>
      <c r="J2727" s="3" t="s">
        <v>11017</v>
      </c>
      <c r="K2727" s="3" t="s">
        <v>11018</v>
      </c>
      <c r="L2727" s="3" t="s">
        <v>11019</v>
      </c>
      <c r="M2727" s="3" t="n">
        <v>299949</v>
      </c>
      <c r="N2727" s="3" t="s">
        <v>158</v>
      </c>
      <c r="O2727" s="1" t="n">
        <v>283563</v>
      </c>
      <c r="P2727" s="1" t="n">
        <v>94.54</v>
      </c>
      <c r="Q2727" s="1" t="s">
        <v>20</v>
      </c>
      <c r="R2727" s="1" t="s">
        <v>27</v>
      </c>
      <c r="S2727" s="1" t="s">
        <v>28</v>
      </c>
      <c r="T2727" s="1" t="s">
        <v>29</v>
      </c>
    </row>
    <row r="2728" customFormat="false" ht="18.7" hidden="false" customHeight="true" outlineLevel="0" collapsed="false">
      <c r="A2728" s="1" t="n">
        <v>2727</v>
      </c>
      <c r="B2728" s="6" t="str">
        <f aca="false">HYPERLINK("https://mncourtfraud.com/file/MCRO_27-CR-22-18859_Notice of Case Reassignment_2023-06-16_20240429162341.pdf","MCRO_27-CR-22-18859_Notice of Case Reassignment_2023-06-16_20240429162341.pdf")</f>
        <v>MCRO_27-CR-22-18859_Notice of Case Reassignment_2023-06-16_20240429162341.pdf</v>
      </c>
      <c r="C2728" s="1" t="n">
        <v>3</v>
      </c>
      <c r="D2728" s="1" t="n">
        <v>1</v>
      </c>
      <c r="E2728" s="1" t="n">
        <v>1</v>
      </c>
      <c r="F2728" s="3" t="s">
        <v>20</v>
      </c>
      <c r="G2728" s="3" t="s">
        <v>11020</v>
      </c>
      <c r="H2728" s="1" t="s">
        <v>22</v>
      </c>
      <c r="I2728" s="1" t="n">
        <v>20240429162341</v>
      </c>
      <c r="J2728" s="3" t="s">
        <v>11021</v>
      </c>
      <c r="K2728" s="3" t="s">
        <v>11022</v>
      </c>
      <c r="L2728" s="3" t="s">
        <v>11023</v>
      </c>
      <c r="M2728" s="3" t="n">
        <v>113627</v>
      </c>
      <c r="N2728" s="3" t="s">
        <v>128</v>
      </c>
      <c r="O2728" s="1" t="n">
        <v>97241</v>
      </c>
      <c r="P2728" s="1" t="n">
        <v>85.58</v>
      </c>
      <c r="Q2728" s="1" t="s">
        <v>20</v>
      </c>
      <c r="R2728" s="1" t="s">
        <v>27</v>
      </c>
      <c r="S2728" s="1" t="s">
        <v>28</v>
      </c>
      <c r="T2728" s="1" t="s">
        <v>29</v>
      </c>
    </row>
    <row r="2729" customFormat="false" ht="18.7" hidden="false" customHeight="true" outlineLevel="0" collapsed="false">
      <c r="A2729" s="1" t="n">
        <v>2728</v>
      </c>
      <c r="B2729" s="6" t="str">
        <f aca="false">HYPERLINK("https://mncourtfraud.com/file/MCRO_27-CR-22-18859_Notice of Hearing_2024-01-08_20240429162329.pdf","MCRO_27-CR-22-18859_Notice of Hearing_2024-01-08_20240429162329.pdf")</f>
        <v>MCRO_27-CR-22-18859_Notice of Hearing_2024-01-08_20240429162329.pdf</v>
      </c>
      <c r="C2729" s="1" t="n">
        <v>4</v>
      </c>
      <c r="D2729" s="1" t="n">
        <v>1</v>
      </c>
      <c r="E2729" s="1" t="n">
        <v>1</v>
      </c>
      <c r="F2729" s="3" t="s">
        <v>20</v>
      </c>
      <c r="G2729" s="3" t="s">
        <v>11024</v>
      </c>
      <c r="H2729" s="1" t="s">
        <v>22</v>
      </c>
      <c r="I2729" s="1" t="n">
        <v>20240429162329</v>
      </c>
      <c r="J2729" s="3" t="s">
        <v>11025</v>
      </c>
      <c r="K2729" s="3" t="s">
        <v>11026</v>
      </c>
      <c r="L2729" s="3" t="s">
        <v>11027</v>
      </c>
      <c r="M2729" s="3" t="n">
        <v>91092</v>
      </c>
      <c r="N2729" s="3" t="s">
        <v>3269</v>
      </c>
      <c r="O2729" s="1" t="n">
        <v>74706</v>
      </c>
      <c r="P2729" s="1" t="n">
        <v>82.01</v>
      </c>
      <c r="Q2729" s="1" t="s">
        <v>20</v>
      </c>
      <c r="R2729" s="1" t="s">
        <v>27</v>
      </c>
      <c r="S2729" s="1" t="s">
        <v>28</v>
      </c>
      <c r="T2729" s="1" t="s">
        <v>29</v>
      </c>
    </row>
    <row r="2730" customFormat="false" ht="18.7" hidden="false" customHeight="true" outlineLevel="0" collapsed="false">
      <c r="A2730" s="1" t="n">
        <v>2729</v>
      </c>
      <c r="B2730" s="6" t="str">
        <f aca="false">HYPERLINK("https://mncourtfraud.com/file/MCRO_27-CR-22-18859_Notice of Remote Hearing with Instructions_2022-10-24_20240429162345.pdf","MCRO_27-CR-22-18859_Notice of Remote Hearing with Instructions_2022-10-24_20240429162345.pdf")</f>
        <v>MCRO_27-CR-22-18859_Notice of Remote Hearing with Instructions_2022-10-24_20240429162345.pdf</v>
      </c>
      <c r="C2730" s="1" t="n">
        <v>4</v>
      </c>
      <c r="D2730" s="1" t="n">
        <v>1</v>
      </c>
      <c r="E2730" s="1" t="n">
        <v>1</v>
      </c>
      <c r="F2730" s="3" t="s">
        <v>20</v>
      </c>
      <c r="G2730" s="3" t="s">
        <v>11028</v>
      </c>
      <c r="H2730" s="1" t="s">
        <v>22</v>
      </c>
      <c r="I2730" s="1" t="n">
        <v>20240429162345</v>
      </c>
      <c r="J2730" s="3" t="s">
        <v>11029</v>
      </c>
      <c r="K2730" s="3" t="s">
        <v>11030</v>
      </c>
      <c r="L2730" s="3" t="s">
        <v>11031</v>
      </c>
      <c r="M2730" s="3" t="n">
        <v>161801</v>
      </c>
      <c r="N2730" s="3" t="s">
        <v>347</v>
      </c>
      <c r="O2730" s="1" t="n">
        <v>145415</v>
      </c>
      <c r="P2730" s="1" t="n">
        <v>89.87</v>
      </c>
      <c r="Q2730" s="1" t="s">
        <v>20</v>
      </c>
      <c r="R2730" s="1" t="s">
        <v>27</v>
      </c>
      <c r="S2730" s="1" t="s">
        <v>28</v>
      </c>
      <c r="T2730" s="1" t="s">
        <v>29</v>
      </c>
    </row>
    <row r="2731" customFormat="false" ht="18.7" hidden="false" customHeight="true" outlineLevel="0" collapsed="false">
      <c r="A2731" s="1" t="n">
        <v>2730</v>
      </c>
      <c r="B2731" s="6" t="str">
        <f aca="false">HYPERLINK("https://mncourtfraud.com/file/MCRO_27-CR-22-18859_Notice of Remote Hearing with Instructions_2023-12-01_20240429162337.pdf","MCRO_27-CR-22-18859_Notice of Remote Hearing with Instructions_2023-12-01_20240429162337.pdf")</f>
        <v>MCRO_27-CR-22-18859_Notice of Remote Hearing with Instructions_2023-12-01_20240429162337.pdf</v>
      </c>
      <c r="C2731" s="1" t="n">
        <v>4</v>
      </c>
      <c r="D2731" s="1" t="n">
        <v>1</v>
      </c>
      <c r="E2731" s="1" t="n">
        <v>1</v>
      </c>
      <c r="F2731" s="3" t="s">
        <v>20</v>
      </c>
      <c r="G2731" s="3" t="s">
        <v>11032</v>
      </c>
      <c r="H2731" s="1" t="s">
        <v>22</v>
      </c>
      <c r="I2731" s="1" t="n">
        <v>20240429162337</v>
      </c>
      <c r="J2731" s="3" t="s">
        <v>11033</v>
      </c>
      <c r="K2731" s="3" t="s">
        <v>11034</v>
      </c>
      <c r="L2731" s="3" t="s">
        <v>11035</v>
      </c>
      <c r="M2731" s="3" t="n">
        <v>135329</v>
      </c>
      <c r="N2731" s="3" t="s">
        <v>1159</v>
      </c>
      <c r="O2731" s="1" t="n">
        <v>118943</v>
      </c>
      <c r="P2731" s="1" t="n">
        <v>87.89</v>
      </c>
      <c r="Q2731" s="1" t="s">
        <v>20</v>
      </c>
      <c r="R2731" s="1" t="s">
        <v>27</v>
      </c>
      <c r="S2731" s="1" t="s">
        <v>28</v>
      </c>
      <c r="T2731" s="1" t="s">
        <v>29</v>
      </c>
    </row>
    <row r="2732" customFormat="false" ht="18.7" hidden="false" customHeight="true" outlineLevel="0" collapsed="false">
      <c r="A2732" s="1" t="n">
        <v>2731</v>
      </c>
      <c r="B2732" s="6" t="str">
        <f aca="false">HYPERLINK("https://mncourtfraud.com/file/MCRO_27-CR-22-18859_Notice of Remote Hearing with Instructions_2023-12-05_20240429162336.pdf","MCRO_27-CR-22-18859_Notice of Remote Hearing with Instructions_2023-12-05_20240429162336.pdf")</f>
        <v>MCRO_27-CR-22-18859_Notice of Remote Hearing with Instructions_2023-12-05_20240429162336.pdf</v>
      </c>
      <c r="C2732" s="1" t="n">
        <v>5</v>
      </c>
      <c r="D2732" s="1" t="n">
        <v>1</v>
      </c>
      <c r="E2732" s="1" t="n">
        <v>1</v>
      </c>
      <c r="F2732" s="3" t="s">
        <v>20</v>
      </c>
      <c r="G2732" s="3" t="s">
        <v>11036</v>
      </c>
      <c r="H2732" s="1" t="s">
        <v>22</v>
      </c>
      <c r="I2732" s="1" t="n">
        <v>20240429162336</v>
      </c>
      <c r="J2732" s="3" t="s">
        <v>11037</v>
      </c>
      <c r="K2732" s="3" t="s">
        <v>11038</v>
      </c>
      <c r="L2732" s="3" t="s">
        <v>11039</v>
      </c>
      <c r="M2732" s="3" t="n">
        <v>844525</v>
      </c>
      <c r="N2732" s="3" t="s">
        <v>3164</v>
      </c>
      <c r="O2732" s="1" t="n">
        <v>828139</v>
      </c>
      <c r="P2732" s="1" t="n">
        <v>98.06</v>
      </c>
      <c r="Q2732" s="1" t="s">
        <v>20</v>
      </c>
      <c r="R2732" s="1" t="s">
        <v>27</v>
      </c>
      <c r="S2732" s="1" t="s">
        <v>28</v>
      </c>
      <c r="T2732" s="1" t="s">
        <v>29</v>
      </c>
    </row>
    <row r="2733" customFormat="false" ht="18.7" hidden="false" customHeight="true" outlineLevel="0" collapsed="false">
      <c r="A2733" s="1" t="n">
        <v>2732</v>
      </c>
      <c r="B2733" s="6" t="str">
        <f aca="false">HYPERLINK("https://mncourtfraud.com/file/MCRO_27-CR-22-18859_Notice of Remote Hearing with Instructions_2024-01-22_20240429162327.pdf","MCRO_27-CR-22-18859_Notice of Remote Hearing with Instructions_2024-01-22_20240429162327.pdf")</f>
        <v>MCRO_27-CR-22-18859_Notice of Remote Hearing with Instructions_2024-01-22_20240429162327.pdf</v>
      </c>
      <c r="C2733" s="1" t="n">
        <v>4</v>
      </c>
      <c r="D2733" s="1" t="n">
        <v>1</v>
      </c>
      <c r="E2733" s="1" t="n">
        <v>1</v>
      </c>
      <c r="F2733" s="3" t="s">
        <v>20</v>
      </c>
      <c r="G2733" s="3" t="s">
        <v>11040</v>
      </c>
      <c r="H2733" s="1" t="s">
        <v>22</v>
      </c>
      <c r="I2733" s="1" t="n">
        <v>20240429162327</v>
      </c>
      <c r="J2733" s="3" t="s">
        <v>11041</v>
      </c>
      <c r="K2733" s="3" t="s">
        <v>11042</v>
      </c>
      <c r="L2733" s="3" t="s">
        <v>11043</v>
      </c>
      <c r="M2733" s="3" t="n">
        <v>269583</v>
      </c>
      <c r="N2733" s="3" t="s">
        <v>74</v>
      </c>
      <c r="O2733" s="1" t="n">
        <v>253197</v>
      </c>
      <c r="P2733" s="1" t="n">
        <v>93.92</v>
      </c>
      <c r="Q2733" s="1" t="s">
        <v>20</v>
      </c>
      <c r="R2733" s="1" t="s">
        <v>27</v>
      </c>
      <c r="S2733" s="1" t="s">
        <v>28</v>
      </c>
      <c r="T2733" s="1" t="s">
        <v>29</v>
      </c>
    </row>
    <row r="2734" customFormat="false" ht="18.7" hidden="false" customHeight="true" outlineLevel="0" collapsed="false">
      <c r="A2734" s="1" t="n">
        <v>2733</v>
      </c>
      <c r="B2734" s="6" t="str">
        <f aca="false">HYPERLINK("https://mncourtfraud.com/file/MCRO_27-CR-22-18859_Order-Evaluation for Competency to Proceed (Rule 20.01)_2023-09-18_20240429162338.pdf","MCRO_27-CR-22-18859_Order-Evaluation for Competency to Proceed (Rule 20.01)_2023-09-18_20240429162338.pdf")</f>
        <v>MCRO_27-CR-22-18859_Order-Evaluation for Competency to Proceed (Rule 20.01)_2023-09-18_20240429162338.pdf</v>
      </c>
      <c r="C2734" s="1" t="n">
        <v>6</v>
      </c>
      <c r="D2734" s="1" t="n">
        <v>2</v>
      </c>
      <c r="E2734" s="1" t="n">
        <v>2</v>
      </c>
      <c r="F2734" s="3" t="s">
        <v>27</v>
      </c>
      <c r="G2734" s="3" t="s">
        <v>11044</v>
      </c>
      <c r="H2734" s="1" t="s">
        <v>22</v>
      </c>
      <c r="I2734" s="1" t="n">
        <v>20240429162338</v>
      </c>
      <c r="J2734" s="3" t="s">
        <v>11045</v>
      </c>
      <c r="K2734" s="3" t="s">
        <v>11046</v>
      </c>
      <c r="L2734" s="3" t="s">
        <v>11047</v>
      </c>
      <c r="M2734" s="3" t="n">
        <v>863475</v>
      </c>
      <c r="N2734" s="3" t="s">
        <v>554</v>
      </c>
      <c r="O2734" s="1" t="n">
        <v>847089</v>
      </c>
      <c r="P2734" s="1" t="n">
        <v>98.1</v>
      </c>
      <c r="Q2734" s="1" t="s">
        <v>20</v>
      </c>
      <c r="R2734" s="1" t="s">
        <v>27</v>
      </c>
      <c r="S2734" s="1" t="s">
        <v>28</v>
      </c>
      <c r="T2734" s="1" t="s">
        <v>29</v>
      </c>
    </row>
    <row r="2735" customFormat="false" ht="18.7" hidden="false" customHeight="true" outlineLevel="0" collapsed="false">
      <c r="A2735" s="1" t="n">
        <v>2734</v>
      </c>
      <c r="B2735" s="6" t="str">
        <f aca="false">HYPERLINK("https://mncourtfraud.com/file/MCRO_27-CR-22-18859_Order-Evaluation for Competency to Proceed (Rule 20.01)_2023-12-06_20240429162335.pdf","MCRO_27-CR-22-18859_Order-Evaluation for Competency to Proceed (Rule 20.01)_2023-12-06_20240429162335.pdf")</f>
        <v>MCRO_27-CR-22-18859_Order-Evaluation for Competency to Proceed (Rule 20.01)_2023-12-06_20240429162335.pdf</v>
      </c>
      <c r="C2735" s="1" t="n">
        <v>9</v>
      </c>
      <c r="D2735" s="1" t="n">
        <v>3</v>
      </c>
      <c r="E2735" s="1" t="n">
        <v>3</v>
      </c>
      <c r="F2735" s="3" t="s">
        <v>20</v>
      </c>
      <c r="G2735" s="3" t="s">
        <v>11048</v>
      </c>
      <c r="H2735" s="1" t="s">
        <v>22</v>
      </c>
      <c r="I2735" s="1" t="n">
        <v>20240429162335</v>
      </c>
      <c r="J2735" s="3" t="s">
        <v>11049</v>
      </c>
      <c r="K2735" s="3" t="s">
        <v>11050</v>
      </c>
      <c r="L2735" s="3" t="s">
        <v>11051</v>
      </c>
      <c r="M2735" s="3" t="n">
        <v>926702</v>
      </c>
      <c r="N2735" s="3" t="s">
        <v>4934</v>
      </c>
      <c r="O2735" s="1" t="n">
        <v>910316</v>
      </c>
      <c r="P2735" s="1" t="n">
        <v>98.23</v>
      </c>
      <c r="Q2735" s="1" t="s">
        <v>20</v>
      </c>
      <c r="R2735" s="1" t="s">
        <v>27</v>
      </c>
      <c r="S2735" s="1" t="s">
        <v>28</v>
      </c>
      <c r="T2735" s="1" t="s">
        <v>29</v>
      </c>
    </row>
    <row r="2736" customFormat="false" ht="18.7" hidden="false" customHeight="true" outlineLevel="0" collapsed="false">
      <c r="A2736" s="1" t="n">
        <v>2735</v>
      </c>
      <c r="B2736" s="6" t="str">
        <f aca="false">HYPERLINK("https://mncourtfraud.com/file/MCRO_27-CR-22-18859_Order-Evaluation for Competency to Proceed (Rule 20.01)_2023-12-18_20240429162331.pdf","MCRO_27-CR-22-18859_Order-Evaluation for Competency to Proceed (Rule 20.01)_2023-12-18_20240429162331.pdf")</f>
        <v>MCRO_27-CR-22-18859_Order-Evaluation for Competency to Proceed (Rule 20.01)_2023-12-18_20240429162331.pdf</v>
      </c>
      <c r="C2736" s="1" t="n">
        <v>4</v>
      </c>
      <c r="D2736" s="1" t="n">
        <v>1</v>
      </c>
      <c r="E2736" s="1" t="n">
        <v>1</v>
      </c>
      <c r="F2736" s="3" t="s">
        <v>20</v>
      </c>
      <c r="G2736" s="3" t="s">
        <v>11052</v>
      </c>
      <c r="H2736" s="1" t="s">
        <v>22</v>
      </c>
      <c r="I2736" s="1" t="n">
        <v>20240429162331</v>
      </c>
      <c r="J2736" s="3" t="s">
        <v>11053</v>
      </c>
      <c r="K2736" s="3" t="s">
        <v>11054</v>
      </c>
      <c r="L2736" s="3" t="s">
        <v>11055</v>
      </c>
      <c r="M2736" s="3" t="n">
        <v>137335</v>
      </c>
      <c r="N2736" s="3" t="s">
        <v>1159</v>
      </c>
      <c r="O2736" s="1" t="n">
        <v>120949</v>
      </c>
      <c r="P2736" s="1" t="n">
        <v>88.07</v>
      </c>
      <c r="Q2736" s="1" t="s">
        <v>20</v>
      </c>
      <c r="R2736" s="1" t="s">
        <v>27</v>
      </c>
      <c r="S2736" s="1" t="s">
        <v>28</v>
      </c>
      <c r="T2736" s="1" t="s">
        <v>29</v>
      </c>
    </row>
    <row r="2737" customFormat="false" ht="18.7" hidden="false" customHeight="true" outlineLevel="0" collapsed="false">
      <c r="A2737" s="1" t="n">
        <v>2736</v>
      </c>
      <c r="B2737" s="6" t="str">
        <f aca="false">HYPERLINK("https://mncourtfraud.com/file/MCRO_27-CR-22-18859_Order-Evaluation for Competency to Proceed (Rule 20.01)_2023-12-28_20240429162330.pdf","MCRO_27-CR-22-18859_Order-Evaluation for Competency to Proceed (Rule 20.01)_2023-12-28_20240429162330.pdf")</f>
        <v>MCRO_27-CR-22-18859_Order-Evaluation for Competency to Proceed (Rule 20.01)_2023-12-28_20240429162330.pdf</v>
      </c>
      <c r="C2737" s="1" t="n">
        <v>5</v>
      </c>
      <c r="D2737" s="1" t="n">
        <v>2</v>
      </c>
      <c r="E2737" s="1" t="n">
        <v>2</v>
      </c>
      <c r="F2737" s="3" t="s">
        <v>27</v>
      </c>
      <c r="G2737" s="3" t="s">
        <v>11056</v>
      </c>
      <c r="H2737" s="1" t="s">
        <v>22</v>
      </c>
      <c r="I2737" s="1" t="n">
        <v>20240429162330</v>
      </c>
      <c r="J2737" s="3" t="s">
        <v>11057</v>
      </c>
      <c r="K2737" s="3" t="s">
        <v>11058</v>
      </c>
      <c r="L2737" s="3" t="s">
        <v>11059</v>
      </c>
      <c r="M2737" s="3" t="n">
        <v>309147</v>
      </c>
      <c r="N2737" s="3" t="s">
        <v>34</v>
      </c>
      <c r="O2737" s="1" t="n">
        <v>292761</v>
      </c>
      <c r="P2737" s="1" t="n">
        <v>94.7</v>
      </c>
      <c r="Q2737" s="1" t="s">
        <v>20</v>
      </c>
      <c r="R2737" s="1" t="s">
        <v>27</v>
      </c>
      <c r="S2737" s="1" t="s">
        <v>28</v>
      </c>
      <c r="T2737" s="1" t="s">
        <v>29</v>
      </c>
    </row>
    <row r="2738" customFormat="false" ht="18.7" hidden="false" customHeight="true" outlineLevel="0" collapsed="false">
      <c r="A2738" s="1" t="n">
        <v>2737</v>
      </c>
      <c r="B2738" s="6" t="str">
        <f aca="false">HYPERLINK("https://mncourtfraud.com/file/MCRO_27-CR-22-18859_Order for Conditional Release_2022-10-24_20240429162346.pdf","MCRO_27-CR-22-18859_Order for Conditional Release_2022-10-24_20240429162346.pdf")</f>
        <v>MCRO_27-CR-22-18859_Order for Conditional Release_2022-10-24_20240429162346.pdf</v>
      </c>
      <c r="C2738" s="1" t="n">
        <v>4</v>
      </c>
      <c r="D2738" s="1" t="n">
        <v>1</v>
      </c>
      <c r="E2738" s="1" t="n">
        <v>1</v>
      </c>
      <c r="F2738" s="3" t="s">
        <v>20</v>
      </c>
      <c r="G2738" s="3" t="s">
        <v>11060</v>
      </c>
      <c r="H2738" s="1" t="s">
        <v>22</v>
      </c>
      <c r="I2738" s="1" t="n">
        <v>20240429162346</v>
      </c>
      <c r="J2738" s="3" t="s">
        <v>11061</v>
      </c>
      <c r="K2738" s="3" t="s">
        <v>11062</v>
      </c>
      <c r="L2738" s="3" t="s">
        <v>11063</v>
      </c>
      <c r="M2738" s="3" t="n">
        <v>142596</v>
      </c>
      <c r="N2738" s="3" t="s">
        <v>777</v>
      </c>
      <c r="O2738" s="1" t="n">
        <v>126210</v>
      </c>
      <c r="P2738" s="1" t="n">
        <v>88.51</v>
      </c>
      <c r="Q2738" s="1" t="s">
        <v>20</v>
      </c>
      <c r="R2738" s="1" t="s">
        <v>27</v>
      </c>
      <c r="S2738" s="1" t="s">
        <v>28</v>
      </c>
      <c r="T2738" s="1" t="s">
        <v>29</v>
      </c>
    </row>
    <row r="2739" customFormat="false" ht="18.7" hidden="false" customHeight="true" outlineLevel="0" collapsed="false">
      <c r="A2739" s="1" t="n">
        <v>2738</v>
      </c>
      <c r="B2739" s="6" t="str">
        <f aca="false">HYPERLINK("https://mncourtfraud.com/file/MCRO_27-CR-22-18859_Order for Conditional Release_2022-10-25_20240429162344.pdf","MCRO_27-CR-22-18859_Order for Conditional Release_2022-10-25_20240429162344.pdf")</f>
        <v>MCRO_27-CR-22-18859_Order for Conditional Release_2022-10-25_20240429162344.pdf</v>
      </c>
      <c r="C2739" s="1" t="n">
        <v>4</v>
      </c>
      <c r="D2739" s="1" t="n">
        <v>1</v>
      </c>
      <c r="E2739" s="1" t="n">
        <v>1</v>
      </c>
      <c r="F2739" s="3" t="s">
        <v>20</v>
      </c>
      <c r="G2739" s="3" t="s">
        <v>11064</v>
      </c>
      <c r="H2739" s="1" t="s">
        <v>22</v>
      </c>
      <c r="I2739" s="1" t="n">
        <v>20240429162344</v>
      </c>
      <c r="J2739" s="3" t="s">
        <v>11065</v>
      </c>
      <c r="K2739" s="3" t="s">
        <v>11066</v>
      </c>
      <c r="L2739" s="3" t="s">
        <v>11067</v>
      </c>
      <c r="M2739" s="3" t="n">
        <v>152731</v>
      </c>
      <c r="N2739" s="3" t="s">
        <v>158</v>
      </c>
      <c r="O2739" s="1" t="n">
        <v>136345</v>
      </c>
      <c r="P2739" s="1" t="n">
        <v>89.27</v>
      </c>
      <c r="Q2739" s="1" t="s">
        <v>20</v>
      </c>
      <c r="R2739" s="1" t="s">
        <v>27</v>
      </c>
      <c r="S2739" s="1" t="s">
        <v>28</v>
      </c>
      <c r="T2739" s="1" t="s">
        <v>29</v>
      </c>
    </row>
    <row r="2740" customFormat="false" ht="18.7" hidden="false" customHeight="true" outlineLevel="0" collapsed="false">
      <c r="A2740" s="1" t="n">
        <v>2739</v>
      </c>
      <c r="B2740" s="6" t="str">
        <f aca="false">HYPERLINK("https://mncourtfraud.com/file/MCRO_27-CR-22-18859_Order for Conditional Release_2023-12-18_20240429162333.pdf","MCRO_27-CR-22-18859_Order for Conditional Release_2023-12-18_20240429162333.pdf")</f>
        <v>MCRO_27-CR-22-18859_Order for Conditional Release_2023-12-18_20240429162333.pdf</v>
      </c>
      <c r="C2740" s="1" t="n">
        <v>4</v>
      </c>
      <c r="D2740" s="1" t="n">
        <v>1</v>
      </c>
      <c r="E2740" s="1" t="n">
        <v>1</v>
      </c>
      <c r="F2740" s="3" t="s">
        <v>20</v>
      </c>
      <c r="G2740" s="3" t="s">
        <v>11068</v>
      </c>
      <c r="H2740" s="1" t="s">
        <v>22</v>
      </c>
      <c r="I2740" s="1" t="n">
        <v>20240429162333</v>
      </c>
      <c r="J2740" s="3" t="s">
        <v>11069</v>
      </c>
      <c r="K2740" s="3" t="s">
        <v>11070</v>
      </c>
      <c r="L2740" s="3" t="s">
        <v>11071</v>
      </c>
      <c r="M2740" s="3" t="n">
        <v>112299</v>
      </c>
      <c r="N2740" s="3" t="s">
        <v>435</v>
      </c>
      <c r="O2740" s="1" t="n">
        <v>95913</v>
      </c>
      <c r="P2740" s="1" t="n">
        <v>85.41</v>
      </c>
      <c r="Q2740" s="1" t="s">
        <v>20</v>
      </c>
      <c r="R2740" s="1" t="s">
        <v>27</v>
      </c>
      <c r="S2740" s="1" t="s">
        <v>28</v>
      </c>
      <c r="T2740" s="1" t="s">
        <v>29</v>
      </c>
    </row>
    <row r="2741" customFormat="false" ht="18.7" hidden="false" customHeight="true" outlineLevel="0" collapsed="false">
      <c r="A2741" s="1" t="n">
        <v>2740</v>
      </c>
      <c r="B2741" s="6" t="str">
        <f aca="false">HYPERLINK("https://mncourtfraud.com/file/MCRO_27-CR-22-18859_Order-Other_2023-07-18_20240429162339.pdf","MCRO_27-CR-22-18859_Order-Other_2023-07-18_20240429162339.pdf")</f>
        <v>MCRO_27-CR-22-18859_Order-Other_2023-07-18_20240429162339.pdf</v>
      </c>
      <c r="C2741" s="1" t="n">
        <v>7</v>
      </c>
      <c r="D2741" s="1" t="n">
        <v>5</v>
      </c>
      <c r="E2741" s="1" t="n">
        <v>5</v>
      </c>
      <c r="F2741" s="3" t="s">
        <v>20</v>
      </c>
      <c r="G2741" s="3" t="s">
        <v>11072</v>
      </c>
      <c r="H2741" s="1" t="s">
        <v>22</v>
      </c>
      <c r="I2741" s="1" t="n">
        <v>20240429162339</v>
      </c>
      <c r="J2741" s="3" t="s">
        <v>11073</v>
      </c>
      <c r="K2741" s="3" t="s">
        <v>11074</v>
      </c>
      <c r="L2741" s="3" t="s">
        <v>11075</v>
      </c>
      <c r="M2741" s="3" t="n">
        <v>339695</v>
      </c>
      <c r="N2741" s="3" t="s">
        <v>1316</v>
      </c>
      <c r="O2741" s="1" t="n">
        <v>323309</v>
      </c>
      <c r="P2741" s="1" t="n">
        <v>95.18</v>
      </c>
      <c r="Q2741" s="1" t="s">
        <v>20</v>
      </c>
      <c r="R2741" s="1" t="s">
        <v>27</v>
      </c>
      <c r="S2741" s="1" t="s">
        <v>28</v>
      </c>
      <c r="T2741" s="1" t="s">
        <v>29</v>
      </c>
    </row>
    <row r="2742" customFormat="false" ht="18.7" hidden="false" customHeight="true" outlineLevel="0" collapsed="false">
      <c r="A2742" s="1" t="n">
        <v>2741</v>
      </c>
      <c r="B2742" s="6" t="str">
        <f aca="false">HYPERLINK("https://mncourtfraud.com/file/MCRO_27-CR-22-18859_Proposed Order or Document_2023-07-17_20240429162340.pdf","MCRO_27-CR-22-18859_Proposed Order or Document_2023-07-17_20240429162340.pdf")</f>
        <v>MCRO_27-CR-22-18859_Proposed Order or Document_2023-07-17_20240429162340.pdf</v>
      </c>
      <c r="C2742" s="1" t="n">
        <v>3</v>
      </c>
      <c r="D2742" s="1" t="n">
        <v>1</v>
      </c>
      <c r="E2742" s="1" t="n">
        <v>1</v>
      </c>
      <c r="F2742" s="3" t="s">
        <v>20</v>
      </c>
      <c r="G2742" s="3" t="s">
        <v>11076</v>
      </c>
      <c r="H2742" s="1" t="s">
        <v>22</v>
      </c>
      <c r="I2742" s="1" t="n">
        <v>20240429162340</v>
      </c>
      <c r="J2742" s="3" t="s">
        <v>11077</v>
      </c>
      <c r="K2742" s="3" t="s">
        <v>11078</v>
      </c>
      <c r="L2742" s="3" t="s">
        <v>11079</v>
      </c>
      <c r="M2742" s="3" t="n">
        <v>178872</v>
      </c>
      <c r="N2742" s="3" t="s">
        <v>1115</v>
      </c>
      <c r="O2742" s="1" t="n">
        <v>162486</v>
      </c>
      <c r="P2742" s="1" t="n">
        <v>90.84</v>
      </c>
      <c r="Q2742" s="1" t="s">
        <v>20</v>
      </c>
      <c r="R2742" s="1" t="s">
        <v>27</v>
      </c>
      <c r="S2742" s="1" t="s">
        <v>28</v>
      </c>
      <c r="T2742" s="1" t="s">
        <v>29</v>
      </c>
    </row>
    <row r="2743" customFormat="false" ht="18.7" hidden="false" customHeight="true" outlineLevel="0" collapsed="false">
      <c r="A2743" s="1" t="n">
        <v>2742</v>
      </c>
      <c r="B2743" s="6" t="str">
        <f aca="false">HYPERLINK("https://mncourtfraud.com/file/MCRO_27-CR-22-18859_Returned Mail_2023-12-15_20240429162334.pdf","MCRO_27-CR-22-18859_Returned Mail_2023-12-15_20240429162334.pdf")</f>
        <v>MCRO_27-CR-22-18859_Returned Mail_2023-12-15_20240429162334.pdf</v>
      </c>
      <c r="C2743" s="1" t="n">
        <v>4</v>
      </c>
      <c r="D2743" s="1" t="n">
        <v>1</v>
      </c>
      <c r="E2743" s="1" t="n">
        <v>1</v>
      </c>
      <c r="F2743" s="3" t="s">
        <v>20</v>
      </c>
      <c r="G2743" s="3" t="s">
        <v>11080</v>
      </c>
      <c r="H2743" s="1" t="s">
        <v>22</v>
      </c>
      <c r="I2743" s="1" t="n">
        <v>20240429162334</v>
      </c>
      <c r="J2743" s="3" t="s">
        <v>11081</v>
      </c>
      <c r="K2743" s="3" t="s">
        <v>11082</v>
      </c>
      <c r="L2743" s="3" t="s">
        <v>11083</v>
      </c>
      <c r="M2743" s="3" t="n">
        <v>1028435</v>
      </c>
      <c r="N2743" s="3" t="s">
        <v>1128</v>
      </c>
      <c r="O2743" s="1" t="n">
        <v>1012049</v>
      </c>
      <c r="P2743" s="1" t="n">
        <v>98.41</v>
      </c>
      <c r="Q2743" s="1" t="s">
        <v>20</v>
      </c>
      <c r="R2743" s="1" t="s">
        <v>27</v>
      </c>
      <c r="S2743" s="1" t="s">
        <v>28</v>
      </c>
      <c r="T2743" s="1" t="s">
        <v>29</v>
      </c>
    </row>
    <row r="2744" customFormat="false" ht="18.7" hidden="false" customHeight="true" outlineLevel="0" collapsed="false">
      <c r="A2744" s="1" t="n">
        <v>2743</v>
      </c>
      <c r="B2744" s="6" t="str">
        <f aca="false">HYPERLINK("https://mncourtfraud.com/file/MCRO_27-CR-22-18859_Returned Mail_2024-01-17_20240429162328.pdf","MCRO_27-CR-22-18859_Returned Mail_2024-01-17_20240429162328.pdf")</f>
        <v>MCRO_27-CR-22-18859_Returned Mail_2024-01-17_20240429162328.pdf</v>
      </c>
      <c r="C2744" s="1" t="n">
        <v>4</v>
      </c>
      <c r="D2744" s="1" t="n">
        <v>1</v>
      </c>
      <c r="E2744" s="1" t="n">
        <v>1</v>
      </c>
      <c r="F2744" s="3" t="s">
        <v>20</v>
      </c>
      <c r="G2744" s="3" t="s">
        <v>11084</v>
      </c>
      <c r="H2744" s="1" t="s">
        <v>22</v>
      </c>
      <c r="I2744" s="1" t="n">
        <v>20240429162328</v>
      </c>
      <c r="J2744" s="3" t="s">
        <v>11085</v>
      </c>
      <c r="K2744" s="3" t="s">
        <v>11086</v>
      </c>
      <c r="L2744" s="3" t="s">
        <v>11087</v>
      </c>
      <c r="M2744" s="3" t="n">
        <v>271744</v>
      </c>
      <c r="N2744" s="3" t="s">
        <v>158</v>
      </c>
      <c r="O2744" s="1" t="n">
        <v>255358</v>
      </c>
      <c r="P2744" s="1" t="n">
        <v>93.97</v>
      </c>
      <c r="Q2744" s="1" t="s">
        <v>20</v>
      </c>
      <c r="R2744" s="1" t="s">
        <v>27</v>
      </c>
      <c r="S2744" s="1" t="s">
        <v>28</v>
      </c>
      <c r="T2744" s="1" t="s">
        <v>29</v>
      </c>
    </row>
    <row r="2745" customFormat="false" ht="18.7" hidden="false" customHeight="true" outlineLevel="0" collapsed="false">
      <c r="A2745" s="1" t="n">
        <v>2744</v>
      </c>
      <c r="B2745" s="6" t="str">
        <f aca="false">HYPERLINK("https://mncourtfraud.com/file/MCRO_27-CR-22-18859_Summons_2022-09-22_20240429162350.pdf","MCRO_27-CR-22-18859_Summons_2022-09-22_20240429162350.pdf")</f>
        <v>MCRO_27-CR-22-18859_Summons_2022-09-22_20240429162350.pdf</v>
      </c>
      <c r="C2745" s="1" t="n">
        <v>5</v>
      </c>
      <c r="D2745" s="1" t="n">
        <v>1</v>
      </c>
      <c r="E2745" s="1" t="n">
        <v>1</v>
      </c>
      <c r="F2745" s="3" t="s">
        <v>20</v>
      </c>
      <c r="G2745" s="3" t="s">
        <v>11088</v>
      </c>
      <c r="H2745" s="1" t="s">
        <v>22</v>
      </c>
      <c r="I2745" s="1" t="n">
        <v>20240429162350</v>
      </c>
      <c r="J2745" s="3" t="s">
        <v>11089</v>
      </c>
      <c r="K2745" s="3" t="s">
        <v>11090</v>
      </c>
      <c r="L2745" s="3" t="s">
        <v>11091</v>
      </c>
      <c r="M2745" s="3" t="n">
        <v>701617</v>
      </c>
      <c r="N2745" s="3" t="s">
        <v>2723</v>
      </c>
      <c r="O2745" s="1" t="n">
        <v>685231</v>
      </c>
      <c r="P2745" s="1" t="n">
        <v>97.66</v>
      </c>
      <c r="Q2745" s="1" t="s">
        <v>20</v>
      </c>
      <c r="R2745" s="1" t="s">
        <v>27</v>
      </c>
      <c r="S2745" s="1" t="s">
        <v>28</v>
      </c>
      <c r="T2745" s="1" t="s">
        <v>29</v>
      </c>
    </row>
    <row r="2746" customFormat="false" ht="18.7" hidden="false" customHeight="true" outlineLevel="0" collapsed="false">
      <c r="A2746" s="1" t="n">
        <v>2745</v>
      </c>
      <c r="B2746" s="6" t="str">
        <f aca="false">HYPERLINK("https://mncourtfraud.com/file/MCRO_27-CR-22-18859_Warrant Issued_2022-10-20_20240429162349.pdf","MCRO_27-CR-22-18859_Warrant Issued_2022-10-20_20240429162349.pdf")</f>
        <v>MCRO_27-CR-22-18859_Warrant Issued_2022-10-20_20240429162349.pdf</v>
      </c>
      <c r="C2746" s="1" t="n">
        <v>4</v>
      </c>
      <c r="D2746" s="1" t="n">
        <v>1</v>
      </c>
      <c r="E2746" s="1" t="n">
        <v>1</v>
      </c>
      <c r="F2746" s="3" t="s">
        <v>20</v>
      </c>
      <c r="G2746" s="3" t="s">
        <v>11092</v>
      </c>
      <c r="H2746" s="1" t="s">
        <v>22</v>
      </c>
      <c r="I2746" s="1" t="n">
        <v>20240429162349</v>
      </c>
      <c r="J2746" s="3" t="s">
        <v>11093</v>
      </c>
      <c r="K2746" s="3" t="s">
        <v>11094</v>
      </c>
      <c r="L2746" s="3" t="s">
        <v>11095</v>
      </c>
      <c r="M2746" s="3" t="n">
        <v>738688</v>
      </c>
      <c r="N2746" s="3" t="s">
        <v>6256</v>
      </c>
      <c r="O2746" s="1" t="n">
        <v>722302</v>
      </c>
      <c r="P2746" s="1" t="n">
        <v>97.78</v>
      </c>
      <c r="Q2746" s="1" t="s">
        <v>20</v>
      </c>
      <c r="R2746" s="1" t="s">
        <v>27</v>
      </c>
      <c r="S2746" s="1" t="s">
        <v>28</v>
      </c>
      <c r="T2746" s="1" t="s">
        <v>29</v>
      </c>
    </row>
    <row r="2747" customFormat="false" ht="18.7" hidden="false" customHeight="true" outlineLevel="0" collapsed="false">
      <c r="A2747" s="1" t="n">
        <v>2746</v>
      </c>
      <c r="B2747" s="6" t="str">
        <f aca="false">HYPERLINK("https://mncourtfraud.com/file/MCRO_27-CR-22-18938_Certificate of Representation_2022-10-17_20240429162446.pdf","MCRO_27-CR-22-18938_Certificate of Representation_2022-10-17_20240429162446.pdf")</f>
        <v>MCRO_27-CR-22-18938_Certificate of Representation_2022-10-17_20240429162446.pdf</v>
      </c>
      <c r="C2747" s="1" t="n">
        <v>4</v>
      </c>
      <c r="D2747" s="1" t="n">
        <v>1</v>
      </c>
      <c r="E2747" s="1" t="n">
        <v>1</v>
      </c>
      <c r="F2747" s="3" t="s">
        <v>20</v>
      </c>
      <c r="G2747" s="3" t="s">
        <v>11096</v>
      </c>
      <c r="H2747" s="1" t="s">
        <v>22</v>
      </c>
      <c r="I2747" s="1" t="n">
        <v>20240429162446</v>
      </c>
      <c r="J2747" s="3" t="s">
        <v>11097</v>
      </c>
      <c r="K2747" s="3" t="s">
        <v>11098</v>
      </c>
      <c r="L2747" s="3" t="s">
        <v>11099</v>
      </c>
      <c r="M2747" s="3" t="n">
        <v>102759</v>
      </c>
      <c r="N2747" s="3" t="s">
        <v>435</v>
      </c>
      <c r="O2747" s="1" t="n">
        <v>86373</v>
      </c>
      <c r="P2747" s="1" t="n">
        <v>84.05</v>
      </c>
      <c r="Q2747" s="1" t="s">
        <v>20</v>
      </c>
      <c r="R2747" s="1" t="s">
        <v>27</v>
      </c>
      <c r="S2747" s="1" t="s">
        <v>28</v>
      </c>
      <c r="T2747" s="1" t="s">
        <v>29</v>
      </c>
    </row>
    <row r="2748" customFormat="false" ht="18.7" hidden="false" customHeight="true" outlineLevel="0" collapsed="false">
      <c r="A2748" s="1" t="n">
        <v>2747</v>
      </c>
      <c r="B2748" s="6" t="str">
        <f aca="false">HYPERLINK("https://mncourtfraud.com/file/MCRO_27-CR-22-18938_E-filed Comp-Warrant_2022-09-22_20240429162447.pdf","MCRO_27-CR-22-18938_E-filed Comp-Warrant_2022-09-22_20240429162447.pdf")</f>
        <v>MCRO_27-CR-22-18938_E-filed Comp-Warrant_2022-09-22_20240429162447.pdf</v>
      </c>
      <c r="C2748" s="1" t="n">
        <v>5</v>
      </c>
      <c r="D2748" s="1" t="n">
        <v>2</v>
      </c>
      <c r="E2748" s="1" t="n">
        <v>2</v>
      </c>
      <c r="F2748" s="3" t="s">
        <v>20</v>
      </c>
      <c r="G2748" s="3" t="s">
        <v>11100</v>
      </c>
      <c r="H2748" s="1" t="s">
        <v>22</v>
      </c>
      <c r="I2748" s="1" t="n">
        <v>20240429162447</v>
      </c>
      <c r="J2748" s="3" t="s">
        <v>11101</v>
      </c>
      <c r="K2748" s="3" t="s">
        <v>11102</v>
      </c>
      <c r="L2748" s="3" t="s">
        <v>11103</v>
      </c>
      <c r="M2748" s="3" t="n">
        <v>492135</v>
      </c>
      <c r="N2748" s="3" t="s">
        <v>2552</v>
      </c>
      <c r="O2748" s="1" t="n">
        <v>475749</v>
      </c>
      <c r="P2748" s="1" t="n">
        <v>96.67</v>
      </c>
      <c r="Q2748" s="1" t="s">
        <v>20</v>
      </c>
      <c r="R2748" s="1" t="s">
        <v>27</v>
      </c>
      <c r="S2748" s="1" t="s">
        <v>28</v>
      </c>
      <c r="T2748" s="1" t="s">
        <v>29</v>
      </c>
    </row>
    <row r="2749" customFormat="false" ht="18.7" hidden="false" customHeight="true" outlineLevel="0" collapsed="false">
      <c r="A2749" s="1" t="n">
        <v>2748</v>
      </c>
      <c r="B2749" s="6" t="str">
        <f aca="false">HYPERLINK("https://mncourtfraud.com/file/MCRO_27-CR-22-18938_Finding of Incompetency and Order_2023-01-11_20240429162443.pdf","MCRO_27-CR-22-18938_Finding of Incompetency and Order_2023-01-11_20240429162443.pdf")</f>
        <v>MCRO_27-CR-22-18938_Finding of Incompetency and Order_2023-01-11_20240429162443.pdf</v>
      </c>
      <c r="C2749" s="1" t="n">
        <v>9</v>
      </c>
      <c r="D2749" s="1" t="n">
        <v>3</v>
      </c>
      <c r="E2749" s="1" t="n">
        <v>3</v>
      </c>
      <c r="F2749" s="3" t="s">
        <v>27</v>
      </c>
      <c r="G2749" s="3" t="s">
        <v>11104</v>
      </c>
      <c r="H2749" s="1" t="s">
        <v>22</v>
      </c>
      <c r="I2749" s="1" t="n">
        <v>20240429162443</v>
      </c>
      <c r="J2749" s="3" t="s">
        <v>11105</v>
      </c>
      <c r="K2749" s="3" t="s">
        <v>11106</v>
      </c>
      <c r="L2749" s="3" t="s">
        <v>11107</v>
      </c>
      <c r="M2749" s="3" t="n">
        <v>933116</v>
      </c>
      <c r="N2749" s="3" t="s">
        <v>7436</v>
      </c>
      <c r="O2749" s="1" t="n">
        <v>916730</v>
      </c>
      <c r="P2749" s="1" t="n">
        <v>98.24</v>
      </c>
      <c r="Q2749" s="1" t="s">
        <v>20</v>
      </c>
      <c r="R2749" s="1" t="s">
        <v>27</v>
      </c>
      <c r="S2749" s="1" t="s">
        <v>28</v>
      </c>
      <c r="T2749" s="1" t="s">
        <v>29</v>
      </c>
    </row>
    <row r="2750" customFormat="false" ht="18.7" hidden="false" customHeight="true" outlineLevel="0" collapsed="false">
      <c r="A2750" s="1" t="n">
        <v>2749</v>
      </c>
      <c r="B2750" s="6" t="str">
        <f aca="false">HYPERLINK("https://mncourtfraud.com/file/MCRO_27-CR-22-18938_Finding of Incompetency and Order_2024-02-27_20240429162439.pdf","MCRO_27-CR-22-18938_Finding of Incompetency and Order_2024-02-27_20240429162439.pdf")</f>
        <v>MCRO_27-CR-22-18938_Finding of Incompetency and Order_2024-02-27_20240429162439.pdf</v>
      </c>
      <c r="C2750" s="1" t="n">
        <v>5</v>
      </c>
      <c r="D2750" s="1" t="n">
        <v>1</v>
      </c>
      <c r="E2750" s="1" t="n">
        <v>1</v>
      </c>
      <c r="F2750" s="3" t="s">
        <v>20</v>
      </c>
      <c r="G2750" s="3" t="s">
        <v>11108</v>
      </c>
      <c r="H2750" s="1" t="s">
        <v>22</v>
      </c>
      <c r="I2750" s="1" t="n">
        <v>20240429162439</v>
      </c>
      <c r="J2750" s="3" t="s">
        <v>11109</v>
      </c>
      <c r="K2750" s="3" t="s">
        <v>11110</v>
      </c>
      <c r="L2750" s="3" t="s">
        <v>11111</v>
      </c>
      <c r="M2750" s="3" t="n">
        <v>804976</v>
      </c>
      <c r="N2750" s="3" t="s">
        <v>3103</v>
      </c>
      <c r="O2750" s="1" t="n">
        <v>788590</v>
      </c>
      <c r="P2750" s="1" t="n">
        <v>97.96</v>
      </c>
      <c r="Q2750" s="1" t="s">
        <v>20</v>
      </c>
      <c r="R2750" s="1" t="s">
        <v>27</v>
      </c>
      <c r="S2750" s="1" t="s">
        <v>28</v>
      </c>
      <c r="T2750" s="1" t="s">
        <v>29</v>
      </c>
    </row>
    <row r="2751" customFormat="false" ht="18.7" hidden="false" customHeight="true" outlineLevel="0" collapsed="false">
      <c r="A2751" s="1" t="n">
        <v>2750</v>
      </c>
      <c r="B2751" s="6" t="str">
        <f aca="false">HYPERLINK("https://mncourtfraud.com/file/MCRO_27-CR-22-18938_Notice of Remote Hearing with Instructions_2024-02-06_20240429162440.pdf","MCRO_27-CR-22-18938_Notice of Remote Hearing with Instructions_2024-02-06_20240429162440.pdf")</f>
        <v>MCRO_27-CR-22-18938_Notice of Remote Hearing with Instructions_2024-02-06_20240429162440.pdf</v>
      </c>
      <c r="C2751" s="1" t="n">
        <v>5</v>
      </c>
      <c r="D2751" s="1" t="n">
        <v>1</v>
      </c>
      <c r="E2751" s="1" t="n">
        <v>1</v>
      </c>
      <c r="F2751" s="3" t="s">
        <v>20</v>
      </c>
      <c r="G2751" s="3" t="s">
        <v>11112</v>
      </c>
      <c r="H2751" s="1" t="s">
        <v>22</v>
      </c>
      <c r="I2751" s="1" t="n">
        <v>20240429162440</v>
      </c>
      <c r="J2751" s="3" t="s">
        <v>11113</v>
      </c>
      <c r="K2751" s="3" t="s">
        <v>11114</v>
      </c>
      <c r="L2751" s="3" t="s">
        <v>11115</v>
      </c>
      <c r="M2751" s="3" t="n">
        <v>846247</v>
      </c>
      <c r="N2751" s="3" t="s">
        <v>2852</v>
      </c>
      <c r="O2751" s="1" t="n">
        <v>829861</v>
      </c>
      <c r="P2751" s="1" t="n">
        <v>98.06</v>
      </c>
      <c r="Q2751" s="1" t="s">
        <v>20</v>
      </c>
      <c r="R2751" s="1" t="s">
        <v>27</v>
      </c>
      <c r="S2751" s="1" t="s">
        <v>28</v>
      </c>
      <c r="T2751" s="1" t="s">
        <v>29</v>
      </c>
    </row>
    <row r="2752" customFormat="false" ht="18.7" hidden="false" customHeight="true" outlineLevel="0" collapsed="false">
      <c r="A2752" s="1" t="n">
        <v>2751</v>
      </c>
      <c r="B2752" s="6" t="str">
        <f aca="false">HYPERLINK("https://mncourtfraud.com/file/MCRO_27-CR-22-18938_Notice of Remote Hearing with Instructions_2024-02-27_20240429162438.pdf","MCRO_27-CR-22-18938_Notice of Remote Hearing with Instructions_2024-02-27_20240429162438.pdf")</f>
        <v>MCRO_27-CR-22-18938_Notice of Remote Hearing with Instructions_2024-02-27_20240429162438.pdf</v>
      </c>
      <c r="C2752" s="1" t="n">
        <v>4</v>
      </c>
      <c r="D2752" s="1" t="n">
        <v>1</v>
      </c>
      <c r="E2752" s="1" t="n">
        <v>1</v>
      </c>
      <c r="F2752" s="3" t="s">
        <v>20</v>
      </c>
      <c r="G2752" s="3" t="s">
        <v>11116</v>
      </c>
      <c r="H2752" s="1" t="s">
        <v>22</v>
      </c>
      <c r="I2752" s="1" t="n">
        <v>20240429162438</v>
      </c>
      <c r="J2752" s="3" t="s">
        <v>11117</v>
      </c>
      <c r="K2752" s="3" t="s">
        <v>11118</v>
      </c>
      <c r="L2752" s="3" t="s">
        <v>11119</v>
      </c>
      <c r="M2752" s="3" t="n">
        <v>255954</v>
      </c>
      <c r="N2752" s="3" t="s">
        <v>74</v>
      </c>
      <c r="O2752" s="1" t="n">
        <v>239568</v>
      </c>
      <c r="P2752" s="1" t="n">
        <v>93.6</v>
      </c>
      <c r="Q2752" s="1" t="s">
        <v>20</v>
      </c>
      <c r="R2752" s="1" t="s">
        <v>27</v>
      </c>
      <c r="S2752" s="1" t="s">
        <v>28</v>
      </c>
      <c r="T2752" s="1" t="s">
        <v>29</v>
      </c>
    </row>
    <row r="2753" customFormat="false" ht="18.7" hidden="false" customHeight="true" outlineLevel="0" collapsed="false">
      <c r="A2753" s="1" t="n">
        <v>2752</v>
      </c>
      <c r="B2753" s="6" t="str">
        <f aca="false">HYPERLINK("https://mncourtfraud.com/file/MCRO_27-CR-22-18938_Order-Evaluation for Competency to Proceed (Rule 20.01)_2022-11-21_20240429162445.pdf","MCRO_27-CR-22-18938_Order-Evaluation for Competency to Proceed (Rule 20.01)_2022-11-21_20240429162445.pdf")</f>
        <v>MCRO_27-CR-22-18938_Order-Evaluation for Competency to Proceed (Rule 20.01)_2022-11-21_20240429162445.pdf</v>
      </c>
      <c r="C2753" s="1" t="n">
        <v>4</v>
      </c>
      <c r="D2753" s="1" t="n">
        <v>1</v>
      </c>
      <c r="E2753" s="1" t="n">
        <v>1</v>
      </c>
      <c r="F2753" s="3" t="s">
        <v>20</v>
      </c>
      <c r="G2753" s="3" t="s">
        <v>11120</v>
      </c>
      <c r="H2753" s="1" t="s">
        <v>22</v>
      </c>
      <c r="I2753" s="1" t="n">
        <v>20240429162445</v>
      </c>
      <c r="J2753" s="3" t="s">
        <v>11121</v>
      </c>
      <c r="K2753" s="3" t="s">
        <v>11122</v>
      </c>
      <c r="L2753" s="3" t="s">
        <v>11123</v>
      </c>
      <c r="M2753" s="3" t="n">
        <v>140381</v>
      </c>
      <c r="N2753" s="3" t="s">
        <v>1159</v>
      </c>
      <c r="O2753" s="1" t="n">
        <v>123995</v>
      </c>
      <c r="P2753" s="1" t="n">
        <v>88.33</v>
      </c>
      <c r="Q2753" s="1" t="s">
        <v>20</v>
      </c>
      <c r="R2753" s="1" t="s">
        <v>27</v>
      </c>
      <c r="S2753" s="1" t="s">
        <v>28</v>
      </c>
      <c r="T2753" s="1" t="s">
        <v>29</v>
      </c>
    </row>
    <row r="2754" customFormat="false" ht="18.7" hidden="false" customHeight="true" outlineLevel="0" collapsed="false">
      <c r="A2754" s="1" t="n">
        <v>2753</v>
      </c>
      <c r="B2754" s="6" t="str">
        <f aca="false">HYPERLINK("https://mncourtfraud.com/file/MCRO_27-CR-22-18938_Order-Evaluation for Competency to Proceed (Rule 20.01)_2023-05-12_20240429162442.pdf","MCRO_27-CR-22-18938_Order-Evaluation for Competency to Proceed (Rule 20.01)_2023-05-12_20240429162442.pdf")</f>
        <v>MCRO_27-CR-22-18938_Order-Evaluation for Competency to Proceed (Rule 20.01)_2023-05-12_20240429162442.pdf</v>
      </c>
      <c r="C2754" s="1" t="n">
        <v>6</v>
      </c>
      <c r="D2754" s="1" t="n">
        <v>2</v>
      </c>
      <c r="E2754" s="1" t="n">
        <v>2</v>
      </c>
      <c r="F2754" s="3" t="s">
        <v>27</v>
      </c>
      <c r="G2754" s="3" t="s">
        <v>11124</v>
      </c>
      <c r="H2754" s="1" t="s">
        <v>22</v>
      </c>
      <c r="I2754" s="1" t="n">
        <v>20240429162442</v>
      </c>
      <c r="J2754" s="3" t="s">
        <v>11125</v>
      </c>
      <c r="K2754" s="3" t="s">
        <v>11126</v>
      </c>
      <c r="L2754" s="3" t="s">
        <v>11127</v>
      </c>
      <c r="M2754" s="3" t="n">
        <v>891361</v>
      </c>
      <c r="N2754" s="3" t="s">
        <v>559</v>
      </c>
      <c r="O2754" s="1" t="n">
        <v>874975</v>
      </c>
      <c r="P2754" s="1" t="n">
        <v>98.16</v>
      </c>
      <c r="Q2754" s="1" t="s">
        <v>20</v>
      </c>
      <c r="R2754" s="1" t="s">
        <v>27</v>
      </c>
      <c r="S2754" s="1" t="s">
        <v>28</v>
      </c>
      <c r="T2754" s="1" t="s">
        <v>29</v>
      </c>
    </row>
    <row r="2755" customFormat="false" ht="18.7" hidden="false" customHeight="true" outlineLevel="0" collapsed="false">
      <c r="A2755" s="1" t="n">
        <v>2754</v>
      </c>
      <c r="B2755" s="6" t="str">
        <f aca="false">HYPERLINK("https://mncourtfraud.com/file/MCRO_27-CR-22-18938_Order-Evaluation for Competency to Proceed (Rule 20.01)_2023-11-08_20240429162441.pdf","MCRO_27-CR-22-18938_Order-Evaluation for Competency to Proceed (Rule 20.01)_2023-11-08_20240429162441.pdf")</f>
        <v>MCRO_27-CR-22-18938_Order-Evaluation for Competency to Proceed (Rule 20.01)_2023-11-08_20240429162441.pdf</v>
      </c>
      <c r="C2755" s="1" t="n">
        <v>6</v>
      </c>
      <c r="D2755" s="1" t="n">
        <v>2</v>
      </c>
      <c r="E2755" s="1" t="n">
        <v>2</v>
      </c>
      <c r="F2755" s="3" t="s">
        <v>20</v>
      </c>
      <c r="G2755" s="3" t="s">
        <v>11128</v>
      </c>
      <c r="H2755" s="1" t="s">
        <v>22</v>
      </c>
      <c r="I2755" s="1" t="n">
        <v>20240429162441</v>
      </c>
      <c r="J2755" s="3" t="s">
        <v>11129</v>
      </c>
      <c r="K2755" s="3" t="s">
        <v>11130</v>
      </c>
      <c r="L2755" s="3" t="s">
        <v>11131</v>
      </c>
      <c r="M2755" s="3" t="n">
        <v>867094</v>
      </c>
      <c r="N2755" s="3" t="s">
        <v>796</v>
      </c>
      <c r="O2755" s="1" t="n">
        <v>850708</v>
      </c>
      <c r="P2755" s="1" t="n">
        <v>98.11</v>
      </c>
      <c r="Q2755" s="1" t="s">
        <v>20</v>
      </c>
      <c r="R2755" s="1" t="s">
        <v>27</v>
      </c>
      <c r="S2755" s="1" t="s">
        <v>28</v>
      </c>
      <c r="T2755" s="1" t="s">
        <v>29</v>
      </c>
    </row>
    <row r="2756" customFormat="false" ht="18.7" hidden="false" customHeight="true" outlineLevel="0" collapsed="false">
      <c r="A2756" s="1" t="n">
        <v>2755</v>
      </c>
      <c r="B2756" s="6" t="str">
        <f aca="false">HYPERLINK("https://mncourtfraud.com/file/MCRO_27-CR-22-18938_Other Document_2022-11-21_20240429162444.pdf","MCRO_27-CR-22-18938_Other Document_2022-11-21_20240429162444.pdf")</f>
        <v>MCRO_27-CR-22-18938_Other Document_2022-11-21_20240429162444.pdf</v>
      </c>
      <c r="C2756" s="1" t="n">
        <v>4</v>
      </c>
      <c r="D2756" s="1" t="n">
        <v>1</v>
      </c>
      <c r="E2756" s="1" t="n">
        <v>1</v>
      </c>
      <c r="F2756" s="3" t="s">
        <v>20</v>
      </c>
      <c r="G2756" s="3" t="s">
        <v>11132</v>
      </c>
      <c r="H2756" s="1" t="s">
        <v>22</v>
      </c>
      <c r="I2756" s="1" t="n">
        <v>20240429162444</v>
      </c>
      <c r="J2756" s="3" t="s">
        <v>11133</v>
      </c>
      <c r="K2756" s="3" t="s">
        <v>11134</v>
      </c>
      <c r="L2756" s="3" t="s">
        <v>11135</v>
      </c>
      <c r="M2756" s="3" t="n">
        <v>101615</v>
      </c>
      <c r="N2756" s="3" t="s">
        <v>435</v>
      </c>
      <c r="O2756" s="1" t="n">
        <v>85229</v>
      </c>
      <c r="P2756" s="1" t="n">
        <v>83.87</v>
      </c>
      <c r="Q2756" s="1" t="s">
        <v>20</v>
      </c>
      <c r="R2756" s="1" t="s">
        <v>27</v>
      </c>
      <c r="S2756" s="1" t="s">
        <v>28</v>
      </c>
      <c r="T2756" s="1" t="s">
        <v>29</v>
      </c>
    </row>
    <row r="2757" customFormat="false" ht="18.7" hidden="false" customHeight="true" outlineLevel="0" collapsed="false">
      <c r="A2757" s="1" t="n">
        <v>2756</v>
      </c>
      <c r="B2757" s="6" t="str">
        <f aca="false">HYPERLINK("https://mncourtfraud.com/file/MCRO_27-CR-22-19036_Affidavit in Support of Petition_2023-09-25_20240429162547.pdf","MCRO_27-CR-22-19036_Affidavit in Support of Petition_2023-09-25_20240429162547.pdf")</f>
        <v>MCRO_27-CR-22-19036_Affidavit in Support of Petition_2023-09-25_20240429162547.pdf</v>
      </c>
      <c r="C2757" s="1" t="n">
        <v>4</v>
      </c>
      <c r="D2757" s="1" t="n">
        <v>1</v>
      </c>
      <c r="E2757" s="1" t="n">
        <v>1</v>
      </c>
      <c r="F2757" s="3" t="s">
        <v>20</v>
      </c>
      <c r="G2757" s="3" t="s">
        <v>11136</v>
      </c>
      <c r="H2757" s="1" t="s">
        <v>22</v>
      </c>
      <c r="I2757" s="1" t="n">
        <v>20240429162547</v>
      </c>
      <c r="J2757" s="3" t="s">
        <v>11137</v>
      </c>
      <c r="K2757" s="3" t="s">
        <v>11138</v>
      </c>
      <c r="L2757" s="3" t="s">
        <v>11139</v>
      </c>
      <c r="M2757" s="3" t="n">
        <v>232499</v>
      </c>
      <c r="N2757" s="3" t="s">
        <v>1273</v>
      </c>
      <c r="O2757" s="1" t="n">
        <v>216113</v>
      </c>
      <c r="P2757" s="1" t="n">
        <v>92.95</v>
      </c>
      <c r="Q2757" s="1" t="s">
        <v>20</v>
      </c>
      <c r="R2757" s="1" t="s">
        <v>27</v>
      </c>
      <c r="S2757" s="1" t="s">
        <v>28</v>
      </c>
      <c r="T2757" s="1" t="s">
        <v>29</v>
      </c>
    </row>
    <row r="2758" customFormat="false" ht="18.7" hidden="false" customHeight="true" outlineLevel="0" collapsed="false">
      <c r="A2758" s="1" t="n">
        <v>2757</v>
      </c>
      <c r="B2758" s="6" t="str">
        <f aca="false">HYPERLINK("https://mncourtfraud.com/file/MCRO_27-CR-22-19036_Affidavit of Mailing_2023-10-02_20240429162544.pdf","MCRO_27-CR-22-19036_Affidavit of Mailing_2023-10-02_20240429162544.pdf")</f>
        <v>MCRO_27-CR-22-19036_Affidavit of Mailing_2023-10-02_20240429162544.pdf</v>
      </c>
      <c r="C2758" s="1" t="n">
        <v>4</v>
      </c>
      <c r="D2758" s="1" t="n">
        <v>1</v>
      </c>
      <c r="E2758" s="1" t="n">
        <v>1</v>
      </c>
      <c r="F2758" s="3" t="s">
        <v>20</v>
      </c>
      <c r="G2758" s="3" t="s">
        <v>11140</v>
      </c>
      <c r="H2758" s="1" t="s">
        <v>22</v>
      </c>
      <c r="I2758" s="1" t="n">
        <v>20240429162544</v>
      </c>
      <c r="J2758" s="3" t="s">
        <v>11141</v>
      </c>
      <c r="K2758" s="3" t="s">
        <v>11142</v>
      </c>
      <c r="L2758" s="3" t="s">
        <v>11143</v>
      </c>
      <c r="M2758" s="3" t="n">
        <v>243480</v>
      </c>
      <c r="N2758" s="3" t="s">
        <v>104</v>
      </c>
      <c r="O2758" s="1" t="n">
        <v>227094</v>
      </c>
      <c r="P2758" s="1" t="n">
        <v>93.27</v>
      </c>
      <c r="Q2758" s="1" t="s">
        <v>20</v>
      </c>
      <c r="R2758" s="1" t="s">
        <v>27</v>
      </c>
      <c r="S2758" s="1" t="s">
        <v>28</v>
      </c>
      <c r="T2758" s="1" t="s">
        <v>29</v>
      </c>
    </row>
    <row r="2759" customFormat="false" ht="18.7" hidden="false" customHeight="true" outlineLevel="0" collapsed="false">
      <c r="A2759" s="1" t="n">
        <v>2758</v>
      </c>
      <c r="B2759" s="6" t="str">
        <f aca="false">HYPERLINK("https://mncourtfraud.com/file/MCRO_27-CR-22-19036_Affidavit of Service_2023-09-25_20240429162545.pdf","MCRO_27-CR-22-19036_Affidavit of Service_2023-09-25_20240429162545.pdf")</f>
        <v>MCRO_27-CR-22-19036_Affidavit of Service_2023-09-25_20240429162545.pdf</v>
      </c>
      <c r="C2759" s="1" t="n">
        <v>4</v>
      </c>
      <c r="D2759" s="1" t="n">
        <v>1</v>
      </c>
      <c r="E2759" s="1" t="n">
        <v>1</v>
      </c>
      <c r="F2759" s="3" t="s">
        <v>20</v>
      </c>
      <c r="G2759" s="3" t="s">
        <v>11144</v>
      </c>
      <c r="H2759" s="1" t="s">
        <v>22</v>
      </c>
      <c r="I2759" s="1" t="n">
        <v>20240429162545</v>
      </c>
      <c r="J2759" s="3" t="s">
        <v>11145</v>
      </c>
      <c r="K2759" s="3" t="s">
        <v>11146</v>
      </c>
      <c r="L2759" s="3" t="s">
        <v>11147</v>
      </c>
      <c r="M2759" s="3" t="n">
        <v>98200</v>
      </c>
      <c r="N2759" s="3" t="s">
        <v>158</v>
      </c>
      <c r="O2759" s="1" t="n">
        <v>81814</v>
      </c>
      <c r="P2759" s="1" t="n">
        <v>83.31</v>
      </c>
      <c r="Q2759" s="1" t="s">
        <v>20</v>
      </c>
      <c r="R2759" s="1" t="s">
        <v>27</v>
      </c>
      <c r="S2759" s="1" t="s">
        <v>28</v>
      </c>
      <c r="T2759" s="1" t="s">
        <v>29</v>
      </c>
    </row>
    <row r="2760" customFormat="false" ht="18.7" hidden="false" customHeight="true" outlineLevel="0" collapsed="false">
      <c r="A2760" s="1" t="n">
        <v>2759</v>
      </c>
      <c r="B2760" s="6" t="str">
        <f aca="false">HYPERLINK("https://mncourtfraud.com/file/MCRO_27-CR-22-19036_Assignment of Bail_2022-10-17_20240429162558.pdf","MCRO_27-CR-22-19036_Assignment of Bail_2022-10-17_20240429162558.pdf")</f>
        <v>MCRO_27-CR-22-19036_Assignment of Bail_2022-10-17_20240429162558.pdf</v>
      </c>
      <c r="C2760" s="1" t="n">
        <v>4</v>
      </c>
      <c r="D2760" s="1" t="n">
        <v>1</v>
      </c>
      <c r="E2760" s="1" t="n">
        <v>1</v>
      </c>
      <c r="F2760" s="3" t="s">
        <v>20</v>
      </c>
      <c r="G2760" s="3" t="s">
        <v>11148</v>
      </c>
      <c r="H2760" s="1" t="s">
        <v>22</v>
      </c>
      <c r="I2760" s="1" t="n">
        <v>20240429162558</v>
      </c>
      <c r="J2760" s="3" t="s">
        <v>11149</v>
      </c>
      <c r="K2760" s="3" t="s">
        <v>11150</v>
      </c>
      <c r="L2760" s="3" t="s">
        <v>11151</v>
      </c>
      <c r="M2760" s="3" t="n">
        <v>2130925</v>
      </c>
      <c r="N2760" s="3" t="s">
        <v>3220</v>
      </c>
      <c r="O2760" s="1" t="n">
        <v>2114539</v>
      </c>
      <c r="P2760" s="1" t="n">
        <v>99.23</v>
      </c>
      <c r="Q2760" s="1" t="s">
        <v>20</v>
      </c>
      <c r="R2760" s="1" t="s">
        <v>27</v>
      </c>
      <c r="S2760" s="1" t="s">
        <v>28</v>
      </c>
      <c r="T2760" s="1" t="s">
        <v>29</v>
      </c>
    </row>
    <row r="2761" customFormat="false" ht="18.7" hidden="false" customHeight="true" outlineLevel="0" collapsed="false">
      <c r="A2761" s="1" t="n">
        <v>2760</v>
      </c>
      <c r="B2761" s="6" t="str">
        <f aca="false">HYPERLINK("https://mncourtfraud.com/file/MCRO_27-CR-22-19036_Demand or Request for Discovery_2022-10-10_20240429162559.pdf","MCRO_27-CR-22-19036_Demand or Request for Discovery_2022-10-10_20240429162559.pdf")</f>
        <v>MCRO_27-CR-22-19036_Demand or Request for Discovery_2022-10-10_20240429162559.pdf</v>
      </c>
      <c r="C2761" s="1" t="n">
        <v>3</v>
      </c>
      <c r="D2761" s="1" t="n">
        <v>1</v>
      </c>
      <c r="E2761" s="1" t="n">
        <v>1</v>
      </c>
      <c r="F2761" s="3" t="s">
        <v>20</v>
      </c>
      <c r="G2761" s="3" t="s">
        <v>11152</v>
      </c>
      <c r="H2761" s="1" t="s">
        <v>22</v>
      </c>
      <c r="I2761" s="1" t="n">
        <v>20240429162559</v>
      </c>
      <c r="J2761" s="3" t="s">
        <v>11153</v>
      </c>
      <c r="K2761" s="3" t="s">
        <v>11154</v>
      </c>
      <c r="L2761" s="3" t="s">
        <v>11155</v>
      </c>
      <c r="M2761" s="3" t="n">
        <v>273474</v>
      </c>
      <c r="N2761" s="3" t="s">
        <v>665</v>
      </c>
      <c r="O2761" s="1" t="n">
        <v>257088</v>
      </c>
      <c r="P2761" s="1" t="n">
        <v>94.01</v>
      </c>
      <c r="Q2761" s="1" t="s">
        <v>20</v>
      </c>
      <c r="R2761" s="1" t="s">
        <v>27</v>
      </c>
      <c r="S2761" s="1" t="s">
        <v>28</v>
      </c>
      <c r="T2761" s="1" t="s">
        <v>29</v>
      </c>
    </row>
    <row r="2762" customFormat="false" ht="18.7" hidden="false" customHeight="true" outlineLevel="0" collapsed="false">
      <c r="A2762" s="1" t="n">
        <v>2761</v>
      </c>
      <c r="B2762" s="6" t="str">
        <f aca="false">HYPERLINK("https://mncourtfraud.com/file/MCRO_27-CR-22-19036_E-filed Comp-Warrant_2022-09-23_20240429162601.pdf","MCRO_27-CR-22-19036_E-filed Comp-Warrant_2022-09-23_20240429162601.pdf")</f>
        <v>MCRO_27-CR-22-19036_E-filed Comp-Warrant_2022-09-23_20240429162601.pdf</v>
      </c>
      <c r="C2762" s="1" t="n">
        <v>5</v>
      </c>
      <c r="D2762" s="1" t="n">
        <v>2</v>
      </c>
      <c r="E2762" s="1" t="n">
        <v>2</v>
      </c>
      <c r="F2762" s="3" t="s">
        <v>20</v>
      </c>
      <c r="G2762" s="3" t="s">
        <v>11156</v>
      </c>
      <c r="H2762" s="1" t="s">
        <v>22</v>
      </c>
      <c r="I2762" s="1" t="n">
        <v>20240429162601</v>
      </c>
      <c r="J2762" s="3" t="s">
        <v>11157</v>
      </c>
      <c r="K2762" s="3" t="s">
        <v>11158</v>
      </c>
      <c r="L2762" s="3" t="s">
        <v>11159</v>
      </c>
      <c r="M2762" s="3" t="n">
        <v>449873</v>
      </c>
      <c r="N2762" s="3" t="s">
        <v>9863</v>
      </c>
      <c r="O2762" s="1" t="n">
        <v>433487</v>
      </c>
      <c r="P2762" s="1" t="n">
        <v>96.36</v>
      </c>
      <c r="Q2762" s="1" t="s">
        <v>20</v>
      </c>
      <c r="R2762" s="1" t="s">
        <v>27</v>
      </c>
      <c r="S2762" s="1" t="s">
        <v>28</v>
      </c>
      <c r="T2762" s="1" t="s">
        <v>29</v>
      </c>
    </row>
    <row r="2763" customFormat="false" ht="18.7" hidden="false" customHeight="true" outlineLevel="0" collapsed="false">
      <c r="A2763" s="1" t="n">
        <v>2762</v>
      </c>
      <c r="B2763" s="6" t="str">
        <f aca="false">HYPERLINK("https://mncourtfraud.com/file/MCRO_27-CR-22-19036_Finding of Incompetency and Order_2023-06-21_20240429162550.pdf","MCRO_27-CR-22-19036_Finding of Incompetency and Order_2023-06-21_20240429162550.pdf")</f>
        <v>MCRO_27-CR-22-19036_Finding of Incompetency and Order_2023-06-21_20240429162550.pdf</v>
      </c>
      <c r="C2763" s="1" t="n">
        <v>7</v>
      </c>
      <c r="D2763" s="1" t="n">
        <v>2</v>
      </c>
      <c r="E2763" s="1" t="n">
        <v>2</v>
      </c>
      <c r="F2763" s="3" t="s">
        <v>27</v>
      </c>
      <c r="G2763" s="3" t="s">
        <v>11160</v>
      </c>
      <c r="H2763" s="1" t="s">
        <v>22</v>
      </c>
      <c r="I2763" s="1" t="n">
        <v>20240429162550</v>
      </c>
      <c r="J2763" s="3" t="s">
        <v>11161</v>
      </c>
      <c r="K2763" s="3" t="s">
        <v>11162</v>
      </c>
      <c r="L2763" s="3" t="s">
        <v>11163</v>
      </c>
      <c r="M2763" s="3" t="n">
        <v>895656</v>
      </c>
      <c r="N2763" s="3" t="s">
        <v>6172</v>
      </c>
      <c r="O2763" s="1" t="n">
        <v>879270</v>
      </c>
      <c r="P2763" s="1" t="n">
        <v>98.17</v>
      </c>
      <c r="Q2763" s="1" t="s">
        <v>20</v>
      </c>
      <c r="R2763" s="1" t="s">
        <v>27</v>
      </c>
      <c r="S2763" s="1" t="s">
        <v>28</v>
      </c>
      <c r="T2763" s="1" t="s">
        <v>29</v>
      </c>
    </row>
    <row r="2764" customFormat="false" ht="18.7" hidden="false" customHeight="true" outlineLevel="0" collapsed="false">
      <c r="A2764" s="1" t="n">
        <v>2763</v>
      </c>
      <c r="B2764" s="6" t="str">
        <f aca="false">HYPERLINK("https://mncourtfraud.com/file/MCRO_27-CR-22-19036_Finding of Incompetency and Order_2024-03-11_20240429162538.pdf","MCRO_27-CR-22-19036_Finding of Incompetency and Order_2024-03-11_20240429162538.pdf")</f>
        <v>MCRO_27-CR-22-19036_Finding of Incompetency and Order_2024-03-11_20240429162538.pdf</v>
      </c>
      <c r="C2764" s="1" t="n">
        <v>9</v>
      </c>
      <c r="D2764" s="1" t="n">
        <v>3</v>
      </c>
      <c r="E2764" s="1" t="n">
        <v>3</v>
      </c>
      <c r="F2764" s="3" t="s">
        <v>20</v>
      </c>
      <c r="G2764" s="3" t="s">
        <v>11164</v>
      </c>
      <c r="H2764" s="1" t="s">
        <v>22</v>
      </c>
      <c r="I2764" s="1" t="n">
        <v>20240429162538</v>
      </c>
      <c r="J2764" s="3" t="s">
        <v>11165</v>
      </c>
      <c r="K2764" s="3" t="s">
        <v>11166</v>
      </c>
      <c r="L2764" s="3" t="s">
        <v>11167</v>
      </c>
      <c r="M2764" s="3" t="n">
        <v>923370</v>
      </c>
      <c r="N2764" s="3" t="s">
        <v>11168</v>
      </c>
      <c r="O2764" s="1" t="n">
        <v>906984</v>
      </c>
      <c r="P2764" s="1" t="n">
        <v>98.23</v>
      </c>
      <c r="Q2764" s="1" t="s">
        <v>20</v>
      </c>
      <c r="R2764" s="1" t="s">
        <v>27</v>
      </c>
      <c r="S2764" s="1" t="s">
        <v>28</v>
      </c>
      <c r="T2764" s="1" t="s">
        <v>29</v>
      </c>
    </row>
    <row r="2765" customFormat="false" ht="18.7" hidden="false" customHeight="true" outlineLevel="0" collapsed="false">
      <c r="A2765" s="1" t="n">
        <v>2764</v>
      </c>
      <c r="B2765" s="6" t="str">
        <f aca="false">HYPERLINK("https://mncourtfraud.com/file/MCRO_27-CR-22-19036_Notice of Filing of Order_2023-10-11_20240429162542.pdf","MCRO_27-CR-22-19036_Notice of Filing of Order_2023-10-11_20240429162542.pdf")</f>
        <v>MCRO_27-CR-22-19036_Notice of Filing of Order_2023-10-11_20240429162542.pdf</v>
      </c>
      <c r="C2765" s="1" t="n">
        <v>3</v>
      </c>
      <c r="D2765" s="1" t="n">
        <v>1</v>
      </c>
      <c r="E2765" s="1" t="n">
        <v>1</v>
      </c>
      <c r="F2765" s="3" t="s">
        <v>20</v>
      </c>
      <c r="G2765" s="3" t="s">
        <v>11169</v>
      </c>
      <c r="H2765" s="1" t="s">
        <v>22</v>
      </c>
      <c r="I2765" s="1" t="n">
        <v>20240429162542</v>
      </c>
      <c r="J2765" s="3" t="s">
        <v>11170</v>
      </c>
      <c r="K2765" s="3" t="s">
        <v>11171</v>
      </c>
      <c r="L2765" s="3" t="s">
        <v>11172</v>
      </c>
      <c r="M2765" s="3" t="n">
        <v>78862</v>
      </c>
      <c r="N2765" s="3" t="s">
        <v>892</v>
      </c>
      <c r="O2765" s="1" t="n">
        <v>62476</v>
      </c>
      <c r="P2765" s="1" t="n">
        <v>79.22</v>
      </c>
      <c r="Q2765" s="1" t="s">
        <v>20</v>
      </c>
      <c r="R2765" s="1" t="s">
        <v>27</v>
      </c>
      <c r="S2765" s="1" t="s">
        <v>28</v>
      </c>
      <c r="T2765" s="1" t="s">
        <v>29</v>
      </c>
    </row>
    <row r="2766" customFormat="false" ht="18.7" hidden="false" customHeight="true" outlineLevel="0" collapsed="false">
      <c r="A2766" s="1" t="n">
        <v>2765</v>
      </c>
      <c r="B2766" s="6" t="str">
        <f aca="false">HYPERLINK("https://mncourtfraud.com/file/MCRO_27-CR-22-19036_Notice of Hearing_2022-10-24_20240429162555.pdf","MCRO_27-CR-22-19036_Notice of Hearing_2022-10-24_20240429162555.pdf")</f>
        <v>MCRO_27-CR-22-19036_Notice of Hearing_2022-10-24_20240429162555.pdf</v>
      </c>
      <c r="C2766" s="1" t="n">
        <v>4</v>
      </c>
      <c r="D2766" s="1" t="n">
        <v>1</v>
      </c>
      <c r="E2766" s="1" t="n">
        <v>1</v>
      </c>
      <c r="F2766" s="3" t="s">
        <v>20</v>
      </c>
      <c r="G2766" s="3" t="s">
        <v>11173</v>
      </c>
      <c r="H2766" s="1" t="s">
        <v>22</v>
      </c>
      <c r="I2766" s="1" t="n">
        <v>20240429162555</v>
      </c>
      <c r="J2766" s="3" t="s">
        <v>11174</v>
      </c>
      <c r="K2766" s="3" t="s">
        <v>11175</v>
      </c>
      <c r="L2766" s="3" t="s">
        <v>11176</v>
      </c>
      <c r="M2766" s="3" t="n">
        <v>83650</v>
      </c>
      <c r="N2766" s="3" t="s">
        <v>11177</v>
      </c>
      <c r="O2766" s="1" t="n">
        <v>67264</v>
      </c>
      <c r="P2766" s="1" t="n">
        <v>80.41</v>
      </c>
      <c r="Q2766" s="1" t="s">
        <v>20</v>
      </c>
      <c r="R2766" s="1" t="s">
        <v>27</v>
      </c>
      <c r="S2766" s="1" t="s">
        <v>28</v>
      </c>
      <c r="T2766" s="1" t="s">
        <v>29</v>
      </c>
    </row>
    <row r="2767" customFormat="false" ht="18.7" hidden="false" customHeight="true" outlineLevel="0" collapsed="false">
      <c r="A2767" s="1" t="n">
        <v>2766</v>
      </c>
      <c r="B2767" s="6" t="str">
        <f aca="false">HYPERLINK("https://mncourtfraud.com/file/MCRO_27-CR-22-19036_Notice of Hearing_2022-11-28_20240429162554.pdf","MCRO_27-CR-22-19036_Notice of Hearing_2022-11-28_20240429162554.pdf")</f>
        <v>MCRO_27-CR-22-19036_Notice of Hearing_2022-11-28_20240429162554.pdf</v>
      </c>
      <c r="C2767" s="1" t="n">
        <v>4</v>
      </c>
      <c r="D2767" s="1" t="n">
        <v>1</v>
      </c>
      <c r="E2767" s="1" t="n">
        <v>1</v>
      </c>
      <c r="F2767" s="3" t="s">
        <v>20</v>
      </c>
      <c r="G2767" s="3" t="s">
        <v>11178</v>
      </c>
      <c r="H2767" s="1" t="s">
        <v>22</v>
      </c>
      <c r="I2767" s="1" t="n">
        <v>20240429162554</v>
      </c>
      <c r="J2767" s="3" t="s">
        <v>11179</v>
      </c>
      <c r="K2767" s="3" t="s">
        <v>11180</v>
      </c>
      <c r="L2767" s="3" t="s">
        <v>11181</v>
      </c>
      <c r="M2767" s="3" t="n">
        <v>132849</v>
      </c>
      <c r="N2767" s="3" t="s">
        <v>158</v>
      </c>
      <c r="O2767" s="1" t="n">
        <v>116463</v>
      </c>
      <c r="P2767" s="1" t="n">
        <v>87.67</v>
      </c>
      <c r="Q2767" s="1" t="s">
        <v>20</v>
      </c>
      <c r="R2767" s="1" t="s">
        <v>27</v>
      </c>
      <c r="S2767" s="1" t="s">
        <v>28</v>
      </c>
      <c r="T2767" s="1" t="s">
        <v>29</v>
      </c>
    </row>
    <row r="2768" customFormat="false" ht="18.7" hidden="false" customHeight="true" outlineLevel="0" collapsed="false">
      <c r="A2768" s="1" t="n">
        <v>2767</v>
      </c>
      <c r="B2768" s="6" t="str">
        <f aca="false">HYPERLINK("https://mncourtfraud.com/file/MCRO_27-CR-22-19036_Notice of Hearing_2023-01-25_20240429162552.pdf","MCRO_27-CR-22-19036_Notice of Hearing_2023-01-25_20240429162552.pdf")</f>
        <v>MCRO_27-CR-22-19036_Notice of Hearing_2023-01-25_20240429162552.pdf</v>
      </c>
      <c r="C2768" s="1" t="n">
        <v>3</v>
      </c>
      <c r="D2768" s="1" t="n">
        <v>1</v>
      </c>
      <c r="E2768" s="1" t="n">
        <v>1</v>
      </c>
      <c r="F2768" s="3" t="s">
        <v>20</v>
      </c>
      <c r="G2768" s="3" t="s">
        <v>11182</v>
      </c>
      <c r="H2768" s="1" t="s">
        <v>22</v>
      </c>
      <c r="I2768" s="1" t="n">
        <v>20240429162552</v>
      </c>
      <c r="J2768" s="3" t="s">
        <v>11183</v>
      </c>
      <c r="K2768" s="3" t="s">
        <v>11184</v>
      </c>
      <c r="L2768" s="3" t="s">
        <v>11185</v>
      </c>
      <c r="M2768" s="3" t="n">
        <v>140578</v>
      </c>
      <c r="N2768" s="3" t="s">
        <v>11186</v>
      </c>
      <c r="O2768" s="1" t="n">
        <v>124192</v>
      </c>
      <c r="P2768" s="1" t="n">
        <v>88.34</v>
      </c>
      <c r="Q2768" s="1" t="s">
        <v>20</v>
      </c>
      <c r="R2768" s="1" t="s">
        <v>27</v>
      </c>
      <c r="S2768" s="1" t="s">
        <v>28</v>
      </c>
      <c r="T2768" s="1" t="s">
        <v>29</v>
      </c>
    </row>
    <row r="2769" customFormat="false" ht="18.7" hidden="false" customHeight="true" outlineLevel="0" collapsed="false">
      <c r="A2769" s="1" t="n">
        <v>2768</v>
      </c>
      <c r="B2769" s="6" t="str">
        <f aca="false">HYPERLINK("https://mncourtfraud.com/file/MCRO_27-CR-22-19036_Notice of Remote Hearing with Instructions_2023-12-19_20240429162540.pdf","MCRO_27-CR-22-19036_Notice of Remote Hearing with Instructions_2023-12-19_20240429162540.pdf")</f>
        <v>MCRO_27-CR-22-19036_Notice of Remote Hearing with Instructions_2023-12-19_20240429162540.pdf</v>
      </c>
      <c r="C2769" s="1" t="n">
        <v>5</v>
      </c>
      <c r="D2769" s="1" t="n">
        <v>1</v>
      </c>
      <c r="E2769" s="1" t="n">
        <v>1</v>
      </c>
      <c r="F2769" s="3" t="s">
        <v>20</v>
      </c>
      <c r="G2769" s="3" t="s">
        <v>11187</v>
      </c>
      <c r="H2769" s="1" t="s">
        <v>22</v>
      </c>
      <c r="I2769" s="1" t="n">
        <v>20240429162540</v>
      </c>
      <c r="J2769" s="3" t="s">
        <v>11188</v>
      </c>
      <c r="K2769" s="3" t="s">
        <v>11189</v>
      </c>
      <c r="L2769" s="3" t="s">
        <v>11190</v>
      </c>
      <c r="M2769" s="3" t="n">
        <v>846579</v>
      </c>
      <c r="N2769" s="3" t="s">
        <v>510</v>
      </c>
      <c r="O2769" s="1" t="n">
        <v>830193</v>
      </c>
      <c r="P2769" s="1" t="n">
        <v>98.06</v>
      </c>
      <c r="Q2769" s="1" t="s">
        <v>20</v>
      </c>
      <c r="R2769" s="1" t="s">
        <v>27</v>
      </c>
      <c r="S2769" s="1" t="s">
        <v>28</v>
      </c>
      <c r="T2769" s="1" t="s">
        <v>29</v>
      </c>
    </row>
    <row r="2770" customFormat="false" ht="18.7" hidden="false" customHeight="true" outlineLevel="0" collapsed="false">
      <c r="A2770" s="1" t="n">
        <v>2769</v>
      </c>
      <c r="B2770" s="6" t="str">
        <f aca="false">HYPERLINK("https://mncourtfraud.com/file/MCRO_27-CR-22-19036_Notice of Remote Hearing with Instructions_2024-02-06_20240429162539.pdf","MCRO_27-CR-22-19036_Notice of Remote Hearing with Instructions_2024-02-06_20240429162539.pdf")</f>
        <v>MCRO_27-CR-22-19036_Notice of Remote Hearing with Instructions_2024-02-06_20240429162539.pdf</v>
      </c>
      <c r="C2770" s="1" t="n">
        <v>4</v>
      </c>
      <c r="D2770" s="1" t="n">
        <v>1</v>
      </c>
      <c r="E2770" s="1" t="n">
        <v>1</v>
      </c>
      <c r="F2770" s="3" t="s">
        <v>20</v>
      </c>
      <c r="G2770" s="3" t="s">
        <v>11191</v>
      </c>
      <c r="H2770" s="1" t="s">
        <v>22</v>
      </c>
      <c r="I2770" s="1" t="n">
        <v>20240429162539</v>
      </c>
      <c r="J2770" s="3" t="s">
        <v>11192</v>
      </c>
      <c r="K2770" s="3" t="s">
        <v>11193</v>
      </c>
      <c r="L2770" s="3" t="s">
        <v>11194</v>
      </c>
      <c r="M2770" s="3" t="n">
        <v>259772</v>
      </c>
      <c r="N2770" s="3" t="s">
        <v>727</v>
      </c>
      <c r="O2770" s="1" t="n">
        <v>243386</v>
      </c>
      <c r="P2770" s="1" t="n">
        <v>93.69</v>
      </c>
      <c r="Q2770" s="1" t="s">
        <v>20</v>
      </c>
      <c r="R2770" s="1" t="s">
        <v>27</v>
      </c>
      <c r="S2770" s="1" t="s">
        <v>28</v>
      </c>
      <c r="T2770" s="1" t="s">
        <v>29</v>
      </c>
    </row>
    <row r="2771" customFormat="false" ht="18.7" hidden="false" customHeight="true" outlineLevel="0" collapsed="false">
      <c r="A2771" s="1" t="n">
        <v>2770</v>
      </c>
      <c r="B2771" s="6" t="str">
        <f aca="false">HYPERLINK("https://mncourtfraud.com/file/MCRO_27-CR-22-19036_Notice of Remote Hearing with Instructions_2024-03-15_20240429162536.pdf","MCRO_27-CR-22-19036_Notice of Remote Hearing with Instructions_2024-03-15_20240429162536.pdf")</f>
        <v>MCRO_27-CR-22-19036_Notice of Remote Hearing with Instructions_2024-03-15_20240429162536.pdf</v>
      </c>
      <c r="C2771" s="1" t="n">
        <v>4</v>
      </c>
      <c r="D2771" s="1" t="n">
        <v>1</v>
      </c>
      <c r="E2771" s="1" t="n">
        <v>1</v>
      </c>
      <c r="F2771" s="3" t="s">
        <v>20</v>
      </c>
      <c r="G2771" s="3" t="s">
        <v>11195</v>
      </c>
      <c r="H2771" s="1" t="s">
        <v>22</v>
      </c>
      <c r="I2771" s="1" t="n">
        <v>20240429162536</v>
      </c>
      <c r="J2771" s="3" t="s">
        <v>11196</v>
      </c>
      <c r="K2771" s="3" t="s">
        <v>11197</v>
      </c>
      <c r="L2771" s="3" t="s">
        <v>11198</v>
      </c>
      <c r="M2771" s="3" t="n">
        <v>258227</v>
      </c>
      <c r="N2771" s="3" t="s">
        <v>936</v>
      </c>
      <c r="O2771" s="1" t="n">
        <v>241841</v>
      </c>
      <c r="P2771" s="1" t="n">
        <v>93.65</v>
      </c>
      <c r="Q2771" s="1" t="s">
        <v>20</v>
      </c>
      <c r="R2771" s="1" t="s">
        <v>27</v>
      </c>
      <c r="S2771" s="1" t="s">
        <v>28</v>
      </c>
      <c r="T2771" s="1" t="s">
        <v>29</v>
      </c>
    </row>
    <row r="2772" customFormat="false" ht="18.7" hidden="false" customHeight="true" outlineLevel="0" collapsed="false">
      <c r="A2772" s="1" t="n">
        <v>2771</v>
      </c>
      <c r="B2772" s="6" t="str">
        <f aca="false">HYPERLINK("https://mncourtfraud.com/file/MCRO_27-CR-22-19036_Notice-Other_2023-09-25_20240429162548.pdf","MCRO_27-CR-22-19036_Notice-Other_2023-09-25_20240429162548.pdf")</f>
        <v>MCRO_27-CR-22-19036_Notice-Other_2023-09-25_20240429162548.pdf</v>
      </c>
      <c r="C2772" s="1" t="n">
        <v>5</v>
      </c>
      <c r="D2772" s="1" t="n">
        <v>1</v>
      </c>
      <c r="E2772" s="1" t="n">
        <v>1</v>
      </c>
      <c r="F2772" s="3" t="s">
        <v>20</v>
      </c>
      <c r="G2772" s="3" t="s">
        <v>11199</v>
      </c>
      <c r="H2772" s="1" t="s">
        <v>22</v>
      </c>
      <c r="I2772" s="1" t="n">
        <v>20240429162548</v>
      </c>
      <c r="J2772" s="3" t="s">
        <v>11200</v>
      </c>
      <c r="K2772" s="3" t="s">
        <v>11201</v>
      </c>
      <c r="L2772" s="3" t="s">
        <v>11202</v>
      </c>
      <c r="M2772" s="3" t="n">
        <v>711009</v>
      </c>
      <c r="N2772" s="3" t="s">
        <v>3364</v>
      </c>
      <c r="O2772" s="1" t="n">
        <v>694623</v>
      </c>
      <c r="P2772" s="1" t="n">
        <v>97.7</v>
      </c>
      <c r="Q2772" s="1" t="s">
        <v>20</v>
      </c>
      <c r="R2772" s="1" t="s">
        <v>27</v>
      </c>
      <c r="S2772" s="1" t="s">
        <v>28</v>
      </c>
      <c r="T2772" s="1" t="s">
        <v>29</v>
      </c>
    </row>
    <row r="2773" customFormat="false" ht="18.7" hidden="false" customHeight="true" outlineLevel="0" collapsed="false">
      <c r="A2773" s="1" t="n">
        <v>2772</v>
      </c>
      <c r="B2773" s="6" t="str">
        <f aca="false">HYPERLINK("https://mncourtfraud.com/file/MCRO_27-CR-22-19036_Order-Evaluation for Competency to Proceed (Rule 20.01)_2023-01-25_20240429162553.pdf","MCRO_27-CR-22-19036_Order-Evaluation for Competency to Proceed (Rule 20.01)_2023-01-25_20240429162553.pdf")</f>
        <v>MCRO_27-CR-22-19036_Order-Evaluation for Competency to Proceed (Rule 20.01)_2023-01-25_20240429162553.pdf</v>
      </c>
      <c r="C2773" s="1" t="n">
        <v>4</v>
      </c>
      <c r="D2773" s="1" t="n">
        <v>1</v>
      </c>
      <c r="E2773" s="1" t="n">
        <v>1</v>
      </c>
      <c r="F2773" s="3" t="s">
        <v>20</v>
      </c>
      <c r="G2773" s="3" t="s">
        <v>11203</v>
      </c>
      <c r="H2773" s="1" t="s">
        <v>22</v>
      </c>
      <c r="I2773" s="1" t="n">
        <v>20240429162553</v>
      </c>
      <c r="J2773" s="3" t="s">
        <v>11204</v>
      </c>
      <c r="K2773" s="3" t="s">
        <v>11205</v>
      </c>
      <c r="L2773" s="3" t="s">
        <v>11206</v>
      </c>
      <c r="M2773" s="3" t="n">
        <v>203059</v>
      </c>
      <c r="N2773" s="3" t="s">
        <v>1273</v>
      </c>
      <c r="O2773" s="1" t="n">
        <v>186673</v>
      </c>
      <c r="P2773" s="1" t="n">
        <v>91.93</v>
      </c>
      <c r="Q2773" s="1" t="s">
        <v>20</v>
      </c>
      <c r="R2773" s="1" t="s">
        <v>27</v>
      </c>
      <c r="S2773" s="1" t="s">
        <v>28</v>
      </c>
      <c r="T2773" s="1" t="s">
        <v>29</v>
      </c>
    </row>
    <row r="2774" customFormat="false" ht="18.7" hidden="false" customHeight="true" outlineLevel="0" collapsed="false">
      <c r="A2774" s="1" t="n">
        <v>2773</v>
      </c>
      <c r="B2774" s="6" t="str">
        <f aca="false">HYPERLINK("https://mncourtfraud.com/file/MCRO_27-CR-22-19036_Order-Evaluation for Competency to Proceed (Rule 20.01)_2023-10-13_20240429162541.pdf","MCRO_27-CR-22-19036_Order-Evaluation for Competency to Proceed (Rule 20.01)_2023-10-13_20240429162541.pdf")</f>
        <v>MCRO_27-CR-22-19036_Order-Evaluation for Competency to Proceed (Rule 20.01)_2023-10-13_20240429162541.pdf</v>
      </c>
      <c r="C2774" s="1" t="n">
        <v>6</v>
      </c>
      <c r="D2774" s="1" t="n">
        <v>2</v>
      </c>
      <c r="E2774" s="1" t="n">
        <v>2</v>
      </c>
      <c r="F2774" s="3" t="s">
        <v>27</v>
      </c>
      <c r="G2774" s="3" t="s">
        <v>11207</v>
      </c>
      <c r="H2774" s="1" t="s">
        <v>22</v>
      </c>
      <c r="I2774" s="1" t="n">
        <v>20240429162541</v>
      </c>
      <c r="J2774" s="3" t="s">
        <v>11208</v>
      </c>
      <c r="K2774" s="3" t="s">
        <v>11209</v>
      </c>
      <c r="L2774" s="3" t="s">
        <v>11210</v>
      </c>
      <c r="M2774" s="3" t="n">
        <v>865090</v>
      </c>
      <c r="N2774" s="3" t="s">
        <v>2520</v>
      </c>
      <c r="O2774" s="1" t="n">
        <v>848704</v>
      </c>
      <c r="P2774" s="1" t="n">
        <v>98.11</v>
      </c>
      <c r="Q2774" s="1" t="s">
        <v>20</v>
      </c>
      <c r="R2774" s="1" t="s">
        <v>27</v>
      </c>
      <c r="S2774" s="1" t="s">
        <v>28</v>
      </c>
      <c r="T2774" s="1" t="s">
        <v>29</v>
      </c>
    </row>
    <row r="2775" customFormat="false" ht="18.7" hidden="false" customHeight="true" outlineLevel="0" collapsed="false">
      <c r="A2775" s="1" t="n">
        <v>2774</v>
      </c>
      <c r="B2775" s="6" t="str">
        <f aca="false">HYPERLINK("https://mncourtfraud.com/file/MCRO_27-CR-22-19036_Order for Conditional Release_2022-09-30_20240429162600.pdf","MCRO_27-CR-22-19036_Order for Conditional Release_2022-09-30_20240429162600.pdf")</f>
        <v>MCRO_27-CR-22-19036_Order for Conditional Release_2022-09-30_20240429162600.pdf</v>
      </c>
      <c r="C2775" s="1" t="n">
        <v>4</v>
      </c>
      <c r="D2775" s="1" t="n">
        <v>1</v>
      </c>
      <c r="E2775" s="1" t="n">
        <v>1</v>
      </c>
      <c r="F2775" s="3" t="s">
        <v>20</v>
      </c>
      <c r="G2775" s="3" t="s">
        <v>11211</v>
      </c>
      <c r="H2775" s="1" t="s">
        <v>22</v>
      </c>
      <c r="I2775" s="1" t="n">
        <v>20240429162600</v>
      </c>
      <c r="J2775" s="3" t="s">
        <v>11212</v>
      </c>
      <c r="K2775" s="3" t="s">
        <v>11213</v>
      </c>
      <c r="L2775" s="3" t="s">
        <v>11214</v>
      </c>
      <c r="M2775" s="3" t="n">
        <v>115632</v>
      </c>
      <c r="N2775" s="3" t="s">
        <v>435</v>
      </c>
      <c r="O2775" s="1" t="n">
        <v>99246</v>
      </c>
      <c r="P2775" s="1" t="n">
        <v>85.83</v>
      </c>
      <c r="Q2775" s="1" t="s">
        <v>20</v>
      </c>
      <c r="R2775" s="1" t="s">
        <v>27</v>
      </c>
      <c r="S2775" s="1" t="s">
        <v>28</v>
      </c>
      <c r="T2775" s="1" t="s">
        <v>29</v>
      </c>
    </row>
    <row r="2776" customFormat="false" ht="18.7" hidden="false" customHeight="true" outlineLevel="0" collapsed="false">
      <c r="A2776" s="1" t="n">
        <v>2775</v>
      </c>
      <c r="B2776" s="6" t="str">
        <f aca="false">HYPERLINK("https://mncourtfraud.com/file/MCRO_27-CR-22-19036_Order Reinstating Forfeited Cash or Surety Bond_2023-10-11_20240429162543.pdf","MCRO_27-CR-22-19036_Order Reinstating Forfeited Cash or Surety Bond_2023-10-11_20240429162543.pdf")</f>
        <v>MCRO_27-CR-22-19036_Order Reinstating Forfeited Cash or Surety Bond_2023-10-11_20240429162543.pdf</v>
      </c>
      <c r="C2776" s="1" t="n">
        <v>4</v>
      </c>
      <c r="D2776" s="1" t="n">
        <v>1</v>
      </c>
      <c r="E2776" s="1" t="n">
        <v>1</v>
      </c>
      <c r="F2776" s="3" t="s">
        <v>20</v>
      </c>
      <c r="G2776" s="3" t="s">
        <v>11215</v>
      </c>
      <c r="H2776" s="1" t="s">
        <v>22</v>
      </c>
      <c r="I2776" s="1" t="n">
        <v>20240429162543</v>
      </c>
      <c r="J2776" s="3" t="s">
        <v>11216</v>
      </c>
      <c r="K2776" s="3" t="s">
        <v>11217</v>
      </c>
      <c r="L2776" s="3" t="s">
        <v>11218</v>
      </c>
      <c r="M2776" s="3" t="n">
        <v>177463</v>
      </c>
      <c r="N2776" s="3" t="s">
        <v>104</v>
      </c>
      <c r="O2776" s="1" t="n">
        <v>161077</v>
      </c>
      <c r="P2776" s="1" t="n">
        <v>90.77</v>
      </c>
      <c r="Q2776" s="1" t="s">
        <v>20</v>
      </c>
      <c r="R2776" s="1" t="s">
        <v>27</v>
      </c>
      <c r="S2776" s="1" t="s">
        <v>28</v>
      </c>
      <c r="T2776" s="1" t="s">
        <v>29</v>
      </c>
    </row>
    <row r="2777" customFormat="false" ht="18.7" hidden="false" customHeight="true" outlineLevel="0" collapsed="false">
      <c r="A2777" s="1" t="n">
        <v>2776</v>
      </c>
      <c r="B2777" s="6" t="str">
        <f aca="false">HYPERLINK("https://mncourtfraud.com/file/MCRO_27-CR-22-19036_Other Document_2023-05-02_20240429162551.pdf","MCRO_27-CR-22-19036_Other Document_2023-05-02_20240429162551.pdf")</f>
        <v>MCRO_27-CR-22-19036_Other Document_2023-05-02_20240429162551.pdf</v>
      </c>
      <c r="C2777" s="1" t="n">
        <v>4</v>
      </c>
      <c r="D2777" s="1" t="n">
        <v>1</v>
      </c>
      <c r="E2777" s="1" t="n">
        <v>1</v>
      </c>
      <c r="F2777" s="3" t="s">
        <v>20</v>
      </c>
      <c r="G2777" s="3" t="s">
        <v>11219</v>
      </c>
      <c r="H2777" s="1" t="s">
        <v>22</v>
      </c>
      <c r="I2777" s="1" t="n">
        <v>20240429162551</v>
      </c>
      <c r="J2777" s="3" t="s">
        <v>11220</v>
      </c>
      <c r="K2777" s="3" t="s">
        <v>11221</v>
      </c>
      <c r="L2777" s="3" t="s">
        <v>11222</v>
      </c>
      <c r="M2777" s="3" t="n">
        <v>136982</v>
      </c>
      <c r="N2777" s="3" t="s">
        <v>1159</v>
      </c>
      <c r="O2777" s="1" t="n">
        <v>120596</v>
      </c>
      <c r="P2777" s="1" t="n">
        <v>88.04</v>
      </c>
      <c r="Q2777" s="1" t="s">
        <v>20</v>
      </c>
      <c r="R2777" s="1" t="s">
        <v>27</v>
      </c>
      <c r="S2777" s="1" t="s">
        <v>28</v>
      </c>
      <c r="T2777" s="1" t="s">
        <v>29</v>
      </c>
    </row>
    <row r="2778" customFormat="false" ht="18.7" hidden="false" customHeight="true" outlineLevel="0" collapsed="false">
      <c r="A2778" s="1" t="n">
        <v>2777</v>
      </c>
      <c r="B2778" s="6" t="str">
        <f aca="false">HYPERLINK("https://mncourtfraud.com/file/MCRO_27-CR-22-19036_Petition to Reinstate and Discharge Bond_2023-09-25_20240429162549.pdf","MCRO_27-CR-22-19036_Petition to Reinstate and Discharge Bond_2023-09-25_20240429162549.pdf")</f>
        <v>MCRO_27-CR-22-19036_Petition to Reinstate and Discharge Bond_2023-09-25_20240429162549.pdf</v>
      </c>
      <c r="C2778" s="1" t="n">
        <v>4</v>
      </c>
      <c r="D2778" s="1" t="n">
        <v>1</v>
      </c>
      <c r="E2778" s="1" t="n">
        <v>1</v>
      </c>
      <c r="F2778" s="3" t="s">
        <v>20</v>
      </c>
      <c r="G2778" s="3" t="s">
        <v>11223</v>
      </c>
      <c r="H2778" s="1" t="s">
        <v>22</v>
      </c>
      <c r="I2778" s="1" t="n">
        <v>20240429162549</v>
      </c>
      <c r="J2778" s="3" t="s">
        <v>11224</v>
      </c>
      <c r="K2778" s="3" t="s">
        <v>11225</v>
      </c>
      <c r="L2778" s="3" t="s">
        <v>11226</v>
      </c>
      <c r="M2778" s="3" t="n">
        <v>356913</v>
      </c>
      <c r="N2778" s="3" t="s">
        <v>11227</v>
      </c>
      <c r="O2778" s="1" t="n">
        <v>340527</v>
      </c>
      <c r="P2778" s="1" t="n">
        <v>95.41</v>
      </c>
      <c r="Q2778" s="1" t="s">
        <v>20</v>
      </c>
      <c r="R2778" s="1" t="s">
        <v>27</v>
      </c>
      <c r="S2778" s="1" t="s">
        <v>28</v>
      </c>
      <c r="T2778" s="1" t="s">
        <v>29</v>
      </c>
    </row>
    <row r="2779" customFormat="false" ht="18.7" hidden="false" customHeight="true" outlineLevel="0" collapsed="false">
      <c r="A2779" s="1" t="n">
        <v>2778</v>
      </c>
      <c r="B2779" s="6" t="str">
        <f aca="false">HYPERLINK("https://mncourtfraud.com/file/MCRO_27-CR-22-19036_Proposed Order or Document_2023-09-25_20240429162546.pdf","MCRO_27-CR-22-19036_Proposed Order or Document_2023-09-25_20240429162546.pdf")</f>
        <v>MCRO_27-CR-22-19036_Proposed Order or Document_2023-09-25_20240429162546.pdf</v>
      </c>
      <c r="C2779" s="1" t="n">
        <v>4</v>
      </c>
      <c r="D2779" s="1" t="n">
        <v>1</v>
      </c>
      <c r="E2779" s="1" t="n">
        <v>1</v>
      </c>
      <c r="F2779" s="3" t="s">
        <v>20</v>
      </c>
      <c r="G2779" s="3" t="s">
        <v>11228</v>
      </c>
      <c r="H2779" s="1" t="s">
        <v>22</v>
      </c>
      <c r="I2779" s="1" t="n">
        <v>20240429162546</v>
      </c>
      <c r="J2779" s="3" t="s">
        <v>11229</v>
      </c>
      <c r="K2779" s="3" t="s">
        <v>11230</v>
      </c>
      <c r="L2779" s="3" t="s">
        <v>11231</v>
      </c>
      <c r="M2779" s="3" t="n">
        <v>87450</v>
      </c>
      <c r="N2779" s="3" t="s">
        <v>614</v>
      </c>
      <c r="O2779" s="1" t="n">
        <v>71064</v>
      </c>
      <c r="P2779" s="1" t="n">
        <v>81.26</v>
      </c>
      <c r="Q2779" s="1" t="s">
        <v>20</v>
      </c>
      <c r="R2779" s="1" t="s">
        <v>27</v>
      </c>
      <c r="S2779" s="1" t="s">
        <v>28</v>
      </c>
      <c r="T2779" s="1" t="s">
        <v>29</v>
      </c>
    </row>
    <row r="2780" customFormat="false" ht="18.7" hidden="false" customHeight="true" outlineLevel="0" collapsed="false">
      <c r="A2780" s="1" t="n">
        <v>2779</v>
      </c>
      <c r="B2780" s="6" t="str">
        <f aca="false">HYPERLINK("https://mncourtfraud.com/file/MCRO_27-CR-22-20033_Amended Order_2022-12-05_20240429162654.pdf","MCRO_27-CR-22-20033_Amended Order_2022-12-05_20240429162654.pdf")</f>
        <v>MCRO_27-CR-22-20033_Amended Order_2022-12-05_20240429162654.pdf</v>
      </c>
      <c r="C2780" s="1" t="n">
        <v>5</v>
      </c>
      <c r="D2780" s="1" t="n">
        <v>1</v>
      </c>
      <c r="E2780" s="1" t="n">
        <v>1</v>
      </c>
      <c r="F2780" s="3" t="s">
        <v>20</v>
      </c>
      <c r="G2780" s="3" t="s">
        <v>11232</v>
      </c>
      <c r="H2780" s="1" t="s">
        <v>22</v>
      </c>
      <c r="I2780" s="1" t="n">
        <v>20240429162654</v>
      </c>
      <c r="J2780" s="3" t="s">
        <v>11233</v>
      </c>
      <c r="K2780" s="3" t="s">
        <v>11234</v>
      </c>
      <c r="L2780" s="3" t="s">
        <v>11235</v>
      </c>
      <c r="M2780" s="3" t="n">
        <v>979722</v>
      </c>
      <c r="N2780" s="3" t="s">
        <v>11236</v>
      </c>
      <c r="O2780" s="1" t="n">
        <v>963336</v>
      </c>
      <c r="P2780" s="1" t="n">
        <v>98.33</v>
      </c>
      <c r="Q2780" s="1" t="s">
        <v>20</v>
      </c>
      <c r="R2780" s="1" t="s">
        <v>27</v>
      </c>
      <c r="S2780" s="1" t="s">
        <v>28</v>
      </c>
      <c r="T2780" s="1" t="s">
        <v>29</v>
      </c>
    </row>
    <row r="2781" customFormat="false" ht="18.7" hidden="false" customHeight="true" outlineLevel="0" collapsed="false">
      <c r="A2781" s="1" t="n">
        <v>2780</v>
      </c>
      <c r="B2781" s="6" t="str">
        <f aca="false">HYPERLINK("https://mncourtfraud.com/file/MCRO_27-CR-22-20033_E-filed Comp-Summons_2022-10-06_20240429162700.pdf","MCRO_27-CR-22-20033_E-filed Comp-Summons_2022-10-06_20240429162700.pdf")</f>
        <v>MCRO_27-CR-22-20033_E-filed Comp-Summons_2022-10-06_20240429162700.pdf</v>
      </c>
      <c r="C2781" s="1" t="n">
        <v>5</v>
      </c>
      <c r="D2781" s="1" t="n">
        <v>2</v>
      </c>
      <c r="E2781" s="1" t="n">
        <v>2</v>
      </c>
      <c r="F2781" s="3" t="s">
        <v>20</v>
      </c>
      <c r="G2781" s="3" t="s">
        <v>11237</v>
      </c>
      <c r="H2781" s="1" t="s">
        <v>22</v>
      </c>
      <c r="I2781" s="1" t="n">
        <v>20240429162700</v>
      </c>
      <c r="J2781" s="3" t="s">
        <v>11238</v>
      </c>
      <c r="K2781" s="3" t="s">
        <v>11239</v>
      </c>
      <c r="L2781" s="3" t="s">
        <v>11240</v>
      </c>
      <c r="M2781" s="3" t="n">
        <v>450118</v>
      </c>
      <c r="N2781" s="3" t="s">
        <v>11241</v>
      </c>
      <c r="O2781" s="1" t="n">
        <v>433732</v>
      </c>
      <c r="P2781" s="1" t="n">
        <v>96.36</v>
      </c>
      <c r="Q2781" s="1" t="s">
        <v>20</v>
      </c>
      <c r="R2781" s="1" t="s">
        <v>27</v>
      </c>
      <c r="S2781" s="1" t="s">
        <v>28</v>
      </c>
      <c r="T2781" s="1" t="s">
        <v>29</v>
      </c>
    </row>
    <row r="2782" customFormat="false" ht="18.7" hidden="false" customHeight="true" outlineLevel="0" collapsed="false">
      <c r="A2782" s="1" t="n">
        <v>2781</v>
      </c>
      <c r="B2782" s="6" t="str">
        <f aca="false">HYPERLINK("https://mncourtfraud.com/file/MCRO_27-CR-22-20033_Findings of Fact, Conclusions of Law and Order_2022-10-27_20240429162656.pdf","MCRO_27-CR-22-20033_Findings of Fact, Conclusions of Law and Order_2022-10-27_20240429162656.pdf")</f>
        <v>MCRO_27-CR-22-20033_Findings of Fact, Conclusions of Law and Order_2022-10-27_20240429162656.pdf</v>
      </c>
      <c r="C2782" s="1" t="n">
        <v>4</v>
      </c>
      <c r="D2782" s="1" t="n">
        <v>1</v>
      </c>
      <c r="E2782" s="1" t="n">
        <v>1</v>
      </c>
      <c r="F2782" s="3" t="s">
        <v>20</v>
      </c>
      <c r="G2782" s="3" t="s">
        <v>11242</v>
      </c>
      <c r="H2782" s="1" t="s">
        <v>22</v>
      </c>
      <c r="I2782" s="1" t="n">
        <v>20240429162656</v>
      </c>
      <c r="J2782" s="3" t="s">
        <v>11243</v>
      </c>
      <c r="K2782" s="3" t="s">
        <v>11244</v>
      </c>
      <c r="L2782" s="3" t="s">
        <v>11245</v>
      </c>
      <c r="M2782" s="3" t="n">
        <v>351993</v>
      </c>
      <c r="N2782" s="3" t="s">
        <v>619</v>
      </c>
      <c r="O2782" s="1" t="n">
        <v>335607</v>
      </c>
      <c r="P2782" s="1" t="n">
        <v>95.34</v>
      </c>
      <c r="Q2782" s="1" t="s">
        <v>20</v>
      </c>
      <c r="R2782" s="1" t="s">
        <v>27</v>
      </c>
      <c r="S2782" s="1" t="s">
        <v>28</v>
      </c>
      <c r="T2782" s="1" t="s">
        <v>29</v>
      </c>
    </row>
    <row r="2783" customFormat="false" ht="18.7" hidden="false" customHeight="true" outlineLevel="0" collapsed="false">
      <c r="A2783" s="1" t="n">
        <v>2782</v>
      </c>
      <c r="B2783" s="6" t="str">
        <f aca="false">HYPERLINK("https://mncourtfraud.com/file/MCRO_27-CR-22-20033_Notice of Hearing_2022-10-26_20240429162658.pdf","MCRO_27-CR-22-20033_Notice of Hearing_2022-10-26_20240429162658.pdf")</f>
        <v>MCRO_27-CR-22-20033_Notice of Hearing_2022-10-26_20240429162658.pdf</v>
      </c>
      <c r="C2783" s="1" t="n">
        <v>4</v>
      </c>
      <c r="D2783" s="1" t="n">
        <v>1</v>
      </c>
      <c r="E2783" s="1" t="n">
        <v>1</v>
      </c>
      <c r="F2783" s="3" t="s">
        <v>20</v>
      </c>
      <c r="G2783" s="3" t="s">
        <v>11246</v>
      </c>
      <c r="H2783" s="1" t="s">
        <v>22</v>
      </c>
      <c r="I2783" s="1" t="n">
        <v>20240429162658</v>
      </c>
      <c r="J2783" s="3" t="s">
        <v>11247</v>
      </c>
      <c r="K2783" s="3" t="s">
        <v>11248</v>
      </c>
      <c r="L2783" s="3" t="s">
        <v>6924</v>
      </c>
      <c r="M2783" s="3" t="n">
        <v>807373</v>
      </c>
      <c r="N2783" s="3" t="s">
        <v>89</v>
      </c>
      <c r="O2783" s="1" t="n">
        <v>790987</v>
      </c>
      <c r="P2783" s="1" t="n">
        <v>97.97</v>
      </c>
      <c r="Q2783" s="1" t="s">
        <v>20</v>
      </c>
      <c r="R2783" s="1" t="s">
        <v>27</v>
      </c>
      <c r="S2783" s="1" t="s">
        <v>28</v>
      </c>
      <c r="T2783" s="1" t="s">
        <v>29</v>
      </c>
    </row>
    <row r="2784" customFormat="false" ht="18.7" hidden="false" customHeight="true" outlineLevel="0" collapsed="false">
      <c r="A2784" s="1" t="n">
        <v>2783</v>
      </c>
      <c r="B2784" s="6" t="str">
        <f aca="false">HYPERLINK("https://mncourtfraud.com/file/MCRO_27-CR-22-20033_Notice of Hearing_2023-03-23_20240429162652.pdf","MCRO_27-CR-22-20033_Notice of Hearing_2023-03-23_20240429162652.pdf")</f>
        <v>MCRO_27-CR-22-20033_Notice of Hearing_2023-03-23_20240429162652.pdf</v>
      </c>
      <c r="C2784" s="1" t="n">
        <v>4</v>
      </c>
      <c r="D2784" s="1" t="n">
        <v>1</v>
      </c>
      <c r="E2784" s="1" t="n">
        <v>1</v>
      </c>
      <c r="F2784" s="3" t="s">
        <v>20</v>
      </c>
      <c r="G2784" s="3" t="s">
        <v>11249</v>
      </c>
      <c r="H2784" s="1" t="s">
        <v>22</v>
      </c>
      <c r="I2784" s="1" t="n">
        <v>20240429162652</v>
      </c>
      <c r="J2784" s="3" t="s">
        <v>11250</v>
      </c>
      <c r="K2784" s="3" t="s">
        <v>11251</v>
      </c>
      <c r="L2784" s="3" t="s">
        <v>6928</v>
      </c>
      <c r="M2784" s="3" t="n">
        <v>730183</v>
      </c>
      <c r="N2784" s="3" t="s">
        <v>913</v>
      </c>
      <c r="O2784" s="1" t="n">
        <v>713797</v>
      </c>
      <c r="P2784" s="1" t="n">
        <v>97.76</v>
      </c>
      <c r="Q2784" s="1" t="s">
        <v>20</v>
      </c>
      <c r="R2784" s="1" t="s">
        <v>27</v>
      </c>
      <c r="S2784" s="1" t="s">
        <v>28</v>
      </c>
      <c r="T2784" s="1" t="s">
        <v>29</v>
      </c>
    </row>
    <row r="2785" customFormat="false" ht="18.7" hidden="false" customHeight="true" outlineLevel="0" collapsed="false">
      <c r="A2785" s="1" t="n">
        <v>2784</v>
      </c>
      <c r="B2785" s="6" t="str">
        <f aca="false">HYPERLINK("https://mncourtfraud.com/file/MCRO_27-CR-22-20033_Notice of Hearing_2023-04-05_20240429162651.pdf","MCRO_27-CR-22-20033_Notice of Hearing_2023-04-05_20240429162651.pdf")</f>
        <v>MCRO_27-CR-22-20033_Notice of Hearing_2023-04-05_20240429162651.pdf</v>
      </c>
      <c r="C2785" s="1" t="n">
        <v>4</v>
      </c>
      <c r="D2785" s="1" t="n">
        <v>1</v>
      </c>
      <c r="E2785" s="1" t="n">
        <v>1</v>
      </c>
      <c r="F2785" s="3" t="s">
        <v>20</v>
      </c>
      <c r="G2785" s="3" t="s">
        <v>11252</v>
      </c>
      <c r="H2785" s="1" t="s">
        <v>22</v>
      </c>
      <c r="I2785" s="1" t="n">
        <v>20240429162651</v>
      </c>
      <c r="J2785" s="3" t="s">
        <v>11253</v>
      </c>
      <c r="K2785" s="3" t="s">
        <v>11254</v>
      </c>
      <c r="L2785" s="3" t="s">
        <v>6932</v>
      </c>
      <c r="M2785" s="3" t="n">
        <v>730177</v>
      </c>
      <c r="N2785" s="3" t="s">
        <v>913</v>
      </c>
      <c r="O2785" s="1" t="n">
        <v>713791</v>
      </c>
      <c r="P2785" s="1" t="n">
        <v>97.76</v>
      </c>
      <c r="Q2785" s="1" t="s">
        <v>20</v>
      </c>
      <c r="R2785" s="1" t="s">
        <v>27</v>
      </c>
      <c r="S2785" s="1" t="s">
        <v>28</v>
      </c>
      <c r="T2785" s="1" t="s">
        <v>29</v>
      </c>
    </row>
    <row r="2786" customFormat="false" ht="18.7" hidden="false" customHeight="true" outlineLevel="0" collapsed="false">
      <c r="A2786" s="1" t="n">
        <v>2785</v>
      </c>
      <c r="B2786" s="6" t="str">
        <f aca="false">HYPERLINK("https://mncourtfraud.com/file/MCRO_27-CR-22-20033_Notice of Hearing_2023-08-25_20240429162648.pdf","MCRO_27-CR-22-20033_Notice of Hearing_2023-08-25_20240429162648.pdf")</f>
        <v>MCRO_27-CR-22-20033_Notice of Hearing_2023-08-25_20240429162648.pdf</v>
      </c>
      <c r="C2786" s="1" t="n">
        <v>4</v>
      </c>
      <c r="D2786" s="1" t="n">
        <v>1</v>
      </c>
      <c r="E2786" s="1" t="n">
        <v>1</v>
      </c>
      <c r="F2786" s="3" t="s">
        <v>20</v>
      </c>
      <c r="G2786" s="3" t="s">
        <v>11255</v>
      </c>
      <c r="H2786" s="1" t="s">
        <v>22</v>
      </c>
      <c r="I2786" s="1" t="n">
        <v>20240429162648</v>
      </c>
      <c r="J2786" s="3" t="s">
        <v>11256</v>
      </c>
      <c r="K2786" s="3" t="s">
        <v>11257</v>
      </c>
      <c r="L2786" s="3" t="s">
        <v>11258</v>
      </c>
      <c r="M2786" s="3" t="n">
        <v>747861</v>
      </c>
      <c r="N2786" s="3" t="s">
        <v>4639</v>
      </c>
      <c r="O2786" s="1" t="n">
        <v>731475</v>
      </c>
      <c r="P2786" s="1" t="n">
        <v>97.81</v>
      </c>
      <c r="Q2786" s="1" t="s">
        <v>20</v>
      </c>
      <c r="R2786" s="1" t="s">
        <v>27</v>
      </c>
      <c r="S2786" s="1" t="s">
        <v>28</v>
      </c>
      <c r="T2786" s="1" t="s">
        <v>29</v>
      </c>
    </row>
    <row r="2787" customFormat="false" ht="18.7" hidden="false" customHeight="true" outlineLevel="0" collapsed="false">
      <c r="A2787" s="1" t="n">
        <v>2786</v>
      </c>
      <c r="B2787" s="6" t="str">
        <f aca="false">HYPERLINK("https://mncourtfraud.com/file/MCRO_27-CR-22-20033_Notice of Hearing_2023-10-24_20240429162644.pdf","MCRO_27-CR-22-20033_Notice of Hearing_2023-10-24_20240429162644.pdf")</f>
        <v>MCRO_27-CR-22-20033_Notice of Hearing_2023-10-24_20240429162644.pdf</v>
      </c>
      <c r="C2787" s="1" t="n">
        <v>4</v>
      </c>
      <c r="D2787" s="1" t="n">
        <v>1</v>
      </c>
      <c r="E2787" s="1" t="n">
        <v>1</v>
      </c>
      <c r="F2787" s="3" t="s">
        <v>20</v>
      </c>
      <c r="G2787" s="3" t="s">
        <v>11259</v>
      </c>
      <c r="H2787" s="1" t="s">
        <v>22</v>
      </c>
      <c r="I2787" s="1" t="n">
        <v>20240429162644</v>
      </c>
      <c r="J2787" s="3" t="s">
        <v>11260</v>
      </c>
      <c r="K2787" s="3" t="s">
        <v>11261</v>
      </c>
      <c r="L2787" s="3" t="s">
        <v>6777</v>
      </c>
      <c r="M2787" s="3" t="n">
        <v>369118</v>
      </c>
      <c r="N2787" s="3" t="s">
        <v>119</v>
      </c>
      <c r="O2787" s="1" t="n">
        <v>352732</v>
      </c>
      <c r="P2787" s="1" t="n">
        <v>95.56</v>
      </c>
      <c r="Q2787" s="1" t="s">
        <v>20</v>
      </c>
      <c r="R2787" s="1" t="s">
        <v>27</v>
      </c>
      <c r="S2787" s="1" t="s">
        <v>28</v>
      </c>
      <c r="T2787" s="1" t="s">
        <v>29</v>
      </c>
    </row>
    <row r="2788" customFormat="false" ht="18.7" hidden="false" customHeight="true" outlineLevel="0" collapsed="false">
      <c r="A2788" s="1" t="n">
        <v>2787</v>
      </c>
      <c r="B2788" s="6" t="str">
        <f aca="false">HYPERLINK("https://mncourtfraud.com/file/MCRO_27-CR-22-20033_Notice of Hearing_2023-10-25_20240429162643.pdf","MCRO_27-CR-22-20033_Notice of Hearing_2023-10-25_20240429162643.pdf")</f>
        <v>MCRO_27-CR-22-20033_Notice of Hearing_2023-10-25_20240429162643.pdf</v>
      </c>
      <c r="C2788" s="1" t="n">
        <v>4</v>
      </c>
      <c r="D2788" s="1" t="n">
        <v>1</v>
      </c>
      <c r="E2788" s="1" t="n">
        <v>1</v>
      </c>
      <c r="F2788" s="3" t="s">
        <v>20</v>
      </c>
      <c r="G2788" s="3" t="s">
        <v>11262</v>
      </c>
      <c r="H2788" s="1" t="s">
        <v>22</v>
      </c>
      <c r="I2788" s="1" t="n">
        <v>20240429162643</v>
      </c>
      <c r="J2788" s="3" t="s">
        <v>11263</v>
      </c>
      <c r="K2788" s="3" t="s">
        <v>11264</v>
      </c>
      <c r="L2788" s="3" t="s">
        <v>11265</v>
      </c>
      <c r="M2788" s="3" t="n">
        <v>730277</v>
      </c>
      <c r="N2788" s="3" t="s">
        <v>913</v>
      </c>
      <c r="O2788" s="1" t="n">
        <v>713891</v>
      </c>
      <c r="P2788" s="1" t="n">
        <v>97.76</v>
      </c>
      <c r="Q2788" s="1" t="s">
        <v>20</v>
      </c>
      <c r="R2788" s="1" t="s">
        <v>27</v>
      </c>
      <c r="S2788" s="1" t="s">
        <v>28</v>
      </c>
      <c r="T2788" s="1" t="s">
        <v>29</v>
      </c>
    </row>
    <row r="2789" customFormat="false" ht="18.7" hidden="false" customHeight="true" outlineLevel="0" collapsed="false">
      <c r="A2789" s="1" t="n">
        <v>2788</v>
      </c>
      <c r="B2789" s="6" t="str">
        <f aca="false">HYPERLINK("https://mncourtfraud.com/file/MCRO_27-CR-22-20033_Notice of Remote Hearing with Instructions_2023-08-25_20240429162649.pdf","MCRO_27-CR-22-20033_Notice of Remote Hearing with Instructions_2023-08-25_20240429162649.pdf")</f>
        <v>MCRO_27-CR-22-20033_Notice of Remote Hearing with Instructions_2023-08-25_20240429162649.pdf</v>
      </c>
      <c r="C2789" s="1" t="n">
        <v>4</v>
      </c>
      <c r="D2789" s="1" t="n">
        <v>1</v>
      </c>
      <c r="E2789" s="1" t="n">
        <v>1</v>
      </c>
      <c r="F2789" s="3" t="s">
        <v>20</v>
      </c>
      <c r="G2789" s="3" t="s">
        <v>11266</v>
      </c>
      <c r="H2789" s="1" t="s">
        <v>22</v>
      </c>
      <c r="I2789" s="1" t="n">
        <v>20240429162649</v>
      </c>
      <c r="J2789" s="3" t="s">
        <v>11267</v>
      </c>
      <c r="K2789" s="3" t="s">
        <v>11268</v>
      </c>
      <c r="L2789" s="3" t="s">
        <v>11269</v>
      </c>
      <c r="M2789" s="3" t="n">
        <v>248577</v>
      </c>
      <c r="N2789" s="3" t="s">
        <v>500</v>
      </c>
      <c r="O2789" s="1" t="n">
        <v>232191</v>
      </c>
      <c r="P2789" s="1" t="n">
        <v>93.41</v>
      </c>
      <c r="Q2789" s="1" t="s">
        <v>20</v>
      </c>
      <c r="R2789" s="1" t="s">
        <v>27</v>
      </c>
      <c r="S2789" s="1" t="s">
        <v>28</v>
      </c>
      <c r="T2789" s="1" t="s">
        <v>29</v>
      </c>
    </row>
    <row r="2790" customFormat="false" ht="18.7" hidden="false" customHeight="true" outlineLevel="0" collapsed="false">
      <c r="A2790" s="1" t="n">
        <v>2789</v>
      </c>
      <c r="B2790" s="6" t="str">
        <f aca="false">HYPERLINK("https://mncourtfraud.com/file/MCRO_27-CR-22-20033_Notice of Remote Hearing with Instructions_2023-10-24_20240429162646.pdf","MCRO_27-CR-22-20033_Notice of Remote Hearing with Instructions_2023-10-24_20240429162646.pdf")</f>
        <v>MCRO_27-CR-22-20033_Notice of Remote Hearing with Instructions_2023-10-24_20240429162646.pdf</v>
      </c>
      <c r="C2790" s="1" t="n">
        <v>5</v>
      </c>
      <c r="D2790" s="1" t="n">
        <v>1</v>
      </c>
      <c r="E2790" s="1" t="n">
        <v>1</v>
      </c>
      <c r="F2790" s="3" t="s">
        <v>20</v>
      </c>
      <c r="G2790" s="3" t="s">
        <v>11270</v>
      </c>
      <c r="H2790" s="1" t="s">
        <v>22</v>
      </c>
      <c r="I2790" s="1" t="n">
        <v>20240429162646</v>
      </c>
      <c r="J2790" s="3" t="s">
        <v>11271</v>
      </c>
      <c r="K2790" s="3" t="s">
        <v>11272</v>
      </c>
      <c r="L2790" s="3" t="s">
        <v>6835</v>
      </c>
      <c r="M2790" s="3" t="n">
        <v>855422</v>
      </c>
      <c r="N2790" s="3" t="s">
        <v>1248</v>
      </c>
      <c r="O2790" s="1" t="n">
        <v>839036</v>
      </c>
      <c r="P2790" s="1" t="n">
        <v>98.08</v>
      </c>
      <c r="Q2790" s="1" t="s">
        <v>20</v>
      </c>
      <c r="R2790" s="1" t="s">
        <v>27</v>
      </c>
      <c r="S2790" s="1" t="s">
        <v>28</v>
      </c>
      <c r="T2790" s="1" t="s">
        <v>29</v>
      </c>
    </row>
    <row r="2791" customFormat="false" ht="18.7" hidden="false" customHeight="true" outlineLevel="0" collapsed="false">
      <c r="A2791" s="1" t="n">
        <v>2790</v>
      </c>
      <c r="B2791" s="6" t="str">
        <f aca="false">HYPERLINK("https://mncourtfraud.com/file/MCRO_27-CR-22-20033_Order-Evaluation for Competency to Proceed (Rule 20.01)_2022-11-17_20240429162655.pdf","MCRO_27-CR-22-20033_Order-Evaluation for Competency to Proceed (Rule 20.01)_2022-11-17_20240429162655.pdf")</f>
        <v>MCRO_27-CR-22-20033_Order-Evaluation for Competency to Proceed (Rule 20.01)_2022-11-17_20240429162655.pdf</v>
      </c>
      <c r="C2791" s="1" t="n">
        <v>4</v>
      </c>
      <c r="D2791" s="1" t="n">
        <v>1</v>
      </c>
      <c r="E2791" s="1" t="n">
        <v>1</v>
      </c>
      <c r="F2791" s="3" t="s">
        <v>20</v>
      </c>
      <c r="G2791" s="3" t="s">
        <v>11273</v>
      </c>
      <c r="H2791" s="1" t="s">
        <v>22</v>
      </c>
      <c r="I2791" s="1" t="n">
        <v>20240429162655</v>
      </c>
      <c r="J2791" s="3" t="s">
        <v>11274</v>
      </c>
      <c r="K2791" s="3" t="s">
        <v>11275</v>
      </c>
      <c r="L2791" s="3" t="s">
        <v>11276</v>
      </c>
      <c r="M2791" s="3" t="n">
        <v>816725</v>
      </c>
      <c r="N2791" s="3" t="s">
        <v>2496</v>
      </c>
      <c r="O2791" s="1" t="n">
        <v>800339</v>
      </c>
      <c r="P2791" s="1" t="n">
        <v>97.99</v>
      </c>
      <c r="Q2791" s="1" t="s">
        <v>20</v>
      </c>
      <c r="R2791" s="1" t="s">
        <v>27</v>
      </c>
      <c r="S2791" s="1" t="s">
        <v>28</v>
      </c>
      <c r="T2791" s="1" t="s">
        <v>29</v>
      </c>
    </row>
    <row r="2792" customFormat="false" ht="18.7" hidden="false" customHeight="true" outlineLevel="0" collapsed="false">
      <c r="A2792" s="1" t="n">
        <v>2791</v>
      </c>
      <c r="B2792" s="6" t="str">
        <f aca="false">HYPERLINK("https://mncourtfraud.com/file/MCRO_27-CR-22-20033_Order-Evaluation for Competency to Proceed (Rule 20.01)_2023-08-25_20240429162647.pdf","MCRO_27-CR-22-20033_Order-Evaluation for Competency to Proceed (Rule 20.01)_2023-08-25_20240429162647.pdf")</f>
        <v>MCRO_27-CR-22-20033_Order-Evaluation for Competency to Proceed (Rule 20.01)_2023-08-25_20240429162647.pdf</v>
      </c>
      <c r="C2792" s="1" t="n">
        <v>4</v>
      </c>
      <c r="D2792" s="1" t="n">
        <v>1</v>
      </c>
      <c r="E2792" s="1" t="n">
        <v>1</v>
      </c>
      <c r="F2792" s="3" t="s">
        <v>20</v>
      </c>
      <c r="G2792" s="3" t="s">
        <v>11277</v>
      </c>
      <c r="H2792" s="1" t="s">
        <v>22</v>
      </c>
      <c r="I2792" s="1" t="n">
        <v>20240429162647</v>
      </c>
      <c r="J2792" s="3" t="s">
        <v>11278</v>
      </c>
      <c r="K2792" s="3" t="s">
        <v>11279</v>
      </c>
      <c r="L2792" s="3" t="s">
        <v>11280</v>
      </c>
      <c r="M2792" s="3" t="n">
        <v>168417</v>
      </c>
      <c r="N2792" s="3" t="s">
        <v>104</v>
      </c>
      <c r="O2792" s="1" t="n">
        <v>152031</v>
      </c>
      <c r="P2792" s="1" t="n">
        <v>90.27</v>
      </c>
      <c r="Q2792" s="1" t="s">
        <v>20</v>
      </c>
      <c r="R2792" s="1" t="s">
        <v>27</v>
      </c>
      <c r="S2792" s="1" t="s">
        <v>28</v>
      </c>
      <c r="T2792" s="1" t="s">
        <v>29</v>
      </c>
    </row>
    <row r="2793" customFormat="false" ht="18.7" hidden="false" customHeight="true" outlineLevel="0" collapsed="false">
      <c r="A2793" s="1" t="n">
        <v>2792</v>
      </c>
      <c r="B2793" s="6" t="str">
        <f aca="false">HYPERLINK("https://mncourtfraud.com/file/MCRO_27-CR-22-20033_Order for Conditional Release_2022-10-26_20240429162657.pdf","MCRO_27-CR-22-20033_Order for Conditional Release_2022-10-26_20240429162657.pdf")</f>
        <v>MCRO_27-CR-22-20033_Order for Conditional Release_2022-10-26_20240429162657.pdf</v>
      </c>
      <c r="C2793" s="1" t="n">
        <v>4</v>
      </c>
      <c r="D2793" s="1" t="n">
        <v>1</v>
      </c>
      <c r="E2793" s="1" t="n">
        <v>1</v>
      </c>
      <c r="F2793" s="3" t="s">
        <v>20</v>
      </c>
      <c r="G2793" s="3" t="s">
        <v>11281</v>
      </c>
      <c r="H2793" s="1" t="s">
        <v>22</v>
      </c>
      <c r="I2793" s="1" t="n">
        <v>20240429162657</v>
      </c>
      <c r="J2793" s="3" t="s">
        <v>11282</v>
      </c>
      <c r="K2793" s="3" t="s">
        <v>11283</v>
      </c>
      <c r="L2793" s="3" t="s">
        <v>11284</v>
      </c>
      <c r="M2793" s="3" t="n">
        <v>742208</v>
      </c>
      <c r="N2793" s="3" t="s">
        <v>1065</v>
      </c>
      <c r="O2793" s="1" t="n">
        <v>725822</v>
      </c>
      <c r="P2793" s="1" t="n">
        <v>97.79</v>
      </c>
      <c r="Q2793" s="1" t="s">
        <v>20</v>
      </c>
      <c r="R2793" s="1" t="s">
        <v>27</v>
      </c>
      <c r="S2793" s="1" t="s">
        <v>28</v>
      </c>
      <c r="T2793" s="1" t="s">
        <v>29</v>
      </c>
    </row>
    <row r="2794" customFormat="false" ht="18.7" hidden="false" customHeight="true" outlineLevel="0" collapsed="false">
      <c r="A2794" s="1" t="n">
        <v>2793</v>
      </c>
      <c r="B2794" s="6" t="str">
        <f aca="false">HYPERLINK("https://mncourtfraud.com/file/MCRO_27-CR-22-20033_Order-Other_2023-12-11_20240429162639.pdf","MCRO_27-CR-22-20033_Order-Other_2023-12-11_20240429162639.pdf")</f>
        <v>MCRO_27-CR-22-20033_Order-Other_2023-12-11_20240429162639.pdf</v>
      </c>
      <c r="C2794" s="1" t="n">
        <v>4</v>
      </c>
      <c r="D2794" s="1" t="n">
        <v>1</v>
      </c>
      <c r="E2794" s="1" t="n">
        <v>1</v>
      </c>
      <c r="F2794" s="3" t="s">
        <v>20</v>
      </c>
      <c r="G2794" s="3" t="s">
        <v>11285</v>
      </c>
      <c r="H2794" s="1" t="s">
        <v>22</v>
      </c>
      <c r="I2794" s="1" t="n">
        <v>20240429162639</v>
      </c>
      <c r="J2794" s="3" t="s">
        <v>11286</v>
      </c>
      <c r="K2794" s="3" t="s">
        <v>11287</v>
      </c>
      <c r="L2794" s="3" t="s">
        <v>11288</v>
      </c>
      <c r="M2794" s="3" t="n">
        <v>1992728</v>
      </c>
      <c r="N2794" s="3" t="s">
        <v>104</v>
      </c>
      <c r="O2794" s="1" t="n">
        <v>1976342</v>
      </c>
      <c r="P2794" s="1" t="n">
        <v>99.18</v>
      </c>
      <c r="Q2794" s="1" t="s">
        <v>20</v>
      </c>
      <c r="R2794" s="1" t="s">
        <v>27</v>
      </c>
      <c r="S2794" s="1" t="s">
        <v>28</v>
      </c>
      <c r="T2794" s="1" t="s">
        <v>29</v>
      </c>
    </row>
    <row r="2795" customFormat="false" ht="18.7" hidden="false" customHeight="true" outlineLevel="0" collapsed="false">
      <c r="A2795" s="1" t="n">
        <v>2794</v>
      </c>
      <c r="B2795" s="6" t="str">
        <f aca="false">HYPERLINK("https://mncourtfraud.com/file/MCRO_27-CR-22-20033_Petition to Enter Guilty Plea_2023-12-11_20240429162638.pdf","MCRO_27-CR-22-20033_Petition to Enter Guilty Plea_2023-12-11_20240429162638.pdf")</f>
        <v>MCRO_27-CR-22-20033_Petition to Enter Guilty Plea_2023-12-11_20240429162638.pdf</v>
      </c>
      <c r="C2795" s="1" t="n">
        <v>4</v>
      </c>
      <c r="D2795" s="1" t="n">
        <v>1</v>
      </c>
      <c r="E2795" s="1" t="n">
        <v>1</v>
      </c>
      <c r="F2795" s="3" t="s">
        <v>20</v>
      </c>
      <c r="G2795" s="3" t="s">
        <v>11289</v>
      </c>
      <c r="H2795" s="1" t="s">
        <v>22</v>
      </c>
      <c r="I2795" s="1" t="n">
        <v>20240429162638</v>
      </c>
      <c r="J2795" s="3" t="s">
        <v>11290</v>
      </c>
      <c r="K2795" s="3" t="s">
        <v>11291</v>
      </c>
      <c r="L2795" s="3" t="s">
        <v>11292</v>
      </c>
      <c r="M2795" s="3" t="n">
        <v>2726525</v>
      </c>
      <c r="N2795" s="3" t="s">
        <v>3445</v>
      </c>
      <c r="O2795" s="1" t="n">
        <v>2710139</v>
      </c>
      <c r="P2795" s="1" t="n">
        <v>99.4</v>
      </c>
      <c r="Q2795" s="1" t="s">
        <v>20</v>
      </c>
      <c r="R2795" s="1" t="s">
        <v>27</v>
      </c>
      <c r="S2795" s="1" t="s">
        <v>28</v>
      </c>
      <c r="T2795" s="1" t="s">
        <v>29</v>
      </c>
    </row>
    <row r="2796" customFormat="false" ht="18.7" hidden="false" customHeight="true" outlineLevel="0" collapsed="false">
      <c r="A2796" s="1" t="n">
        <v>2795</v>
      </c>
      <c r="B2796" s="6" t="str">
        <f aca="false">HYPERLINK("https://mncourtfraud.com/file/MCRO_27-CR-22-20033_Returned Mail_2023-05-18_20240429162650.pdf","MCRO_27-CR-22-20033_Returned Mail_2023-05-18_20240429162650.pdf")</f>
        <v>MCRO_27-CR-22-20033_Returned Mail_2023-05-18_20240429162650.pdf</v>
      </c>
      <c r="C2796" s="1" t="n">
        <v>4</v>
      </c>
      <c r="D2796" s="1" t="n">
        <v>1</v>
      </c>
      <c r="E2796" s="1" t="n">
        <v>1</v>
      </c>
      <c r="F2796" s="3" t="s">
        <v>20</v>
      </c>
      <c r="G2796" s="3" t="s">
        <v>11293</v>
      </c>
      <c r="H2796" s="1" t="s">
        <v>22</v>
      </c>
      <c r="I2796" s="1" t="n">
        <v>20240429162650</v>
      </c>
      <c r="J2796" s="3" t="s">
        <v>11294</v>
      </c>
      <c r="K2796" s="3" t="s">
        <v>11295</v>
      </c>
      <c r="L2796" s="3" t="s">
        <v>11296</v>
      </c>
      <c r="M2796" s="3" t="n">
        <v>311588</v>
      </c>
      <c r="N2796" s="3" t="s">
        <v>158</v>
      </c>
      <c r="O2796" s="1" t="n">
        <v>295202</v>
      </c>
      <c r="P2796" s="1" t="n">
        <v>94.74</v>
      </c>
      <c r="Q2796" s="1" t="s">
        <v>20</v>
      </c>
      <c r="R2796" s="1" t="s">
        <v>27</v>
      </c>
      <c r="S2796" s="1" t="s">
        <v>28</v>
      </c>
      <c r="T2796" s="1" t="s">
        <v>29</v>
      </c>
    </row>
    <row r="2797" customFormat="false" ht="18.7" hidden="false" customHeight="true" outlineLevel="0" collapsed="false">
      <c r="A2797" s="1" t="n">
        <v>2796</v>
      </c>
      <c r="B2797" s="6" t="str">
        <f aca="false">HYPERLINK("https://mncourtfraud.com/file/MCRO_27-CR-22-20033_Returned Mail_2023-10-11_20240429162646.pdf","MCRO_27-CR-22-20033_Returned Mail_2023-10-11_20240429162646.pdf")</f>
        <v>MCRO_27-CR-22-20033_Returned Mail_2023-10-11_20240429162646.pdf</v>
      </c>
      <c r="C2797" s="1" t="n">
        <v>4</v>
      </c>
      <c r="D2797" s="1" t="n">
        <v>1</v>
      </c>
      <c r="E2797" s="1" t="n">
        <v>1</v>
      </c>
      <c r="F2797" s="3" t="s">
        <v>20</v>
      </c>
      <c r="G2797" s="3" t="s">
        <v>11297</v>
      </c>
      <c r="H2797" s="1" t="s">
        <v>22</v>
      </c>
      <c r="I2797" s="1" t="n">
        <v>20240429162646</v>
      </c>
      <c r="J2797" s="3" t="s">
        <v>11298</v>
      </c>
      <c r="K2797" s="3" t="s">
        <v>11299</v>
      </c>
      <c r="L2797" s="3" t="s">
        <v>4758</v>
      </c>
      <c r="M2797" s="3" t="n">
        <v>205888</v>
      </c>
      <c r="N2797" s="3" t="s">
        <v>119</v>
      </c>
      <c r="O2797" s="1" t="n">
        <v>189502</v>
      </c>
      <c r="P2797" s="1" t="n">
        <v>92.04</v>
      </c>
      <c r="Q2797" s="1" t="s">
        <v>20</v>
      </c>
      <c r="R2797" s="1" t="s">
        <v>27</v>
      </c>
      <c r="S2797" s="1" t="s">
        <v>28</v>
      </c>
      <c r="T2797" s="1" t="s">
        <v>29</v>
      </c>
    </row>
    <row r="2798" customFormat="false" ht="18.7" hidden="false" customHeight="true" outlineLevel="0" collapsed="false">
      <c r="A2798" s="1" t="n">
        <v>2797</v>
      </c>
      <c r="B2798" s="6" t="str">
        <f aca="false">HYPERLINK("https://mncourtfraud.com/file/MCRO_27-CR-22-20033_Returned Mail_2023-11-14_20240429162642.pdf","MCRO_27-CR-22-20033_Returned Mail_2023-11-14_20240429162642.pdf")</f>
        <v>MCRO_27-CR-22-20033_Returned Mail_2023-11-14_20240429162642.pdf</v>
      </c>
      <c r="C2798" s="1" t="n">
        <v>4</v>
      </c>
      <c r="D2798" s="1" t="n">
        <v>1</v>
      </c>
      <c r="E2798" s="1" t="n">
        <v>1</v>
      </c>
      <c r="F2798" s="3" t="s">
        <v>20</v>
      </c>
      <c r="G2798" s="3" t="s">
        <v>11300</v>
      </c>
      <c r="H2798" s="1" t="s">
        <v>22</v>
      </c>
      <c r="I2798" s="1" t="n">
        <v>20240429162642</v>
      </c>
      <c r="J2798" s="3" t="s">
        <v>11301</v>
      </c>
      <c r="K2798" s="3" t="s">
        <v>11302</v>
      </c>
      <c r="L2798" s="3" t="s">
        <v>4762</v>
      </c>
      <c r="M2798" s="3" t="n">
        <v>211301</v>
      </c>
      <c r="N2798" s="3" t="s">
        <v>119</v>
      </c>
      <c r="O2798" s="1" t="n">
        <v>194915</v>
      </c>
      <c r="P2798" s="1" t="n">
        <v>92.25</v>
      </c>
      <c r="Q2798" s="1" t="s">
        <v>20</v>
      </c>
      <c r="R2798" s="1" t="s">
        <v>27</v>
      </c>
      <c r="S2798" s="1" t="s">
        <v>28</v>
      </c>
      <c r="T2798" s="1" t="s">
        <v>29</v>
      </c>
    </row>
    <row r="2799" customFormat="false" ht="18.7" hidden="false" customHeight="true" outlineLevel="0" collapsed="false">
      <c r="A2799" s="1" t="n">
        <v>2798</v>
      </c>
      <c r="B2799" s="6" t="str">
        <f aca="false">HYPERLINK("https://mncourtfraud.com/file/MCRO_27-CR-22-20033_Returned Mail_2023-12-04_20240429162640.pdf","MCRO_27-CR-22-20033_Returned Mail_2023-12-04_20240429162640.pdf")</f>
        <v>MCRO_27-CR-22-20033_Returned Mail_2023-12-04_20240429162640.pdf</v>
      </c>
      <c r="C2799" s="1" t="n">
        <v>4</v>
      </c>
      <c r="D2799" s="1" t="n">
        <v>1</v>
      </c>
      <c r="E2799" s="1" t="n">
        <v>1</v>
      </c>
      <c r="F2799" s="3" t="s">
        <v>20</v>
      </c>
      <c r="G2799" s="3" t="s">
        <v>11303</v>
      </c>
      <c r="H2799" s="1" t="s">
        <v>22</v>
      </c>
      <c r="I2799" s="1" t="n">
        <v>20240429162640</v>
      </c>
      <c r="J2799" s="3" t="s">
        <v>11304</v>
      </c>
      <c r="K2799" s="3" t="s">
        <v>11305</v>
      </c>
      <c r="L2799" s="3" t="s">
        <v>11306</v>
      </c>
      <c r="M2799" s="3" t="n">
        <v>102129</v>
      </c>
      <c r="N2799" s="3" t="s">
        <v>435</v>
      </c>
      <c r="O2799" s="1" t="n">
        <v>85743</v>
      </c>
      <c r="P2799" s="1" t="n">
        <v>83.96</v>
      </c>
      <c r="Q2799" s="1" t="s">
        <v>20</v>
      </c>
      <c r="R2799" s="1" t="s">
        <v>27</v>
      </c>
      <c r="S2799" s="1" t="s">
        <v>28</v>
      </c>
      <c r="T2799" s="1" t="s">
        <v>29</v>
      </c>
    </row>
    <row r="2800" customFormat="false" ht="18.7" hidden="false" customHeight="true" outlineLevel="0" collapsed="false">
      <c r="A2800" s="1" t="n">
        <v>2799</v>
      </c>
      <c r="B2800" s="6" t="str">
        <f aca="false">HYPERLINK("https://mncourtfraud.com/file/MCRO_27-CR-22-20033_Sentencing Order_2023-12-11_20240429162637.pdf","MCRO_27-CR-22-20033_Sentencing Order_2023-12-11_20240429162637.pdf")</f>
        <v>MCRO_27-CR-22-20033_Sentencing Order_2023-12-11_20240429162637.pdf</v>
      </c>
      <c r="C2800" s="1" t="n">
        <v>4</v>
      </c>
      <c r="D2800" s="1" t="n">
        <v>1</v>
      </c>
      <c r="E2800" s="1" t="n">
        <v>1</v>
      </c>
      <c r="F2800" s="3" t="s">
        <v>20</v>
      </c>
      <c r="G2800" s="3" t="s">
        <v>11307</v>
      </c>
      <c r="H2800" s="1" t="s">
        <v>22</v>
      </c>
      <c r="I2800" s="1" t="n">
        <v>20240429162637</v>
      </c>
      <c r="J2800" s="3" t="s">
        <v>11308</v>
      </c>
      <c r="K2800" s="3" t="s">
        <v>11309</v>
      </c>
      <c r="L2800" s="3" t="s">
        <v>11310</v>
      </c>
      <c r="M2800" s="3" t="n">
        <v>277470</v>
      </c>
      <c r="N2800" s="3" t="s">
        <v>11311</v>
      </c>
      <c r="O2800" s="1" t="n">
        <v>261084</v>
      </c>
      <c r="P2800" s="1" t="n">
        <v>94.09</v>
      </c>
      <c r="Q2800" s="1" t="s">
        <v>20</v>
      </c>
      <c r="R2800" s="1" t="s">
        <v>27</v>
      </c>
      <c r="S2800" s="1" t="s">
        <v>28</v>
      </c>
      <c r="T2800" s="1" t="s">
        <v>29</v>
      </c>
    </row>
    <row r="2801" customFormat="false" ht="18.7" hidden="false" customHeight="true" outlineLevel="0" collapsed="false">
      <c r="A2801" s="1" t="n">
        <v>2800</v>
      </c>
      <c r="B2801" s="6" t="str">
        <f aca="false">HYPERLINK("https://mncourtfraud.com/file/MCRO_27-CR-22-20033_Summons_2022-10-06_20240429162659.pdf","MCRO_27-CR-22-20033_Summons_2022-10-06_20240429162659.pdf")</f>
        <v>MCRO_27-CR-22-20033_Summons_2022-10-06_20240429162659.pdf</v>
      </c>
      <c r="C2801" s="1" t="n">
        <v>5</v>
      </c>
      <c r="D2801" s="1" t="n">
        <v>1</v>
      </c>
      <c r="E2801" s="1" t="n">
        <v>1</v>
      </c>
      <c r="F2801" s="3" t="s">
        <v>20</v>
      </c>
      <c r="G2801" s="3" t="s">
        <v>11312</v>
      </c>
      <c r="H2801" s="1" t="s">
        <v>22</v>
      </c>
      <c r="I2801" s="1" t="n">
        <v>20240429162659</v>
      </c>
      <c r="J2801" s="3" t="s">
        <v>11313</v>
      </c>
      <c r="K2801" s="3" t="s">
        <v>11314</v>
      </c>
      <c r="L2801" s="3" t="s">
        <v>11315</v>
      </c>
      <c r="M2801" s="3" t="n">
        <v>701134</v>
      </c>
      <c r="N2801" s="3" t="s">
        <v>2723</v>
      </c>
      <c r="O2801" s="1" t="n">
        <v>684748</v>
      </c>
      <c r="P2801" s="1" t="n">
        <v>97.66</v>
      </c>
      <c r="Q2801" s="1" t="s">
        <v>20</v>
      </c>
      <c r="R2801" s="1" t="s">
        <v>27</v>
      </c>
      <c r="S2801" s="1" t="s">
        <v>28</v>
      </c>
      <c r="T2801" s="1" t="s">
        <v>29</v>
      </c>
    </row>
    <row r="2802" customFormat="false" ht="18.7" hidden="false" customHeight="true" outlineLevel="0" collapsed="false">
      <c r="A2802" s="1" t="n">
        <v>2801</v>
      </c>
      <c r="B2802" s="6" t="str">
        <f aca="false">HYPERLINK("https://mncourtfraud.com/file/MCRO_27-CR-22-20527_E-filed Comp-Order for Detention_2022-10-13_20240429162801.pdf","MCRO_27-CR-22-20527_E-filed Comp-Order for Detention_2022-10-13_20240429162801.pdf")</f>
        <v>MCRO_27-CR-22-20527_E-filed Comp-Order for Detention_2022-10-13_20240429162801.pdf</v>
      </c>
      <c r="C2802" s="1" t="n">
        <v>5</v>
      </c>
      <c r="D2802" s="1" t="n">
        <v>2</v>
      </c>
      <c r="E2802" s="1" t="n">
        <v>2</v>
      </c>
      <c r="F2802" s="3" t="s">
        <v>20</v>
      </c>
      <c r="G2802" s="3" t="s">
        <v>11316</v>
      </c>
      <c r="H2802" s="1" t="s">
        <v>22</v>
      </c>
      <c r="I2802" s="1" t="n">
        <v>20240429162801</v>
      </c>
      <c r="J2802" s="3" t="s">
        <v>11317</v>
      </c>
      <c r="K2802" s="3" t="s">
        <v>11318</v>
      </c>
      <c r="L2802" s="3" t="s">
        <v>11319</v>
      </c>
      <c r="M2802" s="3" t="n">
        <v>463754</v>
      </c>
      <c r="N2802" s="3" t="s">
        <v>801</v>
      </c>
      <c r="O2802" s="1" t="n">
        <v>447368</v>
      </c>
      <c r="P2802" s="1" t="n">
        <v>96.47</v>
      </c>
      <c r="Q2802" s="1" t="s">
        <v>20</v>
      </c>
      <c r="R2802" s="1" t="s">
        <v>27</v>
      </c>
      <c r="S2802" s="1" t="s">
        <v>28</v>
      </c>
      <c r="T2802" s="1" t="s">
        <v>29</v>
      </c>
    </row>
    <row r="2803" customFormat="false" ht="18.7" hidden="false" customHeight="true" outlineLevel="0" collapsed="false">
      <c r="A2803" s="1" t="n">
        <v>2802</v>
      </c>
      <c r="B2803" s="6" t="str">
        <f aca="false">HYPERLINK("https://mncourtfraud.com/file/MCRO_27-CR-22-20527_Findings and Order_2022-12-20_20240429162757.pdf","MCRO_27-CR-22-20527_Findings and Order_2022-12-20_20240429162757.pdf")</f>
        <v>MCRO_27-CR-22-20527_Findings and Order_2022-12-20_20240429162757.pdf</v>
      </c>
      <c r="C2803" s="1" t="n">
        <v>5</v>
      </c>
      <c r="D2803" s="1" t="n">
        <v>1</v>
      </c>
      <c r="E2803" s="1" t="n">
        <v>1</v>
      </c>
      <c r="F2803" s="3" t="s">
        <v>20</v>
      </c>
      <c r="G2803" s="3" t="s">
        <v>11320</v>
      </c>
      <c r="H2803" s="1" t="s">
        <v>22</v>
      </c>
      <c r="I2803" s="1" t="n">
        <v>20240429162757</v>
      </c>
      <c r="J2803" s="3" t="s">
        <v>11321</v>
      </c>
      <c r="K2803" s="3" t="s">
        <v>11322</v>
      </c>
      <c r="L2803" s="3" t="s">
        <v>11323</v>
      </c>
      <c r="M2803" s="3" t="n">
        <v>262701</v>
      </c>
      <c r="N2803" s="3" t="s">
        <v>44</v>
      </c>
      <c r="O2803" s="1" t="n">
        <v>246315</v>
      </c>
      <c r="P2803" s="1" t="n">
        <v>93.76</v>
      </c>
      <c r="Q2803" s="1" t="s">
        <v>20</v>
      </c>
      <c r="R2803" s="1" t="s">
        <v>27</v>
      </c>
      <c r="S2803" s="1" t="s">
        <v>28</v>
      </c>
      <c r="T2803" s="1" t="s">
        <v>29</v>
      </c>
    </row>
    <row r="2804" customFormat="false" ht="18.7" hidden="false" customHeight="true" outlineLevel="0" collapsed="false">
      <c r="A2804" s="1" t="n">
        <v>2803</v>
      </c>
      <c r="B2804" s="6" t="str">
        <f aca="false">HYPERLINK("https://mncourtfraud.com/file/MCRO_27-CR-22-20527_Memorandum_2023-11-01_20240429162753.pdf","MCRO_27-CR-22-20527_Memorandum_2023-11-01_20240429162753.pdf")</f>
        <v>MCRO_27-CR-22-20527_Memorandum_2023-11-01_20240429162753.pdf</v>
      </c>
      <c r="C2804" s="1" t="n">
        <v>3</v>
      </c>
      <c r="D2804" s="1" t="n">
        <v>1</v>
      </c>
      <c r="E2804" s="1" t="n">
        <v>1</v>
      </c>
      <c r="F2804" s="3" t="s">
        <v>20</v>
      </c>
      <c r="G2804" s="3" t="s">
        <v>11324</v>
      </c>
      <c r="H2804" s="1" t="s">
        <v>22</v>
      </c>
      <c r="I2804" s="1" t="n">
        <v>20240429162753</v>
      </c>
      <c r="J2804" s="3" t="s">
        <v>11325</v>
      </c>
      <c r="K2804" s="3" t="s">
        <v>11326</v>
      </c>
      <c r="L2804" s="3" t="s">
        <v>11327</v>
      </c>
      <c r="M2804" s="3" t="n">
        <v>909210</v>
      </c>
      <c r="N2804" s="3" t="s">
        <v>11328</v>
      </c>
      <c r="O2804" s="1" t="n">
        <v>892824</v>
      </c>
      <c r="P2804" s="1" t="n">
        <v>98.2</v>
      </c>
      <c r="Q2804" s="1" t="s">
        <v>20</v>
      </c>
      <c r="R2804" s="1" t="s">
        <v>27</v>
      </c>
      <c r="S2804" s="1" t="s">
        <v>28</v>
      </c>
      <c r="T2804" s="1" t="s">
        <v>29</v>
      </c>
    </row>
    <row r="2805" customFormat="false" ht="18.7" hidden="false" customHeight="true" outlineLevel="0" collapsed="false">
      <c r="A2805" s="1" t="n">
        <v>2804</v>
      </c>
      <c r="B2805" s="6" t="str">
        <f aca="false">HYPERLINK("https://mncourtfraud.com/file/MCRO_27-CR-22-20527_Memorandum_2023-12-15_20240429162750.pdf","MCRO_27-CR-22-20527_Memorandum_2023-12-15_20240429162750.pdf")</f>
        <v>MCRO_27-CR-22-20527_Memorandum_2023-12-15_20240429162750.pdf</v>
      </c>
      <c r="C2805" s="1" t="n">
        <v>4</v>
      </c>
      <c r="D2805" s="1" t="n">
        <v>1</v>
      </c>
      <c r="E2805" s="1" t="n">
        <v>1</v>
      </c>
      <c r="F2805" s="3" t="s">
        <v>20</v>
      </c>
      <c r="G2805" s="3" t="s">
        <v>11329</v>
      </c>
      <c r="H2805" s="1" t="s">
        <v>22</v>
      </c>
      <c r="I2805" s="1" t="n">
        <v>20240429162750</v>
      </c>
      <c r="J2805" s="3" t="s">
        <v>11330</v>
      </c>
      <c r="K2805" s="3" t="s">
        <v>11331</v>
      </c>
      <c r="L2805" s="3" t="s">
        <v>11332</v>
      </c>
      <c r="M2805" s="3" t="n">
        <v>1193218</v>
      </c>
      <c r="N2805" s="3" t="s">
        <v>11333</v>
      </c>
      <c r="O2805" s="1" t="n">
        <v>1176832</v>
      </c>
      <c r="P2805" s="1" t="n">
        <v>98.63</v>
      </c>
      <c r="Q2805" s="1" t="s">
        <v>20</v>
      </c>
      <c r="R2805" s="1" t="s">
        <v>27</v>
      </c>
      <c r="S2805" s="1" t="s">
        <v>28</v>
      </c>
      <c r="T2805" s="1" t="s">
        <v>29</v>
      </c>
    </row>
    <row r="2806" customFormat="false" ht="18.7" hidden="false" customHeight="true" outlineLevel="0" collapsed="false">
      <c r="A2806" s="1" t="n">
        <v>2805</v>
      </c>
      <c r="B2806" s="6" t="str">
        <f aca="false">HYPERLINK("https://mncourtfraud.com/file/MCRO_27-CR-22-20527_Motion to Dismiss_2023-12-21_20240429162747.pdf","MCRO_27-CR-22-20527_Motion to Dismiss_2023-12-21_20240429162747.pdf")</f>
        <v>MCRO_27-CR-22-20527_Motion to Dismiss_2023-12-21_20240429162747.pdf</v>
      </c>
      <c r="C2806" s="1" t="n">
        <v>3</v>
      </c>
      <c r="D2806" s="1" t="n">
        <v>1</v>
      </c>
      <c r="E2806" s="1" t="n">
        <v>1</v>
      </c>
      <c r="F2806" s="3" t="s">
        <v>20</v>
      </c>
      <c r="G2806" s="3" t="s">
        <v>11334</v>
      </c>
      <c r="H2806" s="1" t="s">
        <v>22</v>
      </c>
      <c r="I2806" s="1" t="n">
        <v>20240429162747</v>
      </c>
      <c r="J2806" s="3" t="s">
        <v>11335</v>
      </c>
      <c r="K2806" s="3" t="s">
        <v>11336</v>
      </c>
      <c r="L2806" s="3" t="s">
        <v>11337</v>
      </c>
      <c r="M2806" s="3" t="n">
        <v>391457</v>
      </c>
      <c r="N2806" s="3" t="s">
        <v>1475</v>
      </c>
      <c r="O2806" s="1" t="n">
        <v>375071</v>
      </c>
      <c r="P2806" s="1" t="n">
        <v>95.81</v>
      </c>
      <c r="Q2806" s="1" t="s">
        <v>20</v>
      </c>
      <c r="R2806" s="1" t="s">
        <v>27</v>
      </c>
      <c r="S2806" s="1" t="s">
        <v>28</v>
      </c>
      <c r="T2806" s="1" t="s">
        <v>29</v>
      </c>
    </row>
    <row r="2807" customFormat="false" ht="18.7" hidden="false" customHeight="true" outlineLevel="0" collapsed="false">
      <c r="A2807" s="1" t="n">
        <v>2806</v>
      </c>
      <c r="B2807" s="6" t="str">
        <f aca="false">HYPERLINK("https://mncourtfraud.com/file/MCRO_27-CR-22-20527_Notice of Hearing_2022-11-16_20240429162758.pdf","MCRO_27-CR-22-20527_Notice of Hearing_2022-11-16_20240429162758.pdf")</f>
        <v>MCRO_27-CR-22-20527_Notice of Hearing_2022-11-16_20240429162758.pdf</v>
      </c>
      <c r="C2807" s="1" t="n">
        <v>4</v>
      </c>
      <c r="D2807" s="1" t="n">
        <v>1</v>
      </c>
      <c r="E2807" s="1" t="n">
        <v>1</v>
      </c>
      <c r="F2807" s="3" t="s">
        <v>20</v>
      </c>
      <c r="G2807" s="3" t="s">
        <v>11338</v>
      </c>
      <c r="H2807" s="1" t="s">
        <v>22</v>
      </c>
      <c r="I2807" s="1" t="n">
        <v>20240429162758</v>
      </c>
      <c r="J2807" s="3" t="s">
        <v>11339</v>
      </c>
      <c r="K2807" s="3" t="s">
        <v>11340</v>
      </c>
      <c r="L2807" s="3" t="s">
        <v>11341</v>
      </c>
      <c r="M2807" s="3" t="n">
        <v>93874</v>
      </c>
      <c r="N2807" s="3" t="s">
        <v>1307</v>
      </c>
      <c r="O2807" s="1" t="n">
        <v>77488</v>
      </c>
      <c r="P2807" s="1" t="n">
        <v>82.54</v>
      </c>
      <c r="Q2807" s="1" t="s">
        <v>20</v>
      </c>
      <c r="R2807" s="1" t="s">
        <v>27</v>
      </c>
      <c r="S2807" s="1" t="s">
        <v>28</v>
      </c>
      <c r="T2807" s="1" t="s">
        <v>29</v>
      </c>
    </row>
    <row r="2808" customFormat="false" ht="18.7" hidden="false" customHeight="true" outlineLevel="0" collapsed="false">
      <c r="A2808" s="1" t="n">
        <v>2807</v>
      </c>
      <c r="B2808" s="6" t="str">
        <f aca="false">HYPERLINK("https://mncourtfraud.com/file/MCRO_27-CR-22-20527_Notice of Hearing_2023-11-03_20240429162752.pdf","MCRO_27-CR-22-20527_Notice of Hearing_2023-11-03_20240429162752.pdf")</f>
        <v>MCRO_27-CR-22-20527_Notice of Hearing_2023-11-03_20240429162752.pdf</v>
      </c>
      <c r="C2808" s="1" t="n">
        <v>5</v>
      </c>
      <c r="D2808" s="1" t="n">
        <v>1</v>
      </c>
      <c r="E2808" s="1" t="n">
        <v>1</v>
      </c>
      <c r="F2808" s="3" t="s">
        <v>20</v>
      </c>
      <c r="G2808" s="3" t="s">
        <v>11342</v>
      </c>
      <c r="H2808" s="1" t="s">
        <v>22</v>
      </c>
      <c r="I2808" s="1" t="n">
        <v>20240429162752</v>
      </c>
      <c r="J2808" s="3" t="s">
        <v>11343</v>
      </c>
      <c r="K2808" s="3" t="s">
        <v>11344</v>
      </c>
      <c r="L2808" s="3" t="s">
        <v>11345</v>
      </c>
      <c r="M2808" s="3" t="n">
        <v>738707</v>
      </c>
      <c r="N2808" s="3" t="s">
        <v>4340</v>
      </c>
      <c r="O2808" s="1" t="n">
        <v>722321</v>
      </c>
      <c r="P2808" s="1" t="n">
        <v>97.78</v>
      </c>
      <c r="Q2808" s="1" t="s">
        <v>20</v>
      </c>
      <c r="R2808" s="1" t="s">
        <v>27</v>
      </c>
      <c r="S2808" s="1" t="s">
        <v>28</v>
      </c>
      <c r="T2808" s="1" t="s">
        <v>29</v>
      </c>
    </row>
    <row r="2809" customFormat="false" ht="18.7" hidden="false" customHeight="true" outlineLevel="0" collapsed="false">
      <c r="A2809" s="1" t="n">
        <v>2808</v>
      </c>
      <c r="B2809" s="6" t="str">
        <f aca="false">HYPERLINK("https://mncourtfraud.com/file/MCRO_27-CR-22-20527_Notice of Motion and Motion_2023-10-09_20240429162754.pdf","MCRO_27-CR-22-20527_Notice of Motion and Motion_2023-10-09_20240429162754.pdf")</f>
        <v>MCRO_27-CR-22-20527_Notice of Motion and Motion_2023-10-09_20240429162754.pdf</v>
      </c>
      <c r="C2809" s="1" t="n">
        <v>3</v>
      </c>
      <c r="D2809" s="1" t="n">
        <v>1</v>
      </c>
      <c r="E2809" s="1" t="n">
        <v>1</v>
      </c>
      <c r="F2809" s="3" t="s">
        <v>20</v>
      </c>
      <c r="G2809" s="3" t="s">
        <v>11346</v>
      </c>
      <c r="H2809" s="1" t="s">
        <v>22</v>
      </c>
      <c r="I2809" s="1" t="n">
        <v>20240429162754</v>
      </c>
      <c r="J2809" s="3" t="s">
        <v>11347</v>
      </c>
      <c r="K2809" s="3" t="s">
        <v>11348</v>
      </c>
      <c r="L2809" s="3" t="s">
        <v>11349</v>
      </c>
      <c r="M2809" s="3" t="n">
        <v>305640</v>
      </c>
      <c r="N2809" s="3" t="s">
        <v>44</v>
      </c>
      <c r="O2809" s="1" t="n">
        <v>289254</v>
      </c>
      <c r="P2809" s="1" t="n">
        <v>94.64</v>
      </c>
      <c r="Q2809" s="1" t="s">
        <v>20</v>
      </c>
      <c r="R2809" s="1" t="s">
        <v>27</v>
      </c>
      <c r="S2809" s="1" t="s">
        <v>28</v>
      </c>
      <c r="T2809" s="1" t="s">
        <v>29</v>
      </c>
    </row>
    <row r="2810" customFormat="false" ht="18.7" hidden="false" customHeight="true" outlineLevel="0" collapsed="false">
      <c r="A2810" s="1" t="n">
        <v>2809</v>
      </c>
      <c r="B2810" s="6" t="str">
        <f aca="false">HYPERLINK("https://mncourtfraud.com/file/MCRO_27-CR-22-20527_Notice of Remote Hearing with Instructions_2022-11-16_20240429162759.pdf","MCRO_27-CR-22-20527_Notice of Remote Hearing with Instructions_2022-11-16_20240429162759.pdf")</f>
        <v>MCRO_27-CR-22-20527_Notice of Remote Hearing with Instructions_2022-11-16_20240429162759.pdf</v>
      </c>
      <c r="C2810" s="1" t="n">
        <v>4</v>
      </c>
      <c r="D2810" s="1" t="n">
        <v>1</v>
      </c>
      <c r="E2810" s="1" t="n">
        <v>1</v>
      </c>
      <c r="F2810" s="3" t="s">
        <v>20</v>
      </c>
      <c r="G2810" s="3" t="s">
        <v>11350</v>
      </c>
      <c r="H2810" s="1" t="s">
        <v>22</v>
      </c>
      <c r="I2810" s="1" t="n">
        <v>20240429162759</v>
      </c>
      <c r="J2810" s="3" t="s">
        <v>11351</v>
      </c>
      <c r="K2810" s="3" t="s">
        <v>11352</v>
      </c>
      <c r="L2810" s="3" t="s">
        <v>11353</v>
      </c>
      <c r="M2810" s="3" t="n">
        <v>140751</v>
      </c>
      <c r="N2810" s="3" t="s">
        <v>361</v>
      </c>
      <c r="O2810" s="1" t="n">
        <v>124365</v>
      </c>
      <c r="P2810" s="1" t="n">
        <v>88.36</v>
      </c>
      <c r="Q2810" s="1" t="s">
        <v>20</v>
      </c>
      <c r="R2810" s="1" t="s">
        <v>27</v>
      </c>
      <c r="S2810" s="1" t="s">
        <v>28</v>
      </c>
      <c r="T2810" s="1" t="s">
        <v>29</v>
      </c>
    </row>
    <row r="2811" customFormat="false" ht="18.7" hidden="false" customHeight="true" outlineLevel="0" collapsed="false">
      <c r="A2811" s="1" t="n">
        <v>2810</v>
      </c>
      <c r="B2811" s="6" t="str">
        <f aca="false">HYPERLINK("https://mncourtfraud.com/file/MCRO_27-CR-22-20527_Notice of Remote Hearing with Instructions_2023-11-15_20240429162751.pdf","MCRO_27-CR-22-20527_Notice of Remote Hearing with Instructions_2023-11-15_20240429162751.pdf")</f>
        <v>MCRO_27-CR-22-20527_Notice of Remote Hearing with Instructions_2023-11-15_20240429162751.pdf</v>
      </c>
      <c r="C2811" s="1" t="n">
        <v>5</v>
      </c>
      <c r="D2811" s="1" t="n">
        <v>1</v>
      </c>
      <c r="E2811" s="1" t="n">
        <v>1</v>
      </c>
      <c r="F2811" s="3" t="s">
        <v>20</v>
      </c>
      <c r="G2811" s="3" t="s">
        <v>11354</v>
      </c>
      <c r="H2811" s="1" t="s">
        <v>22</v>
      </c>
      <c r="I2811" s="1" t="n">
        <v>20240429162751</v>
      </c>
      <c r="J2811" s="3" t="s">
        <v>11355</v>
      </c>
      <c r="K2811" s="3" t="s">
        <v>11356</v>
      </c>
      <c r="L2811" s="3" t="s">
        <v>11357</v>
      </c>
      <c r="M2811" s="3" t="n">
        <v>849515</v>
      </c>
      <c r="N2811" s="3" t="s">
        <v>3068</v>
      </c>
      <c r="O2811" s="1" t="n">
        <v>833129</v>
      </c>
      <c r="P2811" s="1" t="n">
        <v>98.07</v>
      </c>
      <c r="Q2811" s="1" t="s">
        <v>20</v>
      </c>
      <c r="R2811" s="1" t="s">
        <v>27</v>
      </c>
      <c r="S2811" s="1" t="s">
        <v>28</v>
      </c>
      <c r="T2811" s="1" t="s">
        <v>29</v>
      </c>
    </row>
    <row r="2812" customFormat="false" ht="18.7" hidden="false" customHeight="true" outlineLevel="0" collapsed="false">
      <c r="A2812" s="1" t="n">
        <v>2811</v>
      </c>
      <c r="B2812" s="6" t="str">
        <f aca="false">HYPERLINK("https://mncourtfraud.com/file/MCRO_27-CR-22-20527_Notice of Remote Hearing with Instructions_2023-12-19_20240429162748.pdf","MCRO_27-CR-22-20527_Notice of Remote Hearing with Instructions_2023-12-19_20240429162748.pdf")</f>
        <v>MCRO_27-CR-22-20527_Notice of Remote Hearing with Instructions_2023-12-19_20240429162748.pdf</v>
      </c>
      <c r="C2812" s="1" t="n">
        <v>5</v>
      </c>
      <c r="D2812" s="1" t="n">
        <v>1</v>
      </c>
      <c r="E2812" s="1" t="n">
        <v>1</v>
      </c>
      <c r="F2812" s="3" t="s">
        <v>20</v>
      </c>
      <c r="G2812" s="3" t="s">
        <v>11358</v>
      </c>
      <c r="H2812" s="1" t="s">
        <v>22</v>
      </c>
      <c r="I2812" s="1" t="n">
        <v>20240429162748</v>
      </c>
      <c r="J2812" s="3" t="s">
        <v>11359</v>
      </c>
      <c r="K2812" s="3" t="s">
        <v>11360</v>
      </c>
      <c r="L2812" s="3" t="s">
        <v>11361</v>
      </c>
      <c r="M2812" s="3" t="n">
        <v>844342</v>
      </c>
      <c r="N2812" s="3" t="s">
        <v>3164</v>
      </c>
      <c r="O2812" s="1" t="n">
        <v>827956</v>
      </c>
      <c r="P2812" s="1" t="n">
        <v>98.06</v>
      </c>
      <c r="Q2812" s="1" t="s">
        <v>20</v>
      </c>
      <c r="R2812" s="1" t="s">
        <v>27</v>
      </c>
      <c r="S2812" s="1" t="s">
        <v>28</v>
      </c>
      <c r="T2812" s="1" t="s">
        <v>29</v>
      </c>
    </row>
    <row r="2813" customFormat="false" ht="18.7" hidden="false" customHeight="true" outlineLevel="0" collapsed="false">
      <c r="A2813" s="1" t="n">
        <v>2812</v>
      </c>
      <c r="B2813" s="6" t="str">
        <f aca="false">HYPERLINK("https://mncourtfraud.com/file/MCRO_27-CR-22-20527_Order Denying Motion_2024-01-19_20240429162746.pdf","MCRO_27-CR-22-20527_Order Denying Motion_2024-01-19_20240429162746.pdf")</f>
        <v>MCRO_27-CR-22-20527_Order Denying Motion_2024-01-19_20240429162746.pdf</v>
      </c>
      <c r="C2813" s="1" t="n">
        <v>9</v>
      </c>
      <c r="D2813" s="1" t="n">
        <v>11</v>
      </c>
      <c r="E2813" s="1" t="n">
        <v>11</v>
      </c>
      <c r="F2813" s="3" t="s">
        <v>20</v>
      </c>
      <c r="G2813" s="3" t="s">
        <v>11362</v>
      </c>
      <c r="H2813" s="1" t="s">
        <v>22</v>
      </c>
      <c r="I2813" s="1" t="n">
        <v>20240429162746</v>
      </c>
      <c r="J2813" s="3" t="s">
        <v>11363</v>
      </c>
      <c r="K2813" s="3" t="s">
        <v>11364</v>
      </c>
      <c r="L2813" s="3" t="s">
        <v>11365</v>
      </c>
      <c r="M2813" s="3" t="n">
        <v>565190</v>
      </c>
      <c r="N2813" s="3" t="s">
        <v>863</v>
      </c>
      <c r="O2813" s="1" t="n">
        <v>548804</v>
      </c>
      <c r="P2813" s="1" t="n">
        <v>97.1</v>
      </c>
      <c r="Q2813" s="1" t="s">
        <v>20</v>
      </c>
      <c r="R2813" s="1" t="s">
        <v>27</v>
      </c>
      <c r="S2813" s="1" t="s">
        <v>28</v>
      </c>
      <c r="T2813" s="1" t="s">
        <v>29</v>
      </c>
    </row>
    <row r="2814" customFormat="false" ht="18.7" hidden="false" customHeight="true" outlineLevel="0" collapsed="false">
      <c r="A2814" s="1" t="n">
        <v>2813</v>
      </c>
      <c r="B2814" s="6" t="str">
        <f aca="false">HYPERLINK("https://mncourtfraud.com/file/MCRO_27-CR-22-20527_Order-Evaluation for Competency to Proceed (Rule 20.01)_2022-11-16_20240429162800.pdf","MCRO_27-CR-22-20527_Order-Evaluation for Competency to Proceed (Rule 20.01)_2022-11-16_20240429162800.pdf")</f>
        <v>MCRO_27-CR-22-20527_Order-Evaluation for Competency to Proceed (Rule 20.01)_2022-11-16_20240429162800.pdf</v>
      </c>
      <c r="C2814" s="1" t="n">
        <v>4</v>
      </c>
      <c r="D2814" s="1" t="n">
        <v>1</v>
      </c>
      <c r="E2814" s="1" t="n">
        <v>1</v>
      </c>
      <c r="F2814" s="3" t="s">
        <v>20</v>
      </c>
      <c r="G2814" s="3" t="s">
        <v>11366</v>
      </c>
      <c r="H2814" s="1" t="s">
        <v>22</v>
      </c>
      <c r="I2814" s="1" t="n">
        <v>20240429162800</v>
      </c>
      <c r="J2814" s="3" t="s">
        <v>11367</v>
      </c>
      <c r="K2814" s="3" t="s">
        <v>11368</v>
      </c>
      <c r="L2814" s="3" t="s">
        <v>11369</v>
      </c>
      <c r="M2814" s="3" t="n">
        <v>161002</v>
      </c>
      <c r="N2814" s="3" t="s">
        <v>158</v>
      </c>
      <c r="O2814" s="1" t="n">
        <v>144616</v>
      </c>
      <c r="P2814" s="1" t="n">
        <v>89.82</v>
      </c>
      <c r="Q2814" s="1" t="s">
        <v>20</v>
      </c>
      <c r="R2814" s="1" t="s">
        <v>27</v>
      </c>
      <c r="S2814" s="1" t="s">
        <v>28</v>
      </c>
      <c r="T2814" s="1" t="s">
        <v>29</v>
      </c>
    </row>
    <row r="2815" customFormat="false" ht="18.7" hidden="false" customHeight="true" outlineLevel="0" collapsed="false">
      <c r="A2815" s="1" t="n">
        <v>2814</v>
      </c>
      <c r="B2815" s="6" t="str">
        <f aca="false">HYPERLINK("https://mncourtfraud.com/file/MCRO_27-CR-22-20527_Order for Production of Medical Records_2023-04-03_20240429162755.pdf","MCRO_27-CR-22-20527_Order for Production of Medical Records_2023-04-03_20240429162755.pdf")</f>
        <v>MCRO_27-CR-22-20527_Order for Production of Medical Records_2023-04-03_20240429162755.pdf</v>
      </c>
      <c r="C2815" s="1" t="n">
        <v>7</v>
      </c>
      <c r="D2815" s="1" t="n">
        <v>4</v>
      </c>
      <c r="E2815" s="1" t="n">
        <v>4</v>
      </c>
      <c r="F2815" s="3" t="s">
        <v>20</v>
      </c>
      <c r="G2815" s="3" t="s">
        <v>11370</v>
      </c>
      <c r="H2815" s="1" t="s">
        <v>22</v>
      </c>
      <c r="I2815" s="1" t="n">
        <v>20240429162755</v>
      </c>
      <c r="J2815" s="3" t="s">
        <v>11371</v>
      </c>
      <c r="K2815" s="3" t="s">
        <v>11372</v>
      </c>
      <c r="L2815" s="3" t="s">
        <v>11373</v>
      </c>
      <c r="M2815" s="3" t="n">
        <v>293426</v>
      </c>
      <c r="N2815" s="3" t="s">
        <v>11374</v>
      </c>
      <c r="O2815" s="1" t="n">
        <v>277040</v>
      </c>
      <c r="P2815" s="1" t="n">
        <v>94.42</v>
      </c>
      <c r="Q2815" s="1" t="s">
        <v>20</v>
      </c>
      <c r="R2815" s="1" t="s">
        <v>27</v>
      </c>
      <c r="S2815" s="1" t="s">
        <v>28</v>
      </c>
      <c r="T2815" s="1" t="s">
        <v>29</v>
      </c>
    </row>
    <row r="2816" customFormat="false" ht="18.7" hidden="false" customHeight="true" outlineLevel="0" collapsed="false">
      <c r="A2816" s="1" t="n">
        <v>2815</v>
      </c>
      <c r="B2816" s="6" t="str">
        <f aca="false">HYPERLINK("https://mncourtfraud.com/file/MCRO_27-CR-22-20527_Proposed Order or Document_2023-03-06_20240429162756.pdf","MCRO_27-CR-22-20527_Proposed Order or Document_2023-03-06_20240429162756.pdf")</f>
        <v>MCRO_27-CR-22-20527_Proposed Order or Document_2023-03-06_20240429162756.pdf</v>
      </c>
      <c r="C2816" s="1" t="n">
        <v>3</v>
      </c>
      <c r="D2816" s="1" t="n">
        <v>1</v>
      </c>
      <c r="E2816" s="1" t="n">
        <v>1</v>
      </c>
      <c r="F2816" s="3" t="s">
        <v>20</v>
      </c>
      <c r="G2816" s="3" t="s">
        <v>11375</v>
      </c>
      <c r="H2816" s="1" t="s">
        <v>22</v>
      </c>
      <c r="I2816" s="1" t="n">
        <v>20240429162756</v>
      </c>
      <c r="J2816" s="3" t="s">
        <v>11376</v>
      </c>
      <c r="K2816" s="3" t="s">
        <v>11377</v>
      </c>
      <c r="L2816" s="3" t="s">
        <v>11378</v>
      </c>
      <c r="M2816" s="3" t="n">
        <v>143178</v>
      </c>
      <c r="N2816" s="3" t="s">
        <v>64</v>
      </c>
      <c r="O2816" s="1" t="n">
        <v>126792</v>
      </c>
      <c r="P2816" s="1" t="n">
        <v>88.56</v>
      </c>
      <c r="Q2816" s="1" t="s">
        <v>20</v>
      </c>
      <c r="R2816" s="1" t="s">
        <v>27</v>
      </c>
      <c r="S2816" s="1" t="s">
        <v>28</v>
      </c>
      <c r="T2816" s="1" t="s">
        <v>29</v>
      </c>
    </row>
    <row r="2817" customFormat="false" ht="18.7" hidden="false" customHeight="true" outlineLevel="0" collapsed="false">
      <c r="A2817" s="1" t="n">
        <v>2816</v>
      </c>
      <c r="B2817" s="6" t="str">
        <f aca="false">HYPERLINK("https://mncourtfraud.com/file/MCRO_27-CR-22-21679_Citation Data Summary_2022-10-28_20240429162904.pdf","MCRO_27-CR-22-21679_Citation Data Summary_2022-10-28_20240429162904.pdf")</f>
        <v>MCRO_27-CR-22-21679_Citation Data Summary_2022-10-28_20240429162904.pdf</v>
      </c>
      <c r="C2817" s="1" t="n">
        <v>5</v>
      </c>
      <c r="D2817" s="1" t="n">
        <v>2</v>
      </c>
      <c r="E2817" s="1" t="n">
        <v>2</v>
      </c>
      <c r="F2817" s="3" t="s">
        <v>20</v>
      </c>
      <c r="G2817" s="3" t="s">
        <v>11379</v>
      </c>
      <c r="H2817" s="1" t="s">
        <v>22</v>
      </c>
      <c r="I2817" s="1" t="n">
        <v>20240429162904</v>
      </c>
      <c r="J2817" s="3" t="s">
        <v>11380</v>
      </c>
      <c r="K2817" s="3" t="s">
        <v>11381</v>
      </c>
      <c r="L2817" s="3" t="s">
        <v>11382</v>
      </c>
      <c r="M2817" s="3" t="n">
        <v>102528</v>
      </c>
      <c r="N2817" s="3" t="s">
        <v>535</v>
      </c>
      <c r="O2817" s="1" t="n">
        <v>86142</v>
      </c>
      <c r="P2817" s="1" t="n">
        <v>84.02</v>
      </c>
      <c r="Q2817" s="1" t="s">
        <v>20</v>
      </c>
      <c r="R2817" s="1" t="s">
        <v>27</v>
      </c>
      <c r="S2817" s="1" t="s">
        <v>28</v>
      </c>
      <c r="T2817" s="1" t="s">
        <v>29</v>
      </c>
    </row>
    <row r="2818" customFormat="false" ht="18.7" hidden="false" customHeight="true" outlineLevel="0" collapsed="false">
      <c r="A2818" s="1" t="n">
        <v>2817</v>
      </c>
      <c r="B2818" s="6" t="str">
        <f aca="false">HYPERLINK("https://mncourtfraud.com/file/MCRO_27-CR-22-21679_Finding of Incompetency and Order_2023-05-02_20240429162858.pdf","MCRO_27-CR-22-21679_Finding of Incompetency and Order_2023-05-02_20240429162858.pdf")</f>
        <v>MCRO_27-CR-22-21679_Finding of Incompetency and Order_2023-05-02_20240429162858.pdf</v>
      </c>
      <c r="C2818" s="1" t="n">
        <v>9</v>
      </c>
      <c r="D2818" s="1" t="n">
        <v>3</v>
      </c>
      <c r="E2818" s="1" t="n">
        <v>3</v>
      </c>
      <c r="F2818" s="3" t="s">
        <v>27</v>
      </c>
      <c r="G2818" s="3" t="s">
        <v>11383</v>
      </c>
      <c r="H2818" s="1" t="s">
        <v>22</v>
      </c>
      <c r="I2818" s="1" t="n">
        <v>20240429162858</v>
      </c>
      <c r="J2818" s="3" t="s">
        <v>11384</v>
      </c>
      <c r="K2818" s="3" t="s">
        <v>11385</v>
      </c>
      <c r="L2818" s="3" t="s">
        <v>9092</v>
      </c>
      <c r="M2818" s="3" t="n">
        <v>951849</v>
      </c>
      <c r="N2818" s="3" t="s">
        <v>3264</v>
      </c>
      <c r="O2818" s="1" t="n">
        <v>935463</v>
      </c>
      <c r="P2818" s="1" t="n">
        <v>98.28</v>
      </c>
      <c r="Q2818" s="1" t="s">
        <v>20</v>
      </c>
      <c r="R2818" s="1" t="s">
        <v>27</v>
      </c>
      <c r="S2818" s="1" t="s">
        <v>28</v>
      </c>
      <c r="T2818" s="1" t="s">
        <v>29</v>
      </c>
    </row>
    <row r="2819" customFormat="false" ht="18.7" hidden="false" customHeight="true" outlineLevel="0" collapsed="false">
      <c r="A2819" s="1" t="n">
        <v>2818</v>
      </c>
      <c r="B2819" s="6" t="str">
        <f aca="false">HYPERLINK("https://mncourtfraud.com/file/MCRO_27-CR-22-21679_Notice of Hearing_2022-11-30_20240429162902.pdf","MCRO_27-CR-22-21679_Notice of Hearing_2022-11-30_20240429162902.pdf")</f>
        <v>MCRO_27-CR-22-21679_Notice of Hearing_2022-11-30_20240429162902.pdf</v>
      </c>
      <c r="C2819" s="1" t="n">
        <v>4</v>
      </c>
      <c r="D2819" s="1" t="n">
        <v>1</v>
      </c>
      <c r="E2819" s="1" t="n">
        <v>1</v>
      </c>
      <c r="F2819" s="3" t="s">
        <v>20</v>
      </c>
      <c r="G2819" s="3" t="s">
        <v>11386</v>
      </c>
      <c r="H2819" s="1" t="s">
        <v>22</v>
      </c>
      <c r="I2819" s="1" t="n">
        <v>20240429162902</v>
      </c>
      <c r="J2819" s="3" t="s">
        <v>11387</v>
      </c>
      <c r="K2819" s="3" t="s">
        <v>11388</v>
      </c>
      <c r="L2819" s="3" t="s">
        <v>11389</v>
      </c>
      <c r="M2819" s="3" t="n">
        <v>100278</v>
      </c>
      <c r="N2819" s="3" t="s">
        <v>435</v>
      </c>
      <c r="O2819" s="1" t="n">
        <v>83892</v>
      </c>
      <c r="P2819" s="1" t="n">
        <v>83.66</v>
      </c>
      <c r="Q2819" s="1" t="s">
        <v>20</v>
      </c>
      <c r="R2819" s="1" t="s">
        <v>27</v>
      </c>
      <c r="S2819" s="1" t="s">
        <v>28</v>
      </c>
      <c r="T2819" s="1" t="s">
        <v>29</v>
      </c>
    </row>
    <row r="2820" customFormat="false" ht="18.7" hidden="false" customHeight="true" outlineLevel="0" collapsed="false">
      <c r="A2820" s="1" t="n">
        <v>2819</v>
      </c>
      <c r="B2820" s="6" t="str">
        <f aca="false">HYPERLINK("https://mncourtfraud.com/file/MCRO_27-CR-22-21679_Order-Evaluation for Competency to Proceed (Rule 20.01)_2023-02-21_20240429162900.pdf","MCRO_27-CR-22-21679_Order-Evaluation for Competency to Proceed (Rule 20.01)_2023-02-21_20240429162900.pdf")</f>
        <v>MCRO_27-CR-22-21679_Order-Evaluation for Competency to Proceed (Rule 20.01)_2023-02-21_20240429162900.pdf</v>
      </c>
      <c r="C2820" s="1" t="n">
        <v>3</v>
      </c>
      <c r="D2820" s="1" t="n">
        <v>1</v>
      </c>
      <c r="E2820" s="1" t="n">
        <v>1</v>
      </c>
      <c r="F2820" s="3" t="s">
        <v>20</v>
      </c>
      <c r="G2820" s="3" t="s">
        <v>11390</v>
      </c>
      <c r="H2820" s="1" t="s">
        <v>22</v>
      </c>
      <c r="I2820" s="1" t="n">
        <v>20240429162900</v>
      </c>
      <c r="J2820" s="3" t="s">
        <v>11391</v>
      </c>
      <c r="K2820" s="3" t="s">
        <v>11392</v>
      </c>
      <c r="L2820" s="3" t="s">
        <v>11393</v>
      </c>
      <c r="M2820" s="3" t="n">
        <v>192384</v>
      </c>
      <c r="N2820" s="3" t="s">
        <v>1266</v>
      </c>
      <c r="O2820" s="1" t="n">
        <v>175998</v>
      </c>
      <c r="P2820" s="1" t="n">
        <v>91.48</v>
      </c>
      <c r="Q2820" s="1" t="s">
        <v>20</v>
      </c>
      <c r="R2820" s="1" t="s">
        <v>27</v>
      </c>
      <c r="S2820" s="1" t="s">
        <v>28</v>
      </c>
      <c r="T2820" s="1" t="s">
        <v>29</v>
      </c>
    </row>
    <row r="2821" customFormat="false" ht="18.7" hidden="false" customHeight="true" outlineLevel="0" collapsed="false">
      <c r="A2821" s="1" t="n">
        <v>2820</v>
      </c>
      <c r="B2821" s="6" t="str">
        <f aca="false">HYPERLINK("https://mncourtfraud.com/file/MCRO_27-CR-22-21679_Order-Evaluation for Competency to Proceed (Rule 20.01)_2023-03-28_20240429162859.pdf","MCRO_27-CR-22-21679_Order-Evaluation for Competency to Proceed (Rule 20.01)_2023-03-28_20240429162859.pdf")</f>
        <v>MCRO_27-CR-22-21679_Order-Evaluation for Competency to Proceed (Rule 20.01)_2023-03-28_20240429162859.pdf</v>
      </c>
      <c r="C2821" s="1" t="n">
        <v>6</v>
      </c>
      <c r="D2821" s="1" t="n">
        <v>2</v>
      </c>
      <c r="E2821" s="1" t="n">
        <v>2</v>
      </c>
      <c r="F2821" s="3" t="s">
        <v>27</v>
      </c>
      <c r="G2821" s="3" t="s">
        <v>11394</v>
      </c>
      <c r="H2821" s="1" t="s">
        <v>22</v>
      </c>
      <c r="I2821" s="1" t="n">
        <v>20240429162859</v>
      </c>
      <c r="J2821" s="3" t="s">
        <v>11395</v>
      </c>
      <c r="K2821" s="3" t="s">
        <v>11396</v>
      </c>
      <c r="L2821" s="3" t="s">
        <v>11397</v>
      </c>
      <c r="M2821" s="3" t="n">
        <v>888436</v>
      </c>
      <c r="N2821" s="3" t="s">
        <v>559</v>
      </c>
      <c r="O2821" s="1" t="n">
        <v>872050</v>
      </c>
      <c r="P2821" s="1" t="n">
        <v>98.16</v>
      </c>
      <c r="Q2821" s="1" t="s">
        <v>20</v>
      </c>
      <c r="R2821" s="1" t="s">
        <v>27</v>
      </c>
      <c r="S2821" s="1" t="s">
        <v>28</v>
      </c>
      <c r="T2821" s="1" t="s">
        <v>29</v>
      </c>
    </row>
    <row r="2822" customFormat="false" ht="18.7" hidden="false" customHeight="true" outlineLevel="0" collapsed="false">
      <c r="A2822" s="1" t="n">
        <v>2821</v>
      </c>
      <c r="B2822" s="6" t="str">
        <f aca="false">HYPERLINK("https://mncourtfraud.com/file/MCRO_27-CR-22-21679_Returned Mail_2022-12-20_20240429162901.pdf","MCRO_27-CR-22-21679_Returned Mail_2022-12-20_20240429162901.pdf")</f>
        <v>MCRO_27-CR-22-21679_Returned Mail_2022-12-20_20240429162901.pdf</v>
      </c>
      <c r="C2822" s="1" t="n">
        <v>4</v>
      </c>
      <c r="D2822" s="1" t="n">
        <v>1</v>
      </c>
      <c r="E2822" s="1" t="n">
        <v>1</v>
      </c>
      <c r="F2822" s="3" t="s">
        <v>20</v>
      </c>
      <c r="G2822" s="3" t="s">
        <v>11398</v>
      </c>
      <c r="H2822" s="1" t="s">
        <v>22</v>
      </c>
      <c r="I2822" s="1" t="n">
        <v>20240429162901</v>
      </c>
      <c r="J2822" s="3" t="s">
        <v>11399</v>
      </c>
      <c r="K2822" s="3" t="s">
        <v>11400</v>
      </c>
      <c r="L2822" s="3" t="s">
        <v>11401</v>
      </c>
      <c r="M2822" s="3" t="n">
        <v>223641</v>
      </c>
      <c r="N2822" s="3" t="s">
        <v>158</v>
      </c>
      <c r="O2822" s="1" t="n">
        <v>207255</v>
      </c>
      <c r="P2822" s="1" t="n">
        <v>92.67</v>
      </c>
      <c r="Q2822" s="1" t="s">
        <v>20</v>
      </c>
      <c r="R2822" s="1" t="s">
        <v>27</v>
      </c>
      <c r="S2822" s="1" t="s">
        <v>28</v>
      </c>
      <c r="T2822" s="1" t="s">
        <v>29</v>
      </c>
    </row>
    <row r="2823" customFormat="false" ht="18.7" hidden="false" customHeight="true" outlineLevel="0" collapsed="false">
      <c r="A2823" s="1" t="n">
        <v>2822</v>
      </c>
      <c r="B2823" s="6" t="str">
        <f aca="false">HYPERLINK("https://mncourtfraud.com/file/MCRO_27-CR-22-21679_Summons_2022-10-31_20240429162903.pdf","MCRO_27-CR-22-21679_Summons_2022-10-31_20240429162903.pdf")</f>
        <v>MCRO_27-CR-22-21679_Summons_2022-10-31_20240429162903.pdf</v>
      </c>
      <c r="C2823" s="1" t="n">
        <v>5</v>
      </c>
      <c r="D2823" s="1" t="n">
        <v>1</v>
      </c>
      <c r="E2823" s="1" t="n">
        <v>1</v>
      </c>
      <c r="F2823" s="3" t="s">
        <v>20</v>
      </c>
      <c r="G2823" s="3" t="s">
        <v>11402</v>
      </c>
      <c r="H2823" s="1" t="s">
        <v>22</v>
      </c>
      <c r="I2823" s="1" t="n">
        <v>20240429162903</v>
      </c>
      <c r="J2823" s="3" t="s">
        <v>11403</v>
      </c>
      <c r="K2823" s="3" t="s">
        <v>11404</v>
      </c>
      <c r="L2823" s="3" t="s">
        <v>11405</v>
      </c>
      <c r="M2823" s="3" t="n">
        <v>694010</v>
      </c>
      <c r="N2823" s="3" t="s">
        <v>2358</v>
      </c>
      <c r="O2823" s="1" t="n">
        <v>677624</v>
      </c>
      <c r="P2823" s="1" t="n">
        <v>97.64</v>
      </c>
      <c r="Q2823" s="1" t="s">
        <v>20</v>
      </c>
      <c r="R2823" s="1" t="s">
        <v>27</v>
      </c>
      <c r="S2823" s="1" t="s">
        <v>28</v>
      </c>
      <c r="T2823" s="1" t="s">
        <v>29</v>
      </c>
    </row>
    <row r="2824" customFormat="false" ht="18.7" hidden="false" customHeight="true" outlineLevel="0" collapsed="false">
      <c r="A2824" s="1" t="n">
        <v>2823</v>
      </c>
      <c r="B2824" s="6" t="str">
        <f aca="false">HYPERLINK("https://mncourtfraud.com/file/MCRO_27-CR-22-21925_E-filed Comp-Summons_2022-11-01_20240429163003.pdf","MCRO_27-CR-22-21925_E-filed Comp-Summons_2022-11-01_20240429163003.pdf")</f>
        <v>MCRO_27-CR-22-21925_E-filed Comp-Summons_2022-11-01_20240429163003.pdf</v>
      </c>
      <c r="C2824" s="1" t="n">
        <v>5</v>
      </c>
      <c r="D2824" s="1" t="n">
        <v>2</v>
      </c>
      <c r="E2824" s="1" t="n">
        <v>2</v>
      </c>
      <c r="F2824" s="3" t="s">
        <v>20</v>
      </c>
      <c r="G2824" s="3" t="s">
        <v>11406</v>
      </c>
      <c r="H2824" s="1" t="s">
        <v>22</v>
      </c>
      <c r="I2824" s="1" t="n">
        <v>20240429163003</v>
      </c>
      <c r="J2824" s="3" t="s">
        <v>11407</v>
      </c>
      <c r="K2824" s="3" t="s">
        <v>11408</v>
      </c>
      <c r="L2824" s="3" t="s">
        <v>11409</v>
      </c>
      <c r="M2824" s="3" t="n">
        <v>479045</v>
      </c>
      <c r="N2824" s="3" t="s">
        <v>9552</v>
      </c>
      <c r="O2824" s="1" t="n">
        <v>462659</v>
      </c>
      <c r="P2824" s="1" t="n">
        <v>96.58</v>
      </c>
      <c r="Q2824" s="1" t="s">
        <v>20</v>
      </c>
      <c r="R2824" s="1" t="s">
        <v>27</v>
      </c>
      <c r="S2824" s="1" t="s">
        <v>28</v>
      </c>
      <c r="T2824" s="1" t="s">
        <v>29</v>
      </c>
    </row>
    <row r="2825" customFormat="false" ht="18.7" hidden="false" customHeight="true" outlineLevel="0" collapsed="false">
      <c r="A2825" s="1" t="n">
        <v>2824</v>
      </c>
      <c r="B2825" s="6" t="str">
        <f aca="false">HYPERLINK("https://mncourtfraud.com/file/MCRO_27-CR-22-21925_Finding of Incompetency and Order_2023-02-16_20240429162956.pdf","MCRO_27-CR-22-21925_Finding of Incompetency and Order_2023-02-16_20240429162956.pdf")</f>
        <v>MCRO_27-CR-22-21925_Finding of Incompetency and Order_2023-02-16_20240429162956.pdf</v>
      </c>
      <c r="C2825" s="1" t="n">
        <v>9</v>
      </c>
      <c r="D2825" s="1" t="n">
        <v>3</v>
      </c>
      <c r="E2825" s="1" t="n">
        <v>3</v>
      </c>
      <c r="F2825" s="3" t="s">
        <v>27</v>
      </c>
      <c r="G2825" s="3" t="s">
        <v>11410</v>
      </c>
      <c r="H2825" s="1" t="s">
        <v>22</v>
      </c>
      <c r="I2825" s="1" t="n">
        <v>20240429162956</v>
      </c>
      <c r="J2825" s="3" t="s">
        <v>11411</v>
      </c>
      <c r="K2825" s="3" t="s">
        <v>11412</v>
      </c>
      <c r="L2825" s="3" t="s">
        <v>11413</v>
      </c>
      <c r="M2825" s="3" t="n">
        <v>967030</v>
      </c>
      <c r="N2825" s="3" t="s">
        <v>1024</v>
      </c>
      <c r="O2825" s="1" t="n">
        <v>950644</v>
      </c>
      <c r="P2825" s="1" t="n">
        <v>98.31</v>
      </c>
      <c r="Q2825" s="1" t="s">
        <v>20</v>
      </c>
      <c r="R2825" s="1" t="s">
        <v>27</v>
      </c>
      <c r="S2825" s="1" t="s">
        <v>28</v>
      </c>
      <c r="T2825" s="1" t="s">
        <v>29</v>
      </c>
    </row>
    <row r="2826" customFormat="false" ht="18.7" hidden="false" customHeight="true" outlineLevel="0" collapsed="false">
      <c r="A2826" s="1" t="n">
        <v>2825</v>
      </c>
      <c r="B2826" s="6" t="str">
        <f aca="false">HYPERLINK("https://mncourtfraud.com/file/MCRO_27-CR-22-21925_Law Enforcement Notice of Release and Appearance_2022-12-19_20240429162959.pdf","MCRO_27-CR-22-21925_Law Enforcement Notice of Release and Appearance_2022-12-19_20240429162959.pdf")</f>
        <v>MCRO_27-CR-22-21925_Law Enforcement Notice of Release and Appearance_2022-12-19_20240429162959.pdf</v>
      </c>
      <c r="C2826" s="1" t="n">
        <v>4</v>
      </c>
      <c r="D2826" s="1" t="n">
        <v>1</v>
      </c>
      <c r="E2826" s="1" t="n">
        <v>1</v>
      </c>
      <c r="F2826" s="3" t="s">
        <v>20</v>
      </c>
      <c r="G2826" s="3" t="s">
        <v>11414</v>
      </c>
      <c r="H2826" s="1" t="s">
        <v>22</v>
      </c>
      <c r="I2826" s="1" t="n">
        <v>20240429162959</v>
      </c>
      <c r="J2826" s="3" t="s">
        <v>11415</v>
      </c>
      <c r="K2826" s="3" t="s">
        <v>11416</v>
      </c>
      <c r="L2826" s="3" t="s">
        <v>11417</v>
      </c>
      <c r="M2826" s="3" t="n">
        <v>121313</v>
      </c>
      <c r="N2826" s="3" t="s">
        <v>777</v>
      </c>
      <c r="O2826" s="1" t="n">
        <v>104927</v>
      </c>
      <c r="P2826" s="1" t="n">
        <v>86.49</v>
      </c>
      <c r="Q2826" s="1" t="s">
        <v>20</v>
      </c>
      <c r="R2826" s="1" t="s">
        <v>27</v>
      </c>
      <c r="S2826" s="1" t="s">
        <v>28</v>
      </c>
      <c r="T2826" s="1" t="s">
        <v>29</v>
      </c>
    </row>
    <row r="2827" customFormat="false" ht="18.7" hidden="false" customHeight="true" outlineLevel="0" collapsed="false">
      <c r="A2827" s="1" t="n">
        <v>2826</v>
      </c>
      <c r="B2827" s="6" t="str">
        <f aca="false">HYPERLINK("https://mncourtfraud.com/file/MCRO_27-CR-22-21925_Notice of Hearing_2022-12-19_20240429163000.pdf","MCRO_27-CR-22-21925_Notice of Hearing_2022-12-19_20240429163000.pdf")</f>
        <v>MCRO_27-CR-22-21925_Notice of Hearing_2022-12-19_20240429163000.pdf</v>
      </c>
      <c r="C2827" s="1" t="n">
        <v>4</v>
      </c>
      <c r="D2827" s="1" t="n">
        <v>1</v>
      </c>
      <c r="E2827" s="1" t="n">
        <v>1</v>
      </c>
      <c r="F2827" s="3" t="s">
        <v>20</v>
      </c>
      <c r="G2827" s="3" t="s">
        <v>11418</v>
      </c>
      <c r="H2827" s="1" t="s">
        <v>22</v>
      </c>
      <c r="I2827" s="1" t="n">
        <v>20240429163000</v>
      </c>
      <c r="J2827" s="3" t="s">
        <v>11419</v>
      </c>
      <c r="K2827" s="3" t="s">
        <v>11420</v>
      </c>
      <c r="L2827" s="3" t="s">
        <v>11421</v>
      </c>
      <c r="M2827" s="3" t="n">
        <v>121539</v>
      </c>
      <c r="N2827" s="3" t="s">
        <v>777</v>
      </c>
      <c r="O2827" s="1" t="n">
        <v>105153</v>
      </c>
      <c r="P2827" s="1" t="n">
        <v>86.52</v>
      </c>
      <c r="Q2827" s="1" t="s">
        <v>20</v>
      </c>
      <c r="R2827" s="1" t="s">
        <v>27</v>
      </c>
      <c r="S2827" s="1" t="s">
        <v>28</v>
      </c>
      <c r="T2827" s="1" t="s">
        <v>29</v>
      </c>
    </row>
    <row r="2828" customFormat="false" ht="18.7" hidden="false" customHeight="true" outlineLevel="0" collapsed="false">
      <c r="A2828" s="1" t="n">
        <v>2827</v>
      </c>
      <c r="B2828" s="6" t="str">
        <f aca="false">HYPERLINK("https://mncourtfraud.com/file/MCRO_27-CR-22-21925_Order-Evaluation for Competency to Proceed (Rule 20.01)_2023-01-09_20240429162957.pdf","MCRO_27-CR-22-21925_Order-Evaluation for Competency to Proceed (Rule 20.01)_2023-01-09_20240429162957.pdf")</f>
        <v>MCRO_27-CR-22-21925_Order-Evaluation for Competency to Proceed (Rule 20.01)_2023-01-09_20240429162957.pdf</v>
      </c>
      <c r="C2828" s="1" t="n">
        <v>4</v>
      </c>
      <c r="D2828" s="1" t="n">
        <v>1</v>
      </c>
      <c r="E2828" s="1" t="n">
        <v>1</v>
      </c>
      <c r="F2828" s="3" t="s">
        <v>20</v>
      </c>
      <c r="G2828" s="3" t="s">
        <v>11422</v>
      </c>
      <c r="H2828" s="1" t="s">
        <v>22</v>
      </c>
      <c r="I2828" s="1" t="n">
        <v>20240429162957</v>
      </c>
      <c r="J2828" s="3" t="s">
        <v>11423</v>
      </c>
      <c r="K2828" s="3" t="s">
        <v>11424</v>
      </c>
      <c r="L2828" s="3" t="s">
        <v>11425</v>
      </c>
      <c r="M2828" s="3" t="n">
        <v>139727</v>
      </c>
      <c r="N2828" s="3" t="s">
        <v>1159</v>
      </c>
      <c r="O2828" s="1" t="n">
        <v>123341</v>
      </c>
      <c r="P2828" s="1" t="n">
        <v>88.27</v>
      </c>
      <c r="Q2828" s="1" t="s">
        <v>20</v>
      </c>
      <c r="R2828" s="1" t="s">
        <v>27</v>
      </c>
      <c r="S2828" s="1" t="s">
        <v>28</v>
      </c>
      <c r="T2828" s="1" t="s">
        <v>29</v>
      </c>
    </row>
    <row r="2829" customFormat="false" ht="18.7" hidden="false" customHeight="true" outlineLevel="0" collapsed="false">
      <c r="A2829" s="1" t="n">
        <v>2828</v>
      </c>
      <c r="B2829" s="6" t="str">
        <f aca="false">HYPERLINK("https://mncourtfraud.com/file/MCRO_27-CR-22-21925_Order for Conditional Release_2023-01-09_20240429162958.pdf","MCRO_27-CR-22-21925_Order for Conditional Release_2023-01-09_20240429162958.pdf")</f>
        <v>MCRO_27-CR-22-21925_Order for Conditional Release_2023-01-09_20240429162958.pdf</v>
      </c>
      <c r="C2829" s="1" t="n">
        <v>4</v>
      </c>
      <c r="D2829" s="1" t="n">
        <v>1</v>
      </c>
      <c r="E2829" s="1" t="n">
        <v>1</v>
      </c>
      <c r="F2829" s="3" t="s">
        <v>20</v>
      </c>
      <c r="G2829" s="3" t="s">
        <v>11426</v>
      </c>
      <c r="H2829" s="1" t="s">
        <v>22</v>
      </c>
      <c r="I2829" s="1" t="n">
        <v>20240429162958</v>
      </c>
      <c r="J2829" s="3" t="s">
        <v>11427</v>
      </c>
      <c r="K2829" s="3" t="s">
        <v>11428</v>
      </c>
      <c r="L2829" s="3" t="s">
        <v>11429</v>
      </c>
      <c r="M2829" s="3" t="n">
        <v>115315</v>
      </c>
      <c r="N2829" s="3" t="s">
        <v>435</v>
      </c>
      <c r="O2829" s="1" t="n">
        <v>98929</v>
      </c>
      <c r="P2829" s="1" t="n">
        <v>85.79</v>
      </c>
      <c r="Q2829" s="1" t="s">
        <v>20</v>
      </c>
      <c r="R2829" s="1" t="s">
        <v>27</v>
      </c>
      <c r="S2829" s="1" t="s">
        <v>28</v>
      </c>
      <c r="T2829" s="1" t="s">
        <v>29</v>
      </c>
    </row>
    <row r="2830" customFormat="false" ht="18.7" hidden="false" customHeight="true" outlineLevel="0" collapsed="false">
      <c r="A2830" s="1" t="n">
        <v>2829</v>
      </c>
      <c r="B2830" s="6" t="str">
        <f aca="false">HYPERLINK("https://mncourtfraud.com/file/MCRO_27-CR-22-21925_Order for Dismissal_2023-03-27_20240429162955.pdf","MCRO_27-CR-22-21925_Order for Dismissal_2023-03-27_20240429162955.pdf")</f>
        <v>MCRO_27-CR-22-21925_Order for Dismissal_2023-03-27_20240429162955.pdf</v>
      </c>
      <c r="C2830" s="1" t="n">
        <v>7</v>
      </c>
      <c r="D2830" s="1" t="n">
        <v>3</v>
      </c>
      <c r="E2830" s="1" t="n">
        <v>3</v>
      </c>
      <c r="F2830" s="3" t="s">
        <v>20</v>
      </c>
      <c r="G2830" s="3" t="s">
        <v>11430</v>
      </c>
      <c r="H2830" s="1" t="s">
        <v>22</v>
      </c>
      <c r="I2830" s="1" t="n">
        <v>20240429162955</v>
      </c>
      <c r="J2830" s="3" t="s">
        <v>11431</v>
      </c>
      <c r="K2830" s="3" t="s">
        <v>11432</v>
      </c>
      <c r="L2830" s="3" t="s">
        <v>11433</v>
      </c>
      <c r="M2830" s="3" t="n">
        <v>258990</v>
      </c>
      <c r="N2830" s="3" t="s">
        <v>2416</v>
      </c>
      <c r="O2830" s="1" t="n">
        <v>242604</v>
      </c>
      <c r="P2830" s="1" t="n">
        <v>93.67</v>
      </c>
      <c r="Q2830" s="1" t="s">
        <v>20</v>
      </c>
      <c r="R2830" s="1" t="s">
        <v>27</v>
      </c>
      <c r="S2830" s="1" t="s">
        <v>28</v>
      </c>
      <c r="T2830" s="1" t="s">
        <v>29</v>
      </c>
    </row>
    <row r="2831" customFormat="false" ht="18.7" hidden="false" customHeight="true" outlineLevel="0" collapsed="false">
      <c r="A2831" s="1" t="n">
        <v>2830</v>
      </c>
      <c r="B2831" s="6" t="str">
        <f aca="false">HYPERLINK("https://mncourtfraud.com/file/MCRO_27-CR-22-21925_Summons_2022-11-01_20240429163002.pdf","MCRO_27-CR-22-21925_Summons_2022-11-01_20240429163002.pdf")</f>
        <v>MCRO_27-CR-22-21925_Summons_2022-11-01_20240429163002.pdf</v>
      </c>
      <c r="C2831" s="1" t="n">
        <v>5</v>
      </c>
      <c r="D2831" s="1" t="n">
        <v>1</v>
      </c>
      <c r="E2831" s="1" t="n">
        <v>1</v>
      </c>
      <c r="F2831" s="3" t="s">
        <v>20</v>
      </c>
      <c r="G2831" s="3" t="s">
        <v>11434</v>
      </c>
      <c r="H2831" s="1" t="s">
        <v>22</v>
      </c>
      <c r="I2831" s="1" t="n">
        <v>20240429163002</v>
      </c>
      <c r="J2831" s="3" t="s">
        <v>11435</v>
      </c>
      <c r="K2831" s="3" t="s">
        <v>11436</v>
      </c>
      <c r="L2831" s="3" t="s">
        <v>11437</v>
      </c>
      <c r="M2831" s="3" t="n">
        <v>701208</v>
      </c>
      <c r="N2831" s="3" t="s">
        <v>2723</v>
      </c>
      <c r="O2831" s="1" t="n">
        <v>684822</v>
      </c>
      <c r="P2831" s="1" t="n">
        <v>97.66</v>
      </c>
      <c r="Q2831" s="1" t="s">
        <v>20</v>
      </c>
      <c r="R2831" s="1" t="s">
        <v>27</v>
      </c>
      <c r="S2831" s="1" t="s">
        <v>28</v>
      </c>
      <c r="T2831" s="1" t="s">
        <v>29</v>
      </c>
    </row>
    <row r="2832" customFormat="false" ht="18.7" hidden="false" customHeight="true" outlineLevel="0" collapsed="false">
      <c r="A2832" s="1" t="n">
        <v>2831</v>
      </c>
      <c r="B2832" s="6" t="str">
        <f aca="false">HYPERLINK("https://mncourtfraud.com/file/MCRO_27-CR-22-21925_Warrant Issued_2022-12-05_20240429163001.pdf","MCRO_27-CR-22-21925_Warrant Issued_2022-12-05_20240429163001.pdf")</f>
        <v>MCRO_27-CR-22-21925_Warrant Issued_2022-12-05_20240429163001.pdf</v>
      </c>
      <c r="C2832" s="1" t="n">
        <v>5</v>
      </c>
      <c r="D2832" s="1" t="n">
        <v>1</v>
      </c>
      <c r="E2832" s="1" t="n">
        <v>1</v>
      </c>
      <c r="F2832" s="3" t="s">
        <v>20</v>
      </c>
      <c r="G2832" s="3" t="s">
        <v>11438</v>
      </c>
      <c r="H2832" s="1" t="s">
        <v>22</v>
      </c>
      <c r="I2832" s="1" t="n">
        <v>20240429163001</v>
      </c>
      <c r="J2832" s="3" t="s">
        <v>11439</v>
      </c>
      <c r="K2832" s="3" t="s">
        <v>11440</v>
      </c>
      <c r="L2832" s="3" t="s">
        <v>11441</v>
      </c>
      <c r="M2832" s="3" t="n">
        <v>709610</v>
      </c>
      <c r="N2832" s="3" t="s">
        <v>89</v>
      </c>
      <c r="O2832" s="1" t="n">
        <v>693224</v>
      </c>
      <c r="P2832" s="1" t="n">
        <v>97.69</v>
      </c>
      <c r="Q2832" s="1" t="s">
        <v>20</v>
      </c>
      <c r="R2832" s="1" t="s">
        <v>27</v>
      </c>
      <c r="S2832" s="1" t="s">
        <v>28</v>
      </c>
      <c r="T2832" s="1" t="s">
        <v>29</v>
      </c>
    </row>
    <row r="2833" customFormat="false" ht="18.7" hidden="false" customHeight="true" outlineLevel="0" collapsed="false">
      <c r="A2833" s="1" t="n">
        <v>2832</v>
      </c>
      <c r="B2833" s="6" t="str">
        <f aca="false">HYPERLINK("https://mncourtfraud.com/file/MCRO_27-CR-22-22521_Amended Order_2023-12-22_20240429163052.pdf","MCRO_27-CR-22-22521_Amended Order_2023-12-22_20240429163052.pdf")</f>
        <v>MCRO_27-CR-22-22521_Amended Order_2023-12-22_20240429163052.pdf</v>
      </c>
      <c r="C2833" s="1" t="n">
        <v>4</v>
      </c>
      <c r="D2833" s="1" t="n">
        <v>1</v>
      </c>
      <c r="E2833" s="1" t="n">
        <v>1</v>
      </c>
      <c r="F2833" s="3" t="s">
        <v>20</v>
      </c>
      <c r="G2833" s="3" t="s">
        <v>11442</v>
      </c>
      <c r="H2833" s="1" t="s">
        <v>22</v>
      </c>
      <c r="I2833" s="1" t="n">
        <v>20240429163052</v>
      </c>
      <c r="J2833" s="3" t="s">
        <v>11443</v>
      </c>
      <c r="K2833" s="3" t="s">
        <v>11444</v>
      </c>
      <c r="L2833" s="3" t="s">
        <v>11445</v>
      </c>
      <c r="M2833" s="3" t="n">
        <v>769394</v>
      </c>
      <c r="N2833" s="3" t="s">
        <v>588</v>
      </c>
      <c r="O2833" s="1" t="n">
        <v>753008</v>
      </c>
      <c r="P2833" s="1" t="n">
        <v>97.87</v>
      </c>
      <c r="Q2833" s="1" t="s">
        <v>20</v>
      </c>
      <c r="R2833" s="1" t="s">
        <v>27</v>
      </c>
      <c r="S2833" s="1" t="s">
        <v>28</v>
      </c>
      <c r="T2833" s="1" t="s">
        <v>29</v>
      </c>
    </row>
    <row r="2834" customFormat="false" ht="18.7" hidden="false" customHeight="true" outlineLevel="0" collapsed="false">
      <c r="A2834" s="1" t="n">
        <v>2833</v>
      </c>
      <c r="B2834" s="6" t="str">
        <f aca="false">HYPERLINK("https://mncourtfraud.com/file/MCRO_27-CR-22-22521_Correspondence_2023-05-18_20240429163110.pdf","MCRO_27-CR-22-22521_Correspondence_2023-05-18_20240429163110.pdf")</f>
        <v>MCRO_27-CR-22-22521_Correspondence_2023-05-18_20240429163110.pdf</v>
      </c>
      <c r="C2834" s="1" t="n">
        <v>5</v>
      </c>
      <c r="D2834" s="1" t="n">
        <v>5</v>
      </c>
      <c r="E2834" s="1" t="n">
        <v>5</v>
      </c>
      <c r="F2834" s="3" t="s">
        <v>20</v>
      </c>
      <c r="G2834" s="3" t="s">
        <v>11446</v>
      </c>
      <c r="H2834" s="1" t="s">
        <v>22</v>
      </c>
      <c r="I2834" s="1" t="n">
        <v>20240429163110</v>
      </c>
      <c r="J2834" s="3" t="s">
        <v>11447</v>
      </c>
      <c r="K2834" s="3" t="s">
        <v>11448</v>
      </c>
      <c r="L2834" s="3" t="s">
        <v>11449</v>
      </c>
      <c r="M2834" s="3" t="n">
        <v>380650</v>
      </c>
      <c r="N2834" s="3" t="s">
        <v>4192</v>
      </c>
      <c r="O2834" s="1" t="n">
        <v>364264</v>
      </c>
      <c r="P2834" s="1" t="n">
        <v>95.7</v>
      </c>
      <c r="Q2834" s="1" t="s">
        <v>20</v>
      </c>
      <c r="R2834" s="1" t="s">
        <v>27</v>
      </c>
      <c r="S2834" s="1" t="s">
        <v>28</v>
      </c>
      <c r="T2834" s="1" t="s">
        <v>29</v>
      </c>
    </row>
    <row r="2835" customFormat="false" ht="18.7" hidden="false" customHeight="true" outlineLevel="0" collapsed="false">
      <c r="A2835" s="1" t="n">
        <v>2834</v>
      </c>
      <c r="B2835" s="6" t="str">
        <f aca="false">HYPERLINK("https://mncourtfraud.com/file/MCRO_27-CR-22-22521_Demand or Request for Discovery_2022-11-17_20240429163117.pdf","MCRO_27-CR-22-22521_Demand or Request for Discovery_2022-11-17_20240429163117.pdf")</f>
        <v>MCRO_27-CR-22-22521_Demand or Request for Discovery_2022-11-17_20240429163117.pdf</v>
      </c>
      <c r="C2835" s="1" t="n">
        <v>3</v>
      </c>
      <c r="D2835" s="1" t="n">
        <v>1</v>
      </c>
      <c r="E2835" s="1" t="n">
        <v>1</v>
      </c>
      <c r="F2835" s="3" t="s">
        <v>20</v>
      </c>
      <c r="G2835" s="3" t="s">
        <v>11450</v>
      </c>
      <c r="H2835" s="1" t="s">
        <v>22</v>
      </c>
      <c r="I2835" s="1" t="n">
        <v>20240429163117</v>
      </c>
      <c r="J2835" s="3" t="s">
        <v>11451</v>
      </c>
      <c r="K2835" s="3" t="s">
        <v>11452</v>
      </c>
      <c r="L2835" s="3" t="s">
        <v>11453</v>
      </c>
      <c r="M2835" s="3" t="n">
        <v>371066</v>
      </c>
      <c r="N2835" s="3" t="s">
        <v>9552</v>
      </c>
      <c r="O2835" s="1" t="n">
        <v>354680</v>
      </c>
      <c r="P2835" s="1" t="n">
        <v>95.58</v>
      </c>
      <c r="Q2835" s="1" t="s">
        <v>20</v>
      </c>
      <c r="R2835" s="1" t="s">
        <v>27</v>
      </c>
      <c r="S2835" s="1" t="s">
        <v>28</v>
      </c>
      <c r="T2835" s="1" t="s">
        <v>29</v>
      </c>
    </row>
    <row r="2836" customFormat="false" ht="18.7" hidden="false" customHeight="true" outlineLevel="0" collapsed="false">
      <c r="A2836" s="1" t="n">
        <v>2835</v>
      </c>
      <c r="B2836" s="6" t="str">
        <f aca="false">HYPERLINK("https://mncourtfraud.com/file/MCRO_27-CR-22-22521_E-filed Comp-Order for Detention_2022-11-09_20240429163119.pdf","MCRO_27-CR-22-22521_E-filed Comp-Order for Detention_2022-11-09_20240429163119.pdf")</f>
        <v>MCRO_27-CR-22-22521_E-filed Comp-Order for Detention_2022-11-09_20240429163119.pdf</v>
      </c>
      <c r="C2836" s="1" t="n">
        <v>5</v>
      </c>
      <c r="D2836" s="1" t="n">
        <v>2</v>
      </c>
      <c r="E2836" s="1" t="n">
        <v>2</v>
      </c>
      <c r="F2836" s="3" t="s">
        <v>20</v>
      </c>
      <c r="G2836" s="3" t="s">
        <v>11454</v>
      </c>
      <c r="H2836" s="1" t="s">
        <v>22</v>
      </c>
      <c r="I2836" s="1" t="n">
        <v>20240429163119</v>
      </c>
      <c r="J2836" s="3" t="s">
        <v>11455</v>
      </c>
      <c r="K2836" s="3" t="s">
        <v>11456</v>
      </c>
      <c r="L2836" s="3" t="s">
        <v>11457</v>
      </c>
      <c r="M2836" s="3" t="n">
        <v>532589</v>
      </c>
      <c r="N2836" s="3" t="s">
        <v>4108</v>
      </c>
      <c r="O2836" s="1" t="n">
        <v>516203</v>
      </c>
      <c r="P2836" s="1" t="n">
        <v>96.92</v>
      </c>
      <c r="Q2836" s="1" t="s">
        <v>20</v>
      </c>
      <c r="R2836" s="1" t="s">
        <v>27</v>
      </c>
      <c r="S2836" s="1" t="s">
        <v>28</v>
      </c>
      <c r="T2836" s="1" t="s">
        <v>29</v>
      </c>
    </row>
    <row r="2837" customFormat="false" ht="18.7" hidden="false" customHeight="true" outlineLevel="0" collapsed="false">
      <c r="A2837" s="1" t="n">
        <v>2836</v>
      </c>
      <c r="B2837" s="6" t="str">
        <f aca="false">HYPERLINK("https://mncourtfraud.com/file/MCRO_27-CR-22-22521_Finding of Incompetency and Order_2023-02-15_20240429163112.pdf","MCRO_27-CR-22-22521_Finding of Incompetency and Order_2023-02-15_20240429163112.pdf")</f>
        <v>MCRO_27-CR-22-22521_Finding of Incompetency and Order_2023-02-15_20240429163112.pdf</v>
      </c>
      <c r="C2837" s="1" t="n">
        <v>9</v>
      </c>
      <c r="D2837" s="1" t="n">
        <v>3</v>
      </c>
      <c r="E2837" s="1" t="n">
        <v>3</v>
      </c>
      <c r="F2837" s="3" t="s">
        <v>27</v>
      </c>
      <c r="G2837" s="3" t="s">
        <v>11458</v>
      </c>
      <c r="H2837" s="1" t="s">
        <v>22</v>
      </c>
      <c r="I2837" s="1" t="n">
        <v>20240429163112</v>
      </c>
      <c r="J2837" s="3" t="s">
        <v>11459</v>
      </c>
      <c r="K2837" s="3" t="s">
        <v>11460</v>
      </c>
      <c r="L2837" s="3" t="s">
        <v>11461</v>
      </c>
      <c r="M2837" s="3" t="n">
        <v>964367</v>
      </c>
      <c r="N2837" s="3" t="s">
        <v>5495</v>
      </c>
      <c r="O2837" s="1" t="n">
        <v>947981</v>
      </c>
      <c r="P2837" s="1" t="n">
        <v>98.3</v>
      </c>
      <c r="Q2837" s="1" t="s">
        <v>20</v>
      </c>
      <c r="R2837" s="1" t="s">
        <v>27</v>
      </c>
      <c r="S2837" s="1" t="s">
        <v>28</v>
      </c>
      <c r="T2837" s="1" t="s">
        <v>29</v>
      </c>
    </row>
    <row r="2838" customFormat="false" ht="18.7" hidden="false" customHeight="true" outlineLevel="0" collapsed="false">
      <c r="A2838" s="1" t="n">
        <v>2837</v>
      </c>
      <c r="B2838" s="6" t="str">
        <f aca="false">HYPERLINK("https://mncourtfraud.com/file/MCRO_27-CR-22-22521_Notice of Case Reassignment_2023-11-03_20240429163104.pdf","MCRO_27-CR-22-22521_Notice of Case Reassignment_2023-11-03_20240429163104.pdf")</f>
        <v>MCRO_27-CR-22-22521_Notice of Case Reassignment_2023-11-03_20240429163104.pdf</v>
      </c>
      <c r="C2838" s="1" t="n">
        <v>3</v>
      </c>
      <c r="D2838" s="1" t="n">
        <v>1</v>
      </c>
      <c r="E2838" s="1" t="n">
        <v>1</v>
      </c>
      <c r="F2838" s="3" t="s">
        <v>20</v>
      </c>
      <c r="G2838" s="3" t="s">
        <v>11462</v>
      </c>
      <c r="H2838" s="1" t="s">
        <v>22</v>
      </c>
      <c r="I2838" s="1" t="n">
        <v>20240429163104</v>
      </c>
      <c r="J2838" s="3" t="s">
        <v>11463</v>
      </c>
      <c r="K2838" s="3" t="s">
        <v>11464</v>
      </c>
      <c r="L2838" s="3" t="s">
        <v>11465</v>
      </c>
      <c r="M2838" s="3" t="n">
        <v>114472</v>
      </c>
      <c r="N2838" s="3" t="s">
        <v>128</v>
      </c>
      <c r="O2838" s="1" t="n">
        <v>98086</v>
      </c>
      <c r="P2838" s="1" t="n">
        <v>85.69</v>
      </c>
      <c r="Q2838" s="1" t="s">
        <v>20</v>
      </c>
      <c r="R2838" s="1" t="s">
        <v>27</v>
      </c>
      <c r="S2838" s="1" t="s">
        <v>28</v>
      </c>
      <c r="T2838" s="1" t="s">
        <v>29</v>
      </c>
    </row>
    <row r="2839" customFormat="false" ht="18.7" hidden="false" customHeight="true" outlineLevel="0" collapsed="false">
      <c r="A2839" s="1" t="n">
        <v>2838</v>
      </c>
      <c r="B2839" s="6" t="str">
        <f aca="false">HYPERLINK("https://mncourtfraud.com/file/MCRO_27-CR-22-22521_Notice of Hearing_2023-01-11_20240429163113.pdf","MCRO_27-CR-22-22521_Notice of Hearing_2023-01-11_20240429163113.pdf")</f>
        <v>MCRO_27-CR-22-22521_Notice of Hearing_2023-01-11_20240429163113.pdf</v>
      </c>
      <c r="C2839" s="1" t="n">
        <v>4</v>
      </c>
      <c r="D2839" s="1" t="n">
        <v>1</v>
      </c>
      <c r="E2839" s="1" t="n">
        <v>1</v>
      </c>
      <c r="F2839" s="3" t="s">
        <v>20</v>
      </c>
      <c r="G2839" s="3" t="s">
        <v>11466</v>
      </c>
      <c r="H2839" s="1" t="s">
        <v>22</v>
      </c>
      <c r="I2839" s="1" t="n">
        <v>20240429163113</v>
      </c>
      <c r="J2839" s="3" t="s">
        <v>11467</v>
      </c>
      <c r="K2839" s="3" t="s">
        <v>11468</v>
      </c>
      <c r="L2839" s="3" t="s">
        <v>11469</v>
      </c>
      <c r="M2839" s="3" t="n">
        <v>118162</v>
      </c>
      <c r="N2839" s="3" t="s">
        <v>1307</v>
      </c>
      <c r="O2839" s="1" t="n">
        <v>101776</v>
      </c>
      <c r="P2839" s="1" t="n">
        <v>86.13</v>
      </c>
      <c r="Q2839" s="1" t="s">
        <v>20</v>
      </c>
      <c r="R2839" s="1" t="s">
        <v>27</v>
      </c>
      <c r="S2839" s="1" t="s">
        <v>28</v>
      </c>
      <c r="T2839" s="1" t="s">
        <v>29</v>
      </c>
    </row>
    <row r="2840" customFormat="false" ht="18.7" hidden="false" customHeight="true" outlineLevel="0" collapsed="false">
      <c r="A2840" s="1" t="n">
        <v>2839</v>
      </c>
      <c r="B2840" s="6" t="str">
        <f aca="false">HYPERLINK("https://mncourtfraud.com/file/MCRO_27-CR-22-22521_Notice of Hearing_2023-08-14_20240429163106.pdf","MCRO_27-CR-22-22521_Notice of Hearing_2023-08-14_20240429163106.pdf")</f>
        <v>MCRO_27-CR-22-22521_Notice of Hearing_2023-08-14_20240429163106.pdf</v>
      </c>
      <c r="C2840" s="1" t="n">
        <v>4</v>
      </c>
      <c r="D2840" s="1" t="n">
        <v>1</v>
      </c>
      <c r="E2840" s="1" t="n">
        <v>1</v>
      </c>
      <c r="F2840" s="3" t="s">
        <v>20</v>
      </c>
      <c r="G2840" s="3" t="s">
        <v>11470</v>
      </c>
      <c r="H2840" s="1" t="s">
        <v>22</v>
      </c>
      <c r="I2840" s="1" t="n">
        <v>20240429163106</v>
      </c>
      <c r="J2840" s="3" t="s">
        <v>11471</v>
      </c>
      <c r="K2840" s="3" t="s">
        <v>11472</v>
      </c>
      <c r="L2840" s="3" t="s">
        <v>11473</v>
      </c>
      <c r="M2840" s="3" t="n">
        <v>90383</v>
      </c>
      <c r="N2840" s="3" t="s">
        <v>3269</v>
      </c>
      <c r="O2840" s="1" t="n">
        <v>73997</v>
      </c>
      <c r="P2840" s="1" t="n">
        <v>81.87</v>
      </c>
      <c r="Q2840" s="1" t="s">
        <v>20</v>
      </c>
      <c r="R2840" s="1" t="s">
        <v>27</v>
      </c>
      <c r="S2840" s="1" t="s">
        <v>28</v>
      </c>
      <c r="T2840" s="1" t="s">
        <v>29</v>
      </c>
    </row>
    <row r="2841" customFormat="false" ht="18.7" hidden="false" customHeight="true" outlineLevel="0" collapsed="false">
      <c r="A2841" s="1" t="n">
        <v>2840</v>
      </c>
      <c r="B2841" s="6" t="str">
        <f aca="false">HYPERLINK("https://mncourtfraud.com/file/MCRO_27-CR-22-22521_Notice of Hearing_2023-11-09_20240429163103.pdf","MCRO_27-CR-22-22521_Notice of Hearing_2023-11-09_20240429163103.pdf")</f>
        <v>MCRO_27-CR-22-22521_Notice of Hearing_2023-11-09_20240429163103.pdf</v>
      </c>
      <c r="C2841" s="1" t="n">
        <v>4</v>
      </c>
      <c r="D2841" s="1" t="n">
        <v>1</v>
      </c>
      <c r="E2841" s="1" t="n">
        <v>1</v>
      </c>
      <c r="F2841" s="3" t="s">
        <v>20</v>
      </c>
      <c r="G2841" s="3" t="s">
        <v>11474</v>
      </c>
      <c r="H2841" s="1" t="s">
        <v>22</v>
      </c>
      <c r="I2841" s="1" t="n">
        <v>20240429163103</v>
      </c>
      <c r="J2841" s="3" t="s">
        <v>11475</v>
      </c>
      <c r="K2841" s="3" t="s">
        <v>11476</v>
      </c>
      <c r="L2841" s="3" t="s">
        <v>11477</v>
      </c>
      <c r="M2841" s="3" t="n">
        <v>89405</v>
      </c>
      <c r="N2841" s="3" t="s">
        <v>3269</v>
      </c>
      <c r="O2841" s="1" t="n">
        <v>73019</v>
      </c>
      <c r="P2841" s="1" t="n">
        <v>81.67</v>
      </c>
      <c r="Q2841" s="1" t="s">
        <v>20</v>
      </c>
      <c r="R2841" s="1" t="s">
        <v>27</v>
      </c>
      <c r="S2841" s="1" t="s">
        <v>28</v>
      </c>
      <c r="T2841" s="1" t="s">
        <v>29</v>
      </c>
    </row>
    <row r="2842" customFormat="false" ht="18.7" hidden="false" customHeight="true" outlineLevel="0" collapsed="false">
      <c r="A2842" s="1" t="n">
        <v>2841</v>
      </c>
      <c r="B2842" s="6" t="str">
        <f aca="false">HYPERLINK("https://mncourtfraud.com/file/MCRO_27-CR-22-22521_Notice of Hearing_2023-12-14_20240429163054.pdf","MCRO_27-CR-22-22521_Notice of Hearing_2023-12-14_20240429163054.pdf")</f>
        <v>MCRO_27-CR-22-22521_Notice of Hearing_2023-12-14_20240429163054.pdf</v>
      </c>
      <c r="C2842" s="1" t="n">
        <v>4</v>
      </c>
      <c r="D2842" s="1" t="n">
        <v>1</v>
      </c>
      <c r="E2842" s="1" t="n">
        <v>1</v>
      </c>
      <c r="F2842" s="3" t="s">
        <v>20</v>
      </c>
      <c r="G2842" s="3" t="s">
        <v>11478</v>
      </c>
      <c r="H2842" s="1" t="s">
        <v>22</v>
      </c>
      <c r="I2842" s="1" t="n">
        <v>20240429163054</v>
      </c>
      <c r="J2842" s="3" t="s">
        <v>11479</v>
      </c>
      <c r="K2842" s="3" t="s">
        <v>11480</v>
      </c>
      <c r="L2842" s="3" t="s">
        <v>11481</v>
      </c>
      <c r="M2842" s="3" t="n">
        <v>90299</v>
      </c>
      <c r="N2842" s="3" t="s">
        <v>3269</v>
      </c>
      <c r="O2842" s="1" t="n">
        <v>73913</v>
      </c>
      <c r="P2842" s="1" t="n">
        <v>81.85</v>
      </c>
      <c r="Q2842" s="1" t="s">
        <v>20</v>
      </c>
      <c r="R2842" s="1" t="s">
        <v>27</v>
      </c>
      <c r="S2842" s="1" t="s">
        <v>28</v>
      </c>
      <c r="T2842" s="1" t="s">
        <v>29</v>
      </c>
    </row>
    <row r="2843" customFormat="false" ht="18.7" hidden="false" customHeight="true" outlineLevel="0" collapsed="false">
      <c r="A2843" s="1" t="n">
        <v>2842</v>
      </c>
      <c r="B2843" s="6" t="str">
        <f aca="false">HYPERLINK("https://mncourtfraud.com/file/MCRO_27-CR-22-22521_Notice of Intent to Prosecute_2023-02-15_20240429163111.pdf","MCRO_27-CR-22-22521_Notice of Intent to Prosecute_2023-02-15_20240429163111.pdf")</f>
        <v>MCRO_27-CR-22-22521_Notice of Intent to Prosecute_2023-02-15_20240429163111.pdf</v>
      </c>
      <c r="C2843" s="1" t="n">
        <v>3</v>
      </c>
      <c r="D2843" s="1" t="n">
        <v>1</v>
      </c>
      <c r="E2843" s="1" t="n">
        <v>1</v>
      </c>
      <c r="F2843" s="3" t="s">
        <v>20</v>
      </c>
      <c r="G2843" s="3" t="s">
        <v>11482</v>
      </c>
      <c r="H2843" s="1" t="s">
        <v>22</v>
      </c>
      <c r="I2843" s="1" t="n">
        <v>20240429163111</v>
      </c>
      <c r="J2843" s="3" t="s">
        <v>11483</v>
      </c>
      <c r="K2843" s="3" t="s">
        <v>11484</v>
      </c>
      <c r="L2843" s="3" t="s">
        <v>11485</v>
      </c>
      <c r="M2843" s="3" t="n">
        <v>117926</v>
      </c>
      <c r="N2843" s="3" t="s">
        <v>736</v>
      </c>
      <c r="O2843" s="1" t="n">
        <v>101540</v>
      </c>
      <c r="P2843" s="1" t="n">
        <v>86.1</v>
      </c>
      <c r="Q2843" s="1" t="s">
        <v>20</v>
      </c>
      <c r="R2843" s="1" t="s">
        <v>27</v>
      </c>
      <c r="S2843" s="1" t="s">
        <v>28</v>
      </c>
      <c r="T2843" s="1" t="s">
        <v>29</v>
      </c>
    </row>
    <row r="2844" customFormat="false" ht="18.7" hidden="false" customHeight="true" outlineLevel="0" collapsed="false">
      <c r="A2844" s="1" t="n">
        <v>2843</v>
      </c>
      <c r="B2844" s="6" t="str">
        <f aca="false">HYPERLINK("https://mncourtfraud.com/file/MCRO_27-CR-22-22521_Notice of Remote Hearing with Instructions_2023-07-18_20240429163107.pdf","MCRO_27-CR-22-22521_Notice of Remote Hearing with Instructions_2023-07-18_20240429163107.pdf")</f>
        <v>MCRO_27-CR-22-22521_Notice of Remote Hearing with Instructions_2023-07-18_20240429163107.pdf</v>
      </c>
      <c r="C2844" s="1" t="n">
        <v>5</v>
      </c>
      <c r="D2844" s="1" t="n">
        <v>1</v>
      </c>
      <c r="E2844" s="1" t="n">
        <v>1</v>
      </c>
      <c r="F2844" s="3" t="s">
        <v>20</v>
      </c>
      <c r="G2844" s="3" t="s">
        <v>11486</v>
      </c>
      <c r="H2844" s="1" t="s">
        <v>22</v>
      </c>
      <c r="I2844" s="1" t="n">
        <v>20240429163107</v>
      </c>
      <c r="J2844" s="3" t="s">
        <v>11487</v>
      </c>
      <c r="K2844" s="3" t="s">
        <v>11488</v>
      </c>
      <c r="L2844" s="3" t="s">
        <v>11489</v>
      </c>
      <c r="M2844" s="3" t="n">
        <v>841064</v>
      </c>
      <c r="N2844" s="3" t="s">
        <v>510</v>
      </c>
      <c r="O2844" s="1" t="n">
        <v>824678</v>
      </c>
      <c r="P2844" s="1" t="n">
        <v>98.05</v>
      </c>
      <c r="Q2844" s="1" t="s">
        <v>20</v>
      </c>
      <c r="R2844" s="1" t="s">
        <v>27</v>
      </c>
      <c r="S2844" s="1" t="s">
        <v>28</v>
      </c>
      <c r="T2844" s="1" t="s">
        <v>29</v>
      </c>
    </row>
    <row r="2845" customFormat="false" ht="18.7" hidden="false" customHeight="true" outlineLevel="0" collapsed="false">
      <c r="A2845" s="1" t="n">
        <v>2844</v>
      </c>
      <c r="B2845" s="6" t="str">
        <f aca="false">HYPERLINK("https://mncourtfraud.com/file/MCRO_27-CR-22-22521_Order-Evaluation for Competency to Proceed (Rule 20.01)_2023-01-11_20240429163114.pdf","MCRO_27-CR-22-22521_Order-Evaluation for Competency to Proceed (Rule 20.01)_2023-01-11_20240429163114.pdf")</f>
        <v>MCRO_27-CR-22-22521_Order-Evaluation for Competency to Proceed (Rule 20.01)_2023-01-11_20240429163114.pdf</v>
      </c>
      <c r="C2845" s="1" t="n">
        <v>4</v>
      </c>
      <c r="D2845" s="1" t="n">
        <v>1</v>
      </c>
      <c r="E2845" s="1" t="n">
        <v>1</v>
      </c>
      <c r="F2845" s="3" t="s">
        <v>20</v>
      </c>
      <c r="G2845" s="3" t="s">
        <v>11490</v>
      </c>
      <c r="H2845" s="1" t="s">
        <v>22</v>
      </c>
      <c r="I2845" s="1" t="n">
        <v>20240429163114</v>
      </c>
      <c r="J2845" s="3" t="s">
        <v>11491</v>
      </c>
      <c r="K2845" s="3" t="s">
        <v>11492</v>
      </c>
      <c r="L2845" s="3" t="s">
        <v>11493</v>
      </c>
      <c r="M2845" s="3" t="n">
        <v>276692</v>
      </c>
      <c r="N2845" s="3" t="s">
        <v>1065</v>
      </c>
      <c r="O2845" s="1" t="n">
        <v>260306</v>
      </c>
      <c r="P2845" s="1" t="n">
        <v>94.08</v>
      </c>
      <c r="Q2845" s="1" t="s">
        <v>20</v>
      </c>
      <c r="R2845" s="1" t="s">
        <v>27</v>
      </c>
      <c r="S2845" s="1" t="s">
        <v>28</v>
      </c>
      <c r="T2845" s="1" t="s">
        <v>29</v>
      </c>
    </row>
    <row r="2846" customFormat="false" ht="18.7" hidden="false" customHeight="true" outlineLevel="0" collapsed="false">
      <c r="A2846" s="1" t="n">
        <v>2845</v>
      </c>
      <c r="B2846" s="6" t="str">
        <f aca="false">HYPERLINK("https://mncourtfraud.com/file/MCRO_27-CR-22-22521_Order for Conditional Release_2022-11-10_20240429163117.pdf","MCRO_27-CR-22-22521_Order for Conditional Release_2022-11-10_20240429163117.pdf")</f>
        <v>MCRO_27-CR-22-22521_Order for Conditional Release_2022-11-10_20240429163117.pdf</v>
      </c>
      <c r="C2846" s="1" t="n">
        <v>4</v>
      </c>
      <c r="D2846" s="1" t="n">
        <v>1</v>
      </c>
      <c r="E2846" s="1" t="n">
        <v>1</v>
      </c>
      <c r="F2846" s="3" t="s">
        <v>20</v>
      </c>
      <c r="G2846" s="3" t="s">
        <v>11494</v>
      </c>
      <c r="H2846" s="1" t="s">
        <v>22</v>
      </c>
      <c r="I2846" s="1" t="n">
        <v>20240429163117</v>
      </c>
      <c r="J2846" s="3" t="s">
        <v>11495</v>
      </c>
      <c r="K2846" s="3" t="s">
        <v>11496</v>
      </c>
      <c r="L2846" s="3" t="s">
        <v>11497</v>
      </c>
      <c r="M2846" s="3" t="n">
        <v>112421</v>
      </c>
      <c r="N2846" s="3" t="s">
        <v>435</v>
      </c>
      <c r="O2846" s="1" t="n">
        <v>96035</v>
      </c>
      <c r="P2846" s="1" t="n">
        <v>85.42</v>
      </c>
      <c r="Q2846" s="1" t="s">
        <v>20</v>
      </c>
      <c r="R2846" s="1" t="s">
        <v>27</v>
      </c>
      <c r="S2846" s="1" t="s">
        <v>28</v>
      </c>
      <c r="T2846" s="1" t="s">
        <v>29</v>
      </c>
    </row>
    <row r="2847" customFormat="false" ht="18.7" hidden="false" customHeight="true" outlineLevel="0" collapsed="false">
      <c r="A2847" s="1" t="n">
        <v>2846</v>
      </c>
      <c r="B2847" s="6" t="str">
        <f aca="false">HYPERLINK("https://mncourtfraud.com/file/MCRO_27-CR-22-22521_Order-Other_2023-07-13_20240429163108.pdf","MCRO_27-CR-22-22521_Order-Other_2023-07-13_20240429163108.pdf")</f>
        <v>MCRO_27-CR-22-22521_Order-Other_2023-07-13_20240429163108.pdf</v>
      </c>
      <c r="C2847" s="1" t="n">
        <v>7</v>
      </c>
      <c r="D2847" s="1" t="n">
        <v>5</v>
      </c>
      <c r="E2847" s="1" t="n">
        <v>5</v>
      </c>
      <c r="F2847" s="3" t="s">
        <v>20</v>
      </c>
      <c r="G2847" s="3" t="s">
        <v>11498</v>
      </c>
      <c r="H2847" s="1" t="s">
        <v>22</v>
      </c>
      <c r="I2847" s="1" t="n">
        <v>20240429163108</v>
      </c>
      <c r="J2847" s="3" t="s">
        <v>11499</v>
      </c>
      <c r="K2847" s="3" t="s">
        <v>11500</v>
      </c>
      <c r="L2847" s="3" t="s">
        <v>11501</v>
      </c>
      <c r="M2847" s="3" t="n">
        <v>329575</v>
      </c>
      <c r="N2847" s="3" t="s">
        <v>1316</v>
      </c>
      <c r="O2847" s="1" t="n">
        <v>313189</v>
      </c>
      <c r="P2847" s="1" t="n">
        <v>95.03</v>
      </c>
      <c r="Q2847" s="1" t="s">
        <v>20</v>
      </c>
      <c r="R2847" s="1" t="s">
        <v>27</v>
      </c>
      <c r="S2847" s="1" t="s">
        <v>28</v>
      </c>
      <c r="T2847" s="1" t="s">
        <v>29</v>
      </c>
    </row>
    <row r="2848" customFormat="false" ht="18.7" hidden="false" customHeight="true" outlineLevel="0" collapsed="false">
      <c r="A2848" s="1" t="n">
        <v>2847</v>
      </c>
      <c r="B2848" s="6" t="str">
        <f aca="false">HYPERLINK("https://mncourtfraud.com/file/MCRO_27-CR-22-22521_Order-Other_2023-12-14_20240429163058 (1).pdf","MCRO_27-CR-22-22521_Order-Other_2023-12-14_20240429163058 (1).pdf")</f>
        <v>MCRO_27-CR-22-22521_Order-Other_2023-12-14_20240429163058 (1).pdf</v>
      </c>
      <c r="C2848" s="1" t="n">
        <v>4</v>
      </c>
      <c r="D2848" s="1" t="n">
        <v>1</v>
      </c>
      <c r="E2848" s="1" t="n">
        <v>1</v>
      </c>
      <c r="F2848" s="3" t="s">
        <v>20</v>
      </c>
      <c r="G2848" s="3" t="s">
        <v>11502</v>
      </c>
      <c r="H2848" s="1" t="s">
        <v>22</v>
      </c>
      <c r="I2848" s="1" t="n">
        <v>20240429163058</v>
      </c>
      <c r="J2848" s="3" t="s">
        <v>11503</v>
      </c>
      <c r="K2848" s="3" t="s">
        <v>11504</v>
      </c>
      <c r="L2848" s="3" t="s">
        <v>11505</v>
      </c>
      <c r="M2848" s="3" t="n">
        <v>257868</v>
      </c>
      <c r="N2848" s="3" t="s">
        <v>1128</v>
      </c>
      <c r="O2848" s="1" t="n">
        <v>241482</v>
      </c>
      <c r="P2848" s="1" t="n">
        <v>93.65</v>
      </c>
      <c r="Q2848" s="1" t="s">
        <v>20</v>
      </c>
      <c r="R2848" s="1" t="s">
        <v>27</v>
      </c>
      <c r="S2848" s="1" t="s">
        <v>28</v>
      </c>
      <c r="T2848" s="1" t="s">
        <v>29</v>
      </c>
    </row>
    <row r="2849" customFormat="false" ht="18.7" hidden="false" customHeight="true" outlineLevel="0" collapsed="false">
      <c r="A2849" s="1" t="n">
        <v>2848</v>
      </c>
      <c r="B2849" s="6" t="str">
        <f aca="false">HYPERLINK("https://mncourtfraud.com/file/MCRO_27-CR-22-22521_Order-Other_2023-12-14_20240429163058.pdf","MCRO_27-CR-22-22521_Order-Other_2023-12-14_20240429163058.pdf")</f>
        <v>MCRO_27-CR-22-22521_Order-Other_2023-12-14_20240429163058.pdf</v>
      </c>
      <c r="C2849" s="1" t="n">
        <v>4</v>
      </c>
      <c r="D2849" s="1" t="n">
        <v>1</v>
      </c>
      <c r="E2849" s="1" t="n">
        <v>1</v>
      </c>
      <c r="F2849" s="3" t="s">
        <v>20</v>
      </c>
      <c r="G2849" s="3" t="s">
        <v>11506</v>
      </c>
      <c r="H2849" s="1" t="s">
        <v>22</v>
      </c>
      <c r="I2849" s="1" t="n">
        <v>20240429163058</v>
      </c>
      <c r="J2849" s="3" t="s">
        <v>11507</v>
      </c>
      <c r="K2849" s="3" t="s">
        <v>11508</v>
      </c>
      <c r="L2849" s="3" t="s">
        <v>11509</v>
      </c>
      <c r="M2849" s="3" t="n">
        <v>260303</v>
      </c>
      <c r="N2849" s="3" t="s">
        <v>1128</v>
      </c>
      <c r="O2849" s="1" t="n">
        <v>243917</v>
      </c>
      <c r="P2849" s="1" t="n">
        <v>93.71</v>
      </c>
      <c r="Q2849" s="1" t="s">
        <v>20</v>
      </c>
      <c r="R2849" s="1" t="s">
        <v>27</v>
      </c>
      <c r="S2849" s="1" t="s">
        <v>28</v>
      </c>
      <c r="T2849" s="1" t="s">
        <v>29</v>
      </c>
    </row>
    <row r="2850" customFormat="false" ht="18.7" hidden="false" customHeight="true" outlineLevel="0" collapsed="false">
      <c r="A2850" s="1" t="n">
        <v>2849</v>
      </c>
      <c r="B2850" s="6" t="str">
        <f aca="false">HYPERLINK("https://mncourtfraud.com/file/MCRO_27-CR-22-22521_Order to Transport_2023-11-02_20240429163105.pdf","MCRO_27-CR-22-22521_Order to Transport_2023-11-02_20240429163105.pdf")</f>
        <v>MCRO_27-CR-22-22521_Order to Transport_2023-11-02_20240429163105.pdf</v>
      </c>
      <c r="C2850" s="1" t="n">
        <v>5</v>
      </c>
      <c r="D2850" s="1" t="n">
        <v>3</v>
      </c>
      <c r="E2850" s="1" t="n">
        <v>3</v>
      </c>
      <c r="F2850" s="3" t="s">
        <v>20</v>
      </c>
      <c r="G2850" s="3" t="s">
        <v>11510</v>
      </c>
      <c r="H2850" s="1" t="s">
        <v>22</v>
      </c>
      <c r="I2850" s="1" t="n">
        <v>20240429163105</v>
      </c>
      <c r="J2850" s="3" t="s">
        <v>11511</v>
      </c>
      <c r="K2850" s="3" t="s">
        <v>11512</v>
      </c>
      <c r="L2850" s="3" t="s">
        <v>11513</v>
      </c>
      <c r="M2850" s="3" t="n">
        <v>215311</v>
      </c>
      <c r="N2850" s="3" t="s">
        <v>602</v>
      </c>
      <c r="O2850" s="1" t="n">
        <v>198925</v>
      </c>
      <c r="P2850" s="1" t="n">
        <v>92.39</v>
      </c>
      <c r="Q2850" s="1" t="s">
        <v>20</v>
      </c>
      <c r="R2850" s="1" t="s">
        <v>27</v>
      </c>
      <c r="S2850" s="1" t="s">
        <v>28</v>
      </c>
      <c r="T2850" s="1" t="s">
        <v>29</v>
      </c>
    </row>
    <row r="2851" customFormat="false" ht="18.7" hidden="false" customHeight="true" outlineLevel="0" collapsed="false">
      <c r="A2851" s="1" t="n">
        <v>2850</v>
      </c>
      <c r="B2851" s="6" t="str">
        <f aca="false">HYPERLINK("https://mncourtfraud.com/file/MCRO_27-CR-22-22521_Other Document_2023-12-26_20240429163048.pdf","MCRO_27-CR-22-22521_Other Document_2023-12-26_20240429163048.pdf")</f>
        <v>MCRO_27-CR-22-22521_Other Document_2023-12-26_20240429163048.pdf</v>
      </c>
      <c r="C2851" s="1" t="n">
        <v>4</v>
      </c>
      <c r="D2851" s="1" t="n">
        <v>1</v>
      </c>
      <c r="E2851" s="1" t="n">
        <v>1</v>
      </c>
      <c r="F2851" s="3" t="s">
        <v>20</v>
      </c>
      <c r="G2851" s="3" t="s">
        <v>11514</v>
      </c>
      <c r="H2851" s="1" t="s">
        <v>22</v>
      </c>
      <c r="I2851" s="1" t="n">
        <v>20240429163048</v>
      </c>
      <c r="J2851" s="3" t="s">
        <v>11515</v>
      </c>
      <c r="K2851" s="3" t="s">
        <v>11516</v>
      </c>
      <c r="L2851" s="3" t="s">
        <v>11517</v>
      </c>
      <c r="M2851" s="3" t="n">
        <v>753102</v>
      </c>
      <c r="N2851" s="3" t="s">
        <v>1086</v>
      </c>
      <c r="O2851" s="1" t="n">
        <v>736716</v>
      </c>
      <c r="P2851" s="1" t="n">
        <v>97.82</v>
      </c>
      <c r="Q2851" s="1" t="s">
        <v>20</v>
      </c>
      <c r="R2851" s="1" t="s">
        <v>27</v>
      </c>
      <c r="S2851" s="1" t="s">
        <v>28</v>
      </c>
      <c r="T2851" s="1" t="s">
        <v>29</v>
      </c>
    </row>
    <row r="2852" customFormat="false" ht="18.7" hidden="false" customHeight="true" outlineLevel="0" collapsed="false">
      <c r="A2852" s="1" t="n">
        <v>2851</v>
      </c>
      <c r="B2852" s="6" t="str">
        <f aca="false">HYPERLINK("https://mncourtfraud.com/file/MCRO_27-CR-22-22521_Other Document_2023-12-26_20240429163049.pdf","MCRO_27-CR-22-22521_Other Document_2023-12-26_20240429163049.pdf")</f>
        <v>MCRO_27-CR-22-22521_Other Document_2023-12-26_20240429163049.pdf</v>
      </c>
      <c r="C2852" s="1" t="n">
        <v>4</v>
      </c>
      <c r="D2852" s="1" t="n">
        <v>1</v>
      </c>
      <c r="E2852" s="1" t="n">
        <v>1</v>
      </c>
      <c r="F2852" s="3" t="s">
        <v>20</v>
      </c>
      <c r="G2852" s="3" t="s">
        <v>11518</v>
      </c>
      <c r="H2852" s="1" t="s">
        <v>22</v>
      </c>
      <c r="I2852" s="1" t="n">
        <v>20240429163049</v>
      </c>
      <c r="J2852" s="3" t="s">
        <v>11519</v>
      </c>
      <c r="K2852" s="3" t="s">
        <v>11520</v>
      </c>
      <c r="L2852" s="3" t="s">
        <v>11521</v>
      </c>
      <c r="M2852" s="3" t="n">
        <v>684781</v>
      </c>
      <c r="N2852" s="3" t="s">
        <v>736</v>
      </c>
      <c r="O2852" s="1" t="n">
        <v>668395</v>
      </c>
      <c r="P2852" s="1" t="n">
        <v>97.61</v>
      </c>
      <c r="Q2852" s="1" t="s">
        <v>20</v>
      </c>
      <c r="R2852" s="1" t="s">
        <v>27</v>
      </c>
      <c r="S2852" s="1" t="s">
        <v>28</v>
      </c>
      <c r="T2852" s="1" t="s">
        <v>29</v>
      </c>
    </row>
    <row r="2853" customFormat="false" ht="18.7" hidden="false" customHeight="true" outlineLevel="0" collapsed="false">
      <c r="A2853" s="1" t="n">
        <v>2852</v>
      </c>
      <c r="B2853" s="6" t="str">
        <f aca="false">HYPERLINK("https://mncourtfraud.com/file/MCRO_27-CR-22-22521_Other Document_2023-12-26_20240429163050.pdf","MCRO_27-CR-22-22521_Other Document_2023-12-26_20240429163050.pdf")</f>
        <v>MCRO_27-CR-22-22521_Other Document_2023-12-26_20240429163050.pdf</v>
      </c>
      <c r="C2853" s="1" t="n">
        <v>4</v>
      </c>
      <c r="D2853" s="1" t="n">
        <v>1</v>
      </c>
      <c r="E2853" s="1" t="n">
        <v>1</v>
      </c>
      <c r="F2853" s="3" t="s">
        <v>20</v>
      </c>
      <c r="G2853" s="3" t="s">
        <v>11522</v>
      </c>
      <c r="H2853" s="1" t="s">
        <v>22</v>
      </c>
      <c r="I2853" s="1" t="n">
        <v>20240429163050</v>
      </c>
      <c r="J2853" s="3" t="s">
        <v>11523</v>
      </c>
      <c r="K2853" s="3" t="s">
        <v>11524</v>
      </c>
      <c r="L2853" s="3" t="s">
        <v>11525</v>
      </c>
      <c r="M2853" s="3" t="n">
        <v>684985</v>
      </c>
      <c r="N2853" s="3" t="s">
        <v>486</v>
      </c>
      <c r="O2853" s="1" t="n">
        <v>668599</v>
      </c>
      <c r="P2853" s="1" t="n">
        <v>97.61</v>
      </c>
      <c r="Q2853" s="1" t="s">
        <v>20</v>
      </c>
      <c r="R2853" s="1" t="s">
        <v>27</v>
      </c>
      <c r="S2853" s="1" t="s">
        <v>28</v>
      </c>
      <c r="T2853" s="1" t="s">
        <v>29</v>
      </c>
    </row>
    <row r="2854" customFormat="false" ht="18.7" hidden="false" customHeight="true" outlineLevel="0" collapsed="false">
      <c r="A2854" s="1" t="n">
        <v>2853</v>
      </c>
      <c r="B2854" s="6" t="str">
        <f aca="false">HYPERLINK("https://mncourtfraud.com/file/MCRO_27-CR-22-22521_Other Document_2023-12-26_20240429163051.pdf","MCRO_27-CR-22-22521_Other Document_2023-12-26_20240429163051.pdf")</f>
        <v>MCRO_27-CR-22-22521_Other Document_2023-12-26_20240429163051.pdf</v>
      </c>
      <c r="C2854" s="1" t="n">
        <v>4</v>
      </c>
      <c r="D2854" s="1" t="n">
        <v>1</v>
      </c>
      <c r="E2854" s="1" t="n">
        <v>1</v>
      </c>
      <c r="F2854" s="3" t="s">
        <v>20</v>
      </c>
      <c r="G2854" s="3" t="s">
        <v>11526</v>
      </c>
      <c r="H2854" s="1" t="s">
        <v>22</v>
      </c>
      <c r="I2854" s="1" t="n">
        <v>20240429163051</v>
      </c>
      <c r="J2854" s="3" t="s">
        <v>11527</v>
      </c>
      <c r="K2854" s="3" t="s">
        <v>11528</v>
      </c>
      <c r="L2854" s="3" t="s">
        <v>11529</v>
      </c>
      <c r="M2854" s="3" t="n">
        <v>745753</v>
      </c>
      <c r="N2854" s="3" t="s">
        <v>11530</v>
      </c>
      <c r="O2854" s="1" t="n">
        <v>729367</v>
      </c>
      <c r="P2854" s="1" t="n">
        <v>97.8</v>
      </c>
      <c r="Q2854" s="1" t="s">
        <v>20</v>
      </c>
      <c r="R2854" s="1" t="s">
        <v>27</v>
      </c>
      <c r="S2854" s="1" t="s">
        <v>28</v>
      </c>
      <c r="T2854" s="1" t="s">
        <v>29</v>
      </c>
    </row>
    <row r="2855" customFormat="false" ht="18.7" hidden="false" customHeight="true" outlineLevel="0" collapsed="false">
      <c r="A2855" s="1" t="n">
        <v>2854</v>
      </c>
      <c r="B2855" s="6" t="str">
        <f aca="false">HYPERLINK("https://mncourtfraud.com/file/MCRO_27-CR-22-22521_Petition to Enter Guilty Plea_2023-12-07_20240429163102.pdf","MCRO_27-CR-22-22521_Petition to Enter Guilty Plea_2023-12-07_20240429163102.pdf")</f>
        <v>MCRO_27-CR-22-22521_Petition to Enter Guilty Plea_2023-12-07_20240429163102.pdf</v>
      </c>
      <c r="C2855" s="1" t="n">
        <v>4</v>
      </c>
      <c r="D2855" s="1" t="n">
        <v>1</v>
      </c>
      <c r="E2855" s="1" t="n">
        <v>1</v>
      </c>
      <c r="F2855" s="3" t="s">
        <v>20</v>
      </c>
      <c r="G2855" s="3" t="s">
        <v>11531</v>
      </c>
      <c r="H2855" s="1" t="s">
        <v>22</v>
      </c>
      <c r="I2855" s="1" t="n">
        <v>20240429163102</v>
      </c>
      <c r="J2855" s="3" t="s">
        <v>11532</v>
      </c>
      <c r="K2855" s="3" t="s">
        <v>11533</v>
      </c>
      <c r="L2855" s="3" t="s">
        <v>11534</v>
      </c>
      <c r="M2855" s="3" t="n">
        <v>371454</v>
      </c>
      <c r="N2855" s="3" t="s">
        <v>11530</v>
      </c>
      <c r="O2855" s="1" t="n">
        <v>355068</v>
      </c>
      <c r="P2855" s="1" t="n">
        <v>95.59</v>
      </c>
      <c r="Q2855" s="1" t="s">
        <v>20</v>
      </c>
      <c r="R2855" s="1" t="s">
        <v>27</v>
      </c>
      <c r="S2855" s="1" t="s">
        <v>28</v>
      </c>
      <c r="T2855" s="1" t="s">
        <v>29</v>
      </c>
    </row>
    <row r="2856" customFormat="false" ht="18.7" hidden="false" customHeight="true" outlineLevel="0" collapsed="false">
      <c r="A2856" s="1" t="n">
        <v>2855</v>
      </c>
      <c r="B2856" s="6" t="str">
        <f aca="false">HYPERLINK("https://mncourtfraud.com/file/MCRO_27-CR-22-22521_Probation Referral Notification_2022-12-13_20240429163116.pdf","MCRO_27-CR-22-22521_Probation Referral Notification_2022-12-13_20240429163116.pdf")</f>
        <v>MCRO_27-CR-22-22521_Probation Referral Notification_2022-12-13_20240429163116.pdf</v>
      </c>
      <c r="C2856" s="1" t="n">
        <v>4</v>
      </c>
      <c r="D2856" s="1" t="n">
        <v>1</v>
      </c>
      <c r="E2856" s="1" t="n">
        <v>1</v>
      </c>
      <c r="F2856" s="3" t="s">
        <v>20</v>
      </c>
      <c r="G2856" s="3" t="s">
        <v>11535</v>
      </c>
      <c r="H2856" s="1" t="s">
        <v>22</v>
      </c>
      <c r="I2856" s="1" t="n">
        <v>20240429163116</v>
      </c>
      <c r="J2856" s="3" t="s">
        <v>11536</v>
      </c>
      <c r="K2856" s="3" t="s">
        <v>11537</v>
      </c>
      <c r="L2856" s="3" t="s">
        <v>11538</v>
      </c>
      <c r="M2856" s="3" t="n">
        <v>814456</v>
      </c>
      <c r="N2856" s="3" t="s">
        <v>1512</v>
      </c>
      <c r="O2856" s="1" t="n">
        <v>798070</v>
      </c>
      <c r="P2856" s="1" t="n">
        <v>97.99</v>
      </c>
      <c r="Q2856" s="1" t="s">
        <v>20</v>
      </c>
      <c r="R2856" s="1" t="s">
        <v>27</v>
      </c>
      <c r="S2856" s="1" t="s">
        <v>28</v>
      </c>
      <c r="T2856" s="1" t="s">
        <v>29</v>
      </c>
    </row>
    <row r="2857" customFormat="false" ht="18.7" hidden="false" customHeight="true" outlineLevel="0" collapsed="false">
      <c r="A2857" s="1" t="n">
        <v>2856</v>
      </c>
      <c r="B2857" s="6" t="str">
        <f aca="false">HYPERLINK("https://mncourtfraud.com/file/MCRO_27-CR-22-22521_Probation Referral Notification_2023-12-07_20240429163059.pdf","MCRO_27-CR-22-22521_Probation Referral Notification_2023-12-07_20240429163059.pdf")</f>
        <v>MCRO_27-CR-22-22521_Probation Referral Notification_2023-12-07_20240429163059.pdf</v>
      </c>
      <c r="C2857" s="1" t="n">
        <v>4</v>
      </c>
      <c r="D2857" s="1" t="n">
        <v>1</v>
      </c>
      <c r="E2857" s="1" t="n">
        <v>1</v>
      </c>
      <c r="F2857" s="3" t="s">
        <v>20</v>
      </c>
      <c r="G2857" s="3" t="s">
        <v>11539</v>
      </c>
      <c r="H2857" s="1" t="s">
        <v>22</v>
      </c>
      <c r="I2857" s="1" t="n">
        <v>20240429163059</v>
      </c>
      <c r="J2857" s="3" t="s">
        <v>11540</v>
      </c>
      <c r="K2857" s="3" t="s">
        <v>11541</v>
      </c>
      <c r="L2857" s="3" t="s">
        <v>11542</v>
      </c>
      <c r="M2857" s="3" t="n">
        <v>98055</v>
      </c>
      <c r="N2857" s="3" t="s">
        <v>3269</v>
      </c>
      <c r="O2857" s="1" t="n">
        <v>81669</v>
      </c>
      <c r="P2857" s="1" t="n">
        <v>83.29</v>
      </c>
      <c r="Q2857" s="1" t="s">
        <v>20</v>
      </c>
      <c r="R2857" s="1" t="s">
        <v>27</v>
      </c>
      <c r="S2857" s="1" t="s">
        <v>28</v>
      </c>
      <c r="T2857" s="1" t="s">
        <v>29</v>
      </c>
    </row>
    <row r="2858" customFormat="false" ht="18.7" hidden="false" customHeight="true" outlineLevel="0" collapsed="false">
      <c r="A2858" s="1" t="n">
        <v>2857</v>
      </c>
      <c r="B2858" s="6" t="str">
        <f aca="false">HYPERLINK("https://mncourtfraud.com/file/MCRO_27-CR-22-22521_Probation Referral Notification_2023-12-07_20240429163100.pdf","MCRO_27-CR-22-22521_Probation Referral Notification_2023-12-07_20240429163100.pdf")</f>
        <v>MCRO_27-CR-22-22521_Probation Referral Notification_2023-12-07_20240429163100.pdf</v>
      </c>
      <c r="C2858" s="1" t="n">
        <v>4</v>
      </c>
      <c r="D2858" s="1" t="n">
        <v>1</v>
      </c>
      <c r="E2858" s="1" t="n">
        <v>1</v>
      </c>
      <c r="F2858" s="3" t="s">
        <v>20</v>
      </c>
      <c r="G2858" s="3" t="s">
        <v>11543</v>
      </c>
      <c r="H2858" s="1" t="s">
        <v>22</v>
      </c>
      <c r="I2858" s="1" t="n">
        <v>20240429163100</v>
      </c>
      <c r="J2858" s="3" t="s">
        <v>11544</v>
      </c>
      <c r="K2858" s="3" t="s">
        <v>11545</v>
      </c>
      <c r="L2858" s="3" t="s">
        <v>11546</v>
      </c>
      <c r="M2858" s="3" t="n">
        <v>96821</v>
      </c>
      <c r="N2858" s="3" t="s">
        <v>3269</v>
      </c>
      <c r="O2858" s="1" t="n">
        <v>80435</v>
      </c>
      <c r="P2858" s="1" t="n">
        <v>83.08</v>
      </c>
      <c r="Q2858" s="1" t="s">
        <v>20</v>
      </c>
      <c r="R2858" s="1" t="s">
        <v>27</v>
      </c>
      <c r="S2858" s="1" t="s">
        <v>28</v>
      </c>
      <c r="T2858" s="1" t="s">
        <v>29</v>
      </c>
    </row>
    <row r="2859" customFormat="false" ht="18.7" hidden="false" customHeight="true" outlineLevel="0" collapsed="false">
      <c r="A2859" s="1" t="n">
        <v>2858</v>
      </c>
      <c r="B2859" s="6" t="str">
        <f aca="false">HYPERLINK("https://mncourtfraud.com/file/MCRO_27-CR-22-22521_Probation Referral Notification_2023-12-14_20240429163055.pdf","MCRO_27-CR-22-22521_Probation Referral Notification_2023-12-14_20240429163055.pdf")</f>
        <v>MCRO_27-CR-22-22521_Probation Referral Notification_2023-12-14_20240429163055.pdf</v>
      </c>
      <c r="C2859" s="1" t="n">
        <v>4</v>
      </c>
      <c r="D2859" s="1" t="n">
        <v>1</v>
      </c>
      <c r="E2859" s="1" t="n">
        <v>1</v>
      </c>
      <c r="F2859" s="3" t="s">
        <v>20</v>
      </c>
      <c r="G2859" s="3" t="s">
        <v>11547</v>
      </c>
      <c r="H2859" s="1" t="s">
        <v>22</v>
      </c>
      <c r="I2859" s="1" t="n">
        <v>20240429163055</v>
      </c>
      <c r="J2859" s="3" t="s">
        <v>11548</v>
      </c>
      <c r="K2859" s="3" t="s">
        <v>11549</v>
      </c>
      <c r="L2859" s="3" t="s">
        <v>11550</v>
      </c>
      <c r="M2859" s="3" t="n">
        <v>98200</v>
      </c>
      <c r="N2859" s="3" t="s">
        <v>3269</v>
      </c>
      <c r="O2859" s="1" t="n">
        <v>81814</v>
      </c>
      <c r="P2859" s="1" t="n">
        <v>83.31</v>
      </c>
      <c r="Q2859" s="1" t="s">
        <v>20</v>
      </c>
      <c r="R2859" s="1" t="s">
        <v>27</v>
      </c>
      <c r="S2859" s="1" t="s">
        <v>28</v>
      </c>
      <c r="T2859" s="1" t="s">
        <v>29</v>
      </c>
    </row>
    <row r="2860" customFormat="false" ht="18.7" hidden="false" customHeight="true" outlineLevel="0" collapsed="false">
      <c r="A2860" s="1" t="n">
        <v>2859</v>
      </c>
      <c r="B2860" s="6" t="str">
        <f aca="false">HYPERLINK("https://mncourtfraud.com/file/MCRO_27-CR-22-22521_Proposed Order or Document_2023-07-12_20240429163109.pdf","MCRO_27-CR-22-22521_Proposed Order or Document_2023-07-12_20240429163109.pdf")</f>
        <v>MCRO_27-CR-22-22521_Proposed Order or Document_2023-07-12_20240429163109.pdf</v>
      </c>
      <c r="C2860" s="1" t="n">
        <v>3</v>
      </c>
      <c r="D2860" s="1" t="n">
        <v>1</v>
      </c>
      <c r="E2860" s="1" t="n">
        <v>1</v>
      </c>
      <c r="F2860" s="3" t="s">
        <v>20</v>
      </c>
      <c r="G2860" s="3" t="s">
        <v>11551</v>
      </c>
      <c r="H2860" s="1" t="s">
        <v>22</v>
      </c>
      <c r="I2860" s="1" t="n">
        <v>20240429163109</v>
      </c>
      <c r="J2860" s="3" t="s">
        <v>11552</v>
      </c>
      <c r="K2860" s="3" t="s">
        <v>11553</v>
      </c>
      <c r="L2860" s="3" t="s">
        <v>11554</v>
      </c>
      <c r="M2860" s="3" t="n">
        <v>178389</v>
      </c>
      <c r="N2860" s="3" t="s">
        <v>1115</v>
      </c>
      <c r="O2860" s="1" t="n">
        <v>162003</v>
      </c>
      <c r="P2860" s="1" t="n">
        <v>90.81</v>
      </c>
      <c r="Q2860" s="1" t="s">
        <v>20</v>
      </c>
      <c r="R2860" s="1" t="s">
        <v>27</v>
      </c>
      <c r="S2860" s="1" t="s">
        <v>28</v>
      </c>
      <c r="T2860" s="1" t="s">
        <v>29</v>
      </c>
    </row>
    <row r="2861" customFormat="false" ht="18.7" hidden="false" customHeight="true" outlineLevel="0" collapsed="false">
      <c r="A2861" s="1" t="n">
        <v>2860</v>
      </c>
      <c r="B2861" s="6" t="str">
        <f aca="false">HYPERLINK("https://mncourtfraud.com/file/MCRO_27-CR-22-22521_Proposed Order or Document_2024-01-22_20240429163047.pdf","MCRO_27-CR-22-22521_Proposed Order or Document_2024-01-22_20240429163047.pdf")</f>
        <v>MCRO_27-CR-22-22521_Proposed Order or Document_2024-01-22_20240429163047.pdf</v>
      </c>
      <c r="C2861" s="1" t="n">
        <v>3</v>
      </c>
      <c r="D2861" s="1" t="n">
        <v>1</v>
      </c>
      <c r="E2861" s="1" t="n">
        <v>1</v>
      </c>
      <c r="F2861" s="3" t="s">
        <v>20</v>
      </c>
      <c r="G2861" s="3" t="s">
        <v>11555</v>
      </c>
      <c r="H2861" s="1" t="s">
        <v>22</v>
      </c>
      <c r="I2861" s="1" t="n">
        <v>20240429163047</v>
      </c>
      <c r="J2861" s="3" t="s">
        <v>11556</v>
      </c>
      <c r="K2861" s="3" t="s">
        <v>11557</v>
      </c>
      <c r="L2861" s="3" t="s">
        <v>11558</v>
      </c>
      <c r="M2861" s="3" t="n">
        <v>217544</v>
      </c>
      <c r="N2861" s="3" t="s">
        <v>1014</v>
      </c>
      <c r="O2861" s="1" t="n">
        <v>201158</v>
      </c>
      <c r="P2861" s="1" t="n">
        <v>92.47</v>
      </c>
      <c r="Q2861" s="1" t="s">
        <v>20</v>
      </c>
      <c r="R2861" s="1" t="s">
        <v>27</v>
      </c>
      <c r="S2861" s="1" t="s">
        <v>28</v>
      </c>
      <c r="T2861" s="1" t="s">
        <v>29</v>
      </c>
    </row>
    <row r="2862" customFormat="false" ht="18.7" hidden="false" customHeight="true" outlineLevel="0" collapsed="false">
      <c r="A2862" s="1" t="n">
        <v>2861</v>
      </c>
      <c r="B2862" s="6" t="str">
        <f aca="false">HYPERLINK("https://mncourtfraud.com/file/MCRO_27-CR-22-22521_Restitution Form or Certificate_2023-12-14_20240429163056.pdf","MCRO_27-CR-22-22521_Restitution Form or Certificate_2023-12-14_20240429163056.pdf")</f>
        <v>MCRO_27-CR-22-22521_Restitution Form or Certificate_2023-12-14_20240429163056.pdf</v>
      </c>
      <c r="C2862" s="1" t="n">
        <v>4</v>
      </c>
      <c r="D2862" s="1" t="n">
        <v>1</v>
      </c>
      <c r="E2862" s="1" t="n">
        <v>1</v>
      </c>
      <c r="F2862" s="3" t="s">
        <v>20</v>
      </c>
      <c r="G2862" s="3" t="s">
        <v>11559</v>
      </c>
      <c r="H2862" s="1" t="s">
        <v>22</v>
      </c>
      <c r="I2862" s="1" t="n">
        <v>20240429163056</v>
      </c>
      <c r="J2862" s="3" t="s">
        <v>11560</v>
      </c>
      <c r="K2862" s="3" t="s">
        <v>11561</v>
      </c>
      <c r="L2862" s="3" t="s">
        <v>11562</v>
      </c>
      <c r="M2862" s="3" t="n">
        <v>86476</v>
      </c>
      <c r="N2862" s="3" t="s">
        <v>3269</v>
      </c>
      <c r="O2862" s="1" t="n">
        <v>70090</v>
      </c>
      <c r="P2862" s="1" t="n">
        <v>81.05</v>
      </c>
      <c r="Q2862" s="1" t="s">
        <v>20</v>
      </c>
      <c r="R2862" s="1" t="s">
        <v>27</v>
      </c>
      <c r="S2862" s="1" t="s">
        <v>28</v>
      </c>
      <c r="T2862" s="1" t="s">
        <v>29</v>
      </c>
    </row>
    <row r="2863" customFormat="false" ht="18.7" hidden="false" customHeight="true" outlineLevel="0" collapsed="false">
      <c r="A2863" s="1" t="n">
        <v>2862</v>
      </c>
      <c r="B2863" s="6" t="str">
        <f aca="false">HYPERLINK("https://mncourtfraud.com/file/MCRO_27-CR-22-22521_Restitution Form or Certificate_2024-01-22_20240429163045.pdf","MCRO_27-CR-22-22521_Restitution Form or Certificate_2024-01-22_20240429163045.pdf")</f>
        <v>MCRO_27-CR-22-22521_Restitution Form or Certificate_2024-01-22_20240429163045.pdf</v>
      </c>
      <c r="C2863" s="1" t="n">
        <v>3</v>
      </c>
      <c r="D2863" s="1" t="n">
        <v>1</v>
      </c>
      <c r="E2863" s="1" t="n">
        <v>1</v>
      </c>
      <c r="F2863" s="3" t="s">
        <v>20</v>
      </c>
      <c r="G2863" s="3" t="s">
        <v>11563</v>
      </c>
      <c r="H2863" s="1" t="s">
        <v>22</v>
      </c>
      <c r="I2863" s="1" t="n">
        <v>20240429163045</v>
      </c>
      <c r="J2863" s="3" t="s">
        <v>11564</v>
      </c>
      <c r="K2863" s="3" t="s">
        <v>11565</v>
      </c>
      <c r="L2863" s="3" t="s">
        <v>11566</v>
      </c>
      <c r="M2863" s="3" t="n">
        <v>331433</v>
      </c>
      <c r="N2863" s="3" t="s">
        <v>390</v>
      </c>
      <c r="O2863" s="1" t="n">
        <v>315047</v>
      </c>
      <c r="P2863" s="1" t="n">
        <v>95.06</v>
      </c>
      <c r="Q2863" s="1" t="s">
        <v>20</v>
      </c>
      <c r="R2863" s="1" t="s">
        <v>27</v>
      </c>
      <c r="S2863" s="1" t="s">
        <v>28</v>
      </c>
      <c r="T2863" s="1" t="s">
        <v>29</v>
      </c>
    </row>
    <row r="2864" customFormat="false" ht="18.7" hidden="false" customHeight="true" outlineLevel="0" collapsed="false">
      <c r="A2864" s="1" t="n">
        <v>2863</v>
      </c>
      <c r="B2864" s="6" t="str">
        <f aca="false">HYPERLINK("https://mncourtfraud.com/file/MCRO_27-CR-22-22521_Restitution Form or Certificate_2024-01-22_20240429163046.pdf","MCRO_27-CR-22-22521_Restitution Form or Certificate_2024-01-22_20240429163046.pdf")</f>
        <v>MCRO_27-CR-22-22521_Restitution Form or Certificate_2024-01-22_20240429163046.pdf</v>
      </c>
      <c r="C2864" s="1" t="n">
        <v>3</v>
      </c>
      <c r="D2864" s="1" t="n">
        <v>1</v>
      </c>
      <c r="E2864" s="1" t="n">
        <v>1</v>
      </c>
      <c r="F2864" s="3" t="s">
        <v>20</v>
      </c>
      <c r="G2864" s="3" t="s">
        <v>11567</v>
      </c>
      <c r="H2864" s="1" t="s">
        <v>22</v>
      </c>
      <c r="I2864" s="1" t="n">
        <v>20240429163046</v>
      </c>
      <c r="J2864" s="3" t="s">
        <v>11568</v>
      </c>
      <c r="K2864" s="3" t="s">
        <v>11569</v>
      </c>
      <c r="L2864" s="3" t="s">
        <v>11570</v>
      </c>
      <c r="M2864" s="3" t="n">
        <v>271993</v>
      </c>
      <c r="N2864" s="3" t="s">
        <v>3408</v>
      </c>
      <c r="O2864" s="1" t="n">
        <v>255607</v>
      </c>
      <c r="P2864" s="1" t="n">
        <v>93.98</v>
      </c>
      <c r="Q2864" s="1" t="s">
        <v>20</v>
      </c>
      <c r="R2864" s="1" t="s">
        <v>27</v>
      </c>
      <c r="S2864" s="1" t="s">
        <v>28</v>
      </c>
      <c r="T2864" s="1" t="s">
        <v>29</v>
      </c>
    </row>
    <row r="2865" customFormat="false" ht="18.7" hidden="false" customHeight="true" outlineLevel="0" collapsed="false">
      <c r="A2865" s="1" t="n">
        <v>2864</v>
      </c>
      <c r="B2865" s="6" t="str">
        <f aca="false">HYPERLINK("https://mncourtfraud.com/file/MCRO_27-CR-22-22521_Sentencing Order_2023-12-14_20240429163053.pdf","MCRO_27-CR-22-22521_Sentencing Order_2023-12-14_20240429163053.pdf")</f>
        <v>MCRO_27-CR-22-22521_Sentencing Order_2023-12-14_20240429163053.pdf</v>
      </c>
      <c r="C2865" s="1" t="n">
        <v>4</v>
      </c>
      <c r="D2865" s="1" t="n">
        <v>1</v>
      </c>
      <c r="E2865" s="1" t="n">
        <v>1</v>
      </c>
      <c r="F2865" s="3" t="s">
        <v>20</v>
      </c>
      <c r="G2865" s="3" t="s">
        <v>11571</v>
      </c>
      <c r="H2865" s="1" t="s">
        <v>22</v>
      </c>
      <c r="I2865" s="1" t="n">
        <v>20240429163053</v>
      </c>
      <c r="J2865" s="3" t="s">
        <v>11572</v>
      </c>
      <c r="K2865" s="3" t="s">
        <v>11573</v>
      </c>
      <c r="L2865" s="3" t="s">
        <v>11574</v>
      </c>
      <c r="M2865" s="3" t="n">
        <v>333398</v>
      </c>
      <c r="N2865" s="3" t="s">
        <v>11575</v>
      </c>
      <c r="O2865" s="1" t="n">
        <v>317012</v>
      </c>
      <c r="P2865" s="1" t="n">
        <v>95.09</v>
      </c>
      <c r="Q2865" s="1" t="s">
        <v>20</v>
      </c>
      <c r="R2865" s="1" t="s">
        <v>27</v>
      </c>
      <c r="S2865" s="1" t="s">
        <v>28</v>
      </c>
      <c r="T2865" s="1" t="s">
        <v>29</v>
      </c>
    </row>
    <row r="2866" customFormat="false" ht="18.7" hidden="false" customHeight="true" outlineLevel="0" collapsed="false">
      <c r="A2866" s="1" t="n">
        <v>2865</v>
      </c>
      <c r="B2866" s="6" t="str">
        <f aca="false">HYPERLINK("https://mncourtfraud.com/file/MCRO_27-CR-22-22687_Citation Data Summary_2022-11-14_20240429163217.pdf","MCRO_27-CR-22-22687_Citation Data Summary_2022-11-14_20240429163217.pdf")</f>
        <v>MCRO_27-CR-22-22687_Citation Data Summary_2022-11-14_20240429163217.pdf</v>
      </c>
      <c r="C2866" s="1" t="n">
        <v>5</v>
      </c>
      <c r="D2866" s="1" t="n">
        <v>2</v>
      </c>
      <c r="E2866" s="1" t="n">
        <v>2</v>
      </c>
      <c r="F2866" s="3" t="s">
        <v>20</v>
      </c>
      <c r="G2866" s="3" t="s">
        <v>11576</v>
      </c>
      <c r="H2866" s="1" t="s">
        <v>22</v>
      </c>
      <c r="I2866" s="1" t="n">
        <v>20240429163217</v>
      </c>
      <c r="J2866" s="3" t="s">
        <v>11577</v>
      </c>
      <c r="K2866" s="3" t="s">
        <v>11578</v>
      </c>
      <c r="L2866" s="3" t="s">
        <v>11579</v>
      </c>
      <c r="M2866" s="3" t="n">
        <v>102115</v>
      </c>
      <c r="N2866" s="3" t="s">
        <v>535</v>
      </c>
      <c r="O2866" s="1" t="n">
        <v>85729</v>
      </c>
      <c r="P2866" s="1" t="n">
        <v>83.95</v>
      </c>
      <c r="Q2866" s="1" t="s">
        <v>20</v>
      </c>
      <c r="R2866" s="1" t="s">
        <v>27</v>
      </c>
      <c r="S2866" s="1" t="s">
        <v>28</v>
      </c>
      <c r="T2866" s="1" t="s">
        <v>29</v>
      </c>
    </row>
    <row r="2867" customFormat="false" ht="18.7" hidden="false" customHeight="true" outlineLevel="0" collapsed="false">
      <c r="A2867" s="1" t="n">
        <v>2866</v>
      </c>
      <c r="B2867" s="6" t="str">
        <f aca="false">HYPERLINK("https://mncourtfraud.com/file/MCRO_27-CR-22-22687_Finding of Incompetency and Order_2023-06-14_20240429163209.pdf","MCRO_27-CR-22-22687_Finding of Incompetency and Order_2023-06-14_20240429163209.pdf")</f>
        <v>MCRO_27-CR-22-22687_Finding of Incompetency and Order_2023-06-14_20240429163209.pdf</v>
      </c>
      <c r="C2867" s="1" t="n">
        <v>7</v>
      </c>
      <c r="D2867" s="1" t="n">
        <v>2</v>
      </c>
      <c r="E2867" s="1" t="n">
        <v>2</v>
      </c>
      <c r="F2867" s="3" t="s">
        <v>27</v>
      </c>
      <c r="G2867" s="3" t="s">
        <v>11580</v>
      </c>
      <c r="H2867" s="1" t="s">
        <v>22</v>
      </c>
      <c r="I2867" s="1" t="n">
        <v>20240429163209</v>
      </c>
      <c r="J2867" s="3" t="s">
        <v>11581</v>
      </c>
      <c r="K2867" s="3" t="s">
        <v>11582</v>
      </c>
      <c r="L2867" s="3" t="s">
        <v>11583</v>
      </c>
      <c r="M2867" s="3" t="n">
        <v>859789</v>
      </c>
      <c r="N2867" s="3" t="s">
        <v>69</v>
      </c>
      <c r="O2867" s="1" t="n">
        <v>843403</v>
      </c>
      <c r="P2867" s="1" t="n">
        <v>98.09</v>
      </c>
      <c r="Q2867" s="1" t="s">
        <v>20</v>
      </c>
      <c r="R2867" s="1" t="s">
        <v>27</v>
      </c>
      <c r="S2867" s="1" t="s">
        <v>28</v>
      </c>
      <c r="T2867" s="1" t="s">
        <v>29</v>
      </c>
    </row>
    <row r="2868" customFormat="false" ht="18.7" hidden="false" customHeight="true" outlineLevel="0" collapsed="false">
      <c r="A2868" s="1" t="n">
        <v>2867</v>
      </c>
      <c r="B2868" s="6" t="str">
        <f aca="false">HYPERLINK("https://mncourtfraud.com/file/MCRO_27-CR-22-22687_Notice of Remote Hearing with Instructions_2023-01-25_20240429163215.pdf","MCRO_27-CR-22-22687_Notice of Remote Hearing with Instructions_2023-01-25_20240429163215.pdf")</f>
        <v>MCRO_27-CR-22-22687_Notice of Remote Hearing with Instructions_2023-01-25_20240429163215.pdf</v>
      </c>
      <c r="C2868" s="1" t="n">
        <v>4</v>
      </c>
      <c r="D2868" s="1" t="n">
        <v>1</v>
      </c>
      <c r="E2868" s="1" t="n">
        <v>1</v>
      </c>
      <c r="F2868" s="3" t="s">
        <v>20</v>
      </c>
      <c r="G2868" s="3" t="s">
        <v>11584</v>
      </c>
      <c r="H2868" s="1" t="s">
        <v>22</v>
      </c>
      <c r="I2868" s="1" t="n">
        <v>20240429163215</v>
      </c>
      <c r="J2868" s="3" t="s">
        <v>11585</v>
      </c>
      <c r="K2868" s="3" t="s">
        <v>11586</v>
      </c>
      <c r="L2868" s="3" t="s">
        <v>11587</v>
      </c>
      <c r="M2868" s="3" t="n">
        <v>262470</v>
      </c>
      <c r="N2868" s="3" t="s">
        <v>936</v>
      </c>
      <c r="O2868" s="1" t="n">
        <v>246084</v>
      </c>
      <c r="P2868" s="1" t="n">
        <v>93.76</v>
      </c>
      <c r="Q2868" s="1" t="s">
        <v>20</v>
      </c>
      <c r="R2868" s="1" t="s">
        <v>27</v>
      </c>
      <c r="S2868" s="1" t="s">
        <v>28</v>
      </c>
      <c r="T2868" s="1" t="s">
        <v>29</v>
      </c>
    </row>
    <row r="2869" customFormat="false" ht="18.7" hidden="false" customHeight="true" outlineLevel="0" collapsed="false">
      <c r="A2869" s="1" t="n">
        <v>2868</v>
      </c>
      <c r="B2869" s="6" t="str">
        <f aca="false">HYPERLINK("https://mncourtfraud.com/file/MCRO_27-CR-22-22687_Notice of Remote Hearing with Instructions_2023-04-21_20240429163211.pdf","MCRO_27-CR-22-22687_Notice of Remote Hearing with Instructions_2023-04-21_20240429163211.pdf")</f>
        <v>MCRO_27-CR-22-22687_Notice of Remote Hearing with Instructions_2023-04-21_20240429163211.pdf</v>
      </c>
      <c r="C2869" s="1" t="n">
        <v>4</v>
      </c>
      <c r="D2869" s="1" t="n">
        <v>1</v>
      </c>
      <c r="E2869" s="1" t="n">
        <v>1</v>
      </c>
      <c r="F2869" s="3" t="s">
        <v>20</v>
      </c>
      <c r="G2869" s="3" t="s">
        <v>11588</v>
      </c>
      <c r="H2869" s="1" t="s">
        <v>22</v>
      </c>
      <c r="I2869" s="1" t="n">
        <v>20240429163211</v>
      </c>
      <c r="J2869" s="3" t="s">
        <v>11589</v>
      </c>
      <c r="K2869" s="3" t="s">
        <v>11590</v>
      </c>
      <c r="L2869" s="3" t="s">
        <v>11591</v>
      </c>
      <c r="M2869" s="3" t="n">
        <v>824996</v>
      </c>
      <c r="N2869" s="3" t="s">
        <v>1128</v>
      </c>
      <c r="O2869" s="1" t="n">
        <v>808610</v>
      </c>
      <c r="P2869" s="1" t="n">
        <v>98.01</v>
      </c>
      <c r="Q2869" s="1" t="s">
        <v>20</v>
      </c>
      <c r="R2869" s="1" t="s">
        <v>27</v>
      </c>
      <c r="S2869" s="1" t="s">
        <v>28</v>
      </c>
      <c r="T2869" s="1" t="s">
        <v>29</v>
      </c>
    </row>
    <row r="2870" customFormat="false" ht="18.7" hidden="false" customHeight="true" outlineLevel="0" collapsed="false">
      <c r="A2870" s="1" t="n">
        <v>2869</v>
      </c>
      <c r="B2870" s="6" t="str">
        <f aca="false">HYPERLINK("https://mncourtfraud.com/file/MCRO_27-CR-22-22687_Order-Evaluation for Competency to Proceed (Rule 20.01)_2023-04-21_20240429163212.pdf","MCRO_27-CR-22-22687_Order-Evaluation for Competency to Proceed (Rule 20.01)_2023-04-21_20240429163212.pdf")</f>
        <v>MCRO_27-CR-22-22687_Order-Evaluation for Competency to Proceed (Rule 20.01)_2023-04-21_20240429163212.pdf</v>
      </c>
      <c r="C2870" s="1" t="n">
        <v>4</v>
      </c>
      <c r="D2870" s="1" t="n">
        <v>1</v>
      </c>
      <c r="E2870" s="1" t="n">
        <v>1</v>
      </c>
      <c r="F2870" s="3" t="s">
        <v>20</v>
      </c>
      <c r="G2870" s="3" t="s">
        <v>11592</v>
      </c>
      <c r="H2870" s="1" t="s">
        <v>22</v>
      </c>
      <c r="I2870" s="1" t="n">
        <v>20240429163212</v>
      </c>
      <c r="J2870" s="3" t="s">
        <v>11593</v>
      </c>
      <c r="K2870" s="3" t="s">
        <v>11594</v>
      </c>
      <c r="L2870" s="3" t="s">
        <v>11595</v>
      </c>
      <c r="M2870" s="3" t="n">
        <v>483892</v>
      </c>
      <c r="N2870" s="3" t="s">
        <v>158</v>
      </c>
      <c r="O2870" s="1" t="n">
        <v>467506</v>
      </c>
      <c r="P2870" s="1" t="n">
        <v>96.61</v>
      </c>
      <c r="Q2870" s="1" t="s">
        <v>20</v>
      </c>
      <c r="R2870" s="1" t="s">
        <v>27</v>
      </c>
      <c r="S2870" s="1" t="s">
        <v>28</v>
      </c>
      <c r="T2870" s="1" t="s">
        <v>29</v>
      </c>
    </row>
    <row r="2871" customFormat="false" ht="18.7" hidden="false" customHeight="true" outlineLevel="0" collapsed="false">
      <c r="A2871" s="1" t="n">
        <v>2870</v>
      </c>
      <c r="B2871" s="6" t="str">
        <f aca="false">HYPERLINK("https://mncourtfraud.com/file/MCRO_27-CR-22-22687_Prosecutor's Offer_2023-05-15_20240429163210.pdf","MCRO_27-CR-22-22687_Prosecutor's Offer_2023-05-15_20240429163210.pdf")</f>
        <v>MCRO_27-CR-22-22687_Prosecutor's Offer_2023-05-15_20240429163210.pdf</v>
      </c>
      <c r="C2871" s="1" t="n">
        <v>3</v>
      </c>
      <c r="D2871" s="1" t="n">
        <v>1</v>
      </c>
      <c r="E2871" s="1" t="n">
        <v>1</v>
      </c>
      <c r="F2871" s="3" t="s">
        <v>20</v>
      </c>
      <c r="G2871" s="3" t="s">
        <v>11596</v>
      </c>
      <c r="H2871" s="1" t="s">
        <v>22</v>
      </c>
      <c r="I2871" s="1" t="n">
        <v>20240429163210</v>
      </c>
      <c r="J2871" s="3" t="s">
        <v>11597</v>
      </c>
      <c r="K2871" s="3" t="s">
        <v>11598</v>
      </c>
      <c r="L2871" s="3" t="s">
        <v>11599</v>
      </c>
      <c r="M2871" s="3" t="n">
        <v>179427</v>
      </c>
      <c r="N2871" s="3" t="s">
        <v>79</v>
      </c>
      <c r="O2871" s="1" t="n">
        <v>163041</v>
      </c>
      <c r="P2871" s="1" t="n">
        <v>90.87</v>
      </c>
      <c r="Q2871" s="1" t="s">
        <v>20</v>
      </c>
      <c r="R2871" s="1" t="s">
        <v>27</v>
      </c>
      <c r="S2871" s="1" t="s">
        <v>28</v>
      </c>
      <c r="T2871" s="1" t="s">
        <v>29</v>
      </c>
    </row>
    <row r="2872" customFormat="false" ht="18.7" hidden="false" customHeight="true" outlineLevel="0" collapsed="false">
      <c r="A2872" s="1" t="n">
        <v>2871</v>
      </c>
      <c r="B2872" s="6" t="str">
        <f aca="false">HYPERLINK("https://mncourtfraud.com/file/MCRO_27-CR-22-22687_Returned Mail_2023-04-17_20240429163213.pdf","MCRO_27-CR-22-22687_Returned Mail_2023-04-17_20240429163213.pdf")</f>
        <v>MCRO_27-CR-22-22687_Returned Mail_2023-04-17_20240429163213.pdf</v>
      </c>
      <c r="C2872" s="1" t="n">
        <v>4</v>
      </c>
      <c r="D2872" s="1" t="n">
        <v>1</v>
      </c>
      <c r="E2872" s="1" t="n">
        <v>1</v>
      </c>
      <c r="F2872" s="3" t="s">
        <v>20</v>
      </c>
      <c r="G2872" s="3" t="s">
        <v>11600</v>
      </c>
      <c r="H2872" s="1" t="s">
        <v>22</v>
      </c>
      <c r="I2872" s="1" t="n">
        <v>20240429163213</v>
      </c>
      <c r="J2872" s="3" t="s">
        <v>11601</v>
      </c>
      <c r="K2872" s="3" t="s">
        <v>11602</v>
      </c>
      <c r="L2872" s="3" t="s">
        <v>11603</v>
      </c>
      <c r="M2872" s="3" t="n">
        <v>274970</v>
      </c>
      <c r="N2872" s="3" t="s">
        <v>158</v>
      </c>
      <c r="O2872" s="1" t="n">
        <v>258584</v>
      </c>
      <c r="P2872" s="1" t="n">
        <v>94.04</v>
      </c>
      <c r="Q2872" s="1" t="s">
        <v>20</v>
      </c>
      <c r="R2872" s="1" t="s">
        <v>27</v>
      </c>
      <c r="S2872" s="1" t="s">
        <v>28</v>
      </c>
      <c r="T2872" s="1" t="s">
        <v>29</v>
      </c>
    </row>
    <row r="2873" customFormat="false" ht="18.7" hidden="false" customHeight="true" outlineLevel="0" collapsed="false">
      <c r="A2873" s="1" t="n">
        <v>2872</v>
      </c>
      <c r="B2873" s="6" t="str">
        <f aca="false">HYPERLINK("https://mncourtfraud.com/file/MCRO_27-CR-22-22687_Summons_2022-11-15_20240429163216.pdf","MCRO_27-CR-22-22687_Summons_2022-11-15_20240429163216.pdf")</f>
        <v>MCRO_27-CR-22-22687_Summons_2022-11-15_20240429163216.pdf</v>
      </c>
      <c r="C2873" s="1" t="n">
        <v>5</v>
      </c>
      <c r="D2873" s="1" t="n">
        <v>1</v>
      </c>
      <c r="E2873" s="1" t="n">
        <v>1</v>
      </c>
      <c r="F2873" s="3" t="s">
        <v>20</v>
      </c>
      <c r="G2873" s="3" t="s">
        <v>11604</v>
      </c>
      <c r="H2873" s="1" t="s">
        <v>22</v>
      </c>
      <c r="I2873" s="1" t="n">
        <v>20240429163216</v>
      </c>
      <c r="J2873" s="3" t="s">
        <v>11605</v>
      </c>
      <c r="K2873" s="3" t="s">
        <v>11606</v>
      </c>
      <c r="L2873" s="3" t="s">
        <v>11607</v>
      </c>
      <c r="M2873" s="3" t="n">
        <v>693949</v>
      </c>
      <c r="N2873" s="3" t="s">
        <v>2358</v>
      </c>
      <c r="O2873" s="1" t="n">
        <v>677563</v>
      </c>
      <c r="P2873" s="1" t="n">
        <v>97.64</v>
      </c>
      <c r="Q2873" s="1" t="s">
        <v>20</v>
      </c>
      <c r="R2873" s="1" t="s">
        <v>27</v>
      </c>
      <c r="S2873" s="1" t="s">
        <v>28</v>
      </c>
      <c r="T2873" s="1" t="s">
        <v>29</v>
      </c>
    </row>
    <row r="2874" customFormat="false" ht="18.7" hidden="false" customHeight="true" outlineLevel="0" collapsed="false">
      <c r="A2874" s="1" t="n">
        <v>2873</v>
      </c>
      <c r="B2874" s="6" t="str">
        <f aca="false">HYPERLINK("https://mncourtfraud.com/file/MCRO_27-CR-22-22850_E-filed Comp-Summons_2022-11-16_20240429163302.pdf","MCRO_27-CR-22-22850_E-filed Comp-Summons_2022-11-16_20240429163302.pdf")</f>
        <v>MCRO_27-CR-22-22850_E-filed Comp-Summons_2022-11-16_20240429163302.pdf</v>
      </c>
      <c r="C2874" s="1" t="n">
        <v>5</v>
      </c>
      <c r="D2874" s="1" t="n">
        <v>2</v>
      </c>
      <c r="E2874" s="1" t="n">
        <v>2</v>
      </c>
      <c r="F2874" s="3" t="s">
        <v>20</v>
      </c>
      <c r="G2874" s="3" t="s">
        <v>11608</v>
      </c>
      <c r="H2874" s="1" t="s">
        <v>22</v>
      </c>
      <c r="I2874" s="1" t="n">
        <v>20240429163302</v>
      </c>
      <c r="J2874" s="3" t="s">
        <v>11609</v>
      </c>
      <c r="K2874" s="3" t="s">
        <v>11610</v>
      </c>
      <c r="L2874" s="3" t="s">
        <v>11611</v>
      </c>
      <c r="M2874" s="3" t="n">
        <v>452003</v>
      </c>
      <c r="N2874" s="3" t="s">
        <v>7385</v>
      </c>
      <c r="O2874" s="1" t="n">
        <v>435617</v>
      </c>
      <c r="P2874" s="1" t="n">
        <v>96.37</v>
      </c>
      <c r="Q2874" s="1" t="s">
        <v>20</v>
      </c>
      <c r="R2874" s="1" t="s">
        <v>27</v>
      </c>
      <c r="S2874" s="1" t="s">
        <v>28</v>
      </c>
      <c r="T2874" s="1" t="s">
        <v>29</v>
      </c>
    </row>
    <row r="2875" customFormat="false" ht="18.7" hidden="false" customHeight="true" outlineLevel="0" collapsed="false">
      <c r="A2875" s="1" t="n">
        <v>2874</v>
      </c>
      <c r="B2875" s="6" t="str">
        <f aca="false">HYPERLINK("https://mncourtfraud.com/file/MCRO_27-CR-22-22850_Notice of Hearing_2022-12-28_20240429163300.pdf","MCRO_27-CR-22-22850_Notice of Hearing_2022-12-28_20240429163300.pdf")</f>
        <v>MCRO_27-CR-22-22850_Notice of Hearing_2022-12-28_20240429163300.pdf</v>
      </c>
      <c r="C2875" s="1" t="n">
        <v>4</v>
      </c>
      <c r="D2875" s="1" t="n">
        <v>1</v>
      </c>
      <c r="E2875" s="1" t="n">
        <v>1</v>
      </c>
      <c r="F2875" s="3" t="s">
        <v>20</v>
      </c>
      <c r="G2875" s="3" t="s">
        <v>11612</v>
      </c>
      <c r="H2875" s="1" t="s">
        <v>22</v>
      </c>
      <c r="I2875" s="1" t="n">
        <v>20240429163300</v>
      </c>
      <c r="J2875" s="3" t="s">
        <v>11613</v>
      </c>
      <c r="K2875" s="3" t="s">
        <v>11614</v>
      </c>
      <c r="L2875" s="3" t="s">
        <v>11615</v>
      </c>
      <c r="M2875" s="3" t="n">
        <v>464789</v>
      </c>
      <c r="N2875" s="3" t="s">
        <v>158</v>
      </c>
      <c r="O2875" s="1" t="n">
        <v>448403</v>
      </c>
      <c r="P2875" s="1" t="n">
        <v>96.47</v>
      </c>
      <c r="Q2875" s="1" t="s">
        <v>20</v>
      </c>
      <c r="R2875" s="1" t="s">
        <v>27</v>
      </c>
      <c r="S2875" s="1" t="s">
        <v>28</v>
      </c>
      <c r="T2875" s="1" t="s">
        <v>29</v>
      </c>
    </row>
    <row r="2876" customFormat="false" ht="18.7" hidden="false" customHeight="true" outlineLevel="0" collapsed="false">
      <c r="A2876" s="1" t="n">
        <v>2875</v>
      </c>
      <c r="B2876" s="6" t="str">
        <f aca="false">HYPERLINK("https://mncourtfraud.com/file/MCRO_27-CR-22-22850_Notice of Hearing_2023-02-28_20240429163257.pdf","MCRO_27-CR-22-22850_Notice of Hearing_2023-02-28_20240429163257.pdf")</f>
        <v>MCRO_27-CR-22-22850_Notice of Hearing_2023-02-28_20240429163257.pdf</v>
      </c>
      <c r="C2876" s="1" t="n">
        <v>4</v>
      </c>
      <c r="D2876" s="1" t="n">
        <v>1</v>
      </c>
      <c r="E2876" s="1" t="n">
        <v>1</v>
      </c>
      <c r="F2876" s="3" t="s">
        <v>20</v>
      </c>
      <c r="G2876" s="3" t="s">
        <v>11616</v>
      </c>
      <c r="H2876" s="1" t="s">
        <v>22</v>
      </c>
      <c r="I2876" s="1" t="n">
        <v>20240429163257</v>
      </c>
      <c r="J2876" s="3" t="s">
        <v>11617</v>
      </c>
      <c r="K2876" s="3" t="s">
        <v>11618</v>
      </c>
      <c r="L2876" s="3" t="s">
        <v>11619</v>
      </c>
      <c r="M2876" s="3" t="n">
        <v>99806</v>
      </c>
      <c r="N2876" s="3" t="s">
        <v>435</v>
      </c>
      <c r="O2876" s="1" t="n">
        <v>83420</v>
      </c>
      <c r="P2876" s="1" t="n">
        <v>83.58</v>
      </c>
      <c r="Q2876" s="1" t="s">
        <v>20</v>
      </c>
      <c r="R2876" s="1" t="s">
        <v>27</v>
      </c>
      <c r="S2876" s="1" t="s">
        <v>28</v>
      </c>
      <c r="T2876" s="1" t="s">
        <v>29</v>
      </c>
    </row>
    <row r="2877" customFormat="false" ht="18.7" hidden="false" customHeight="true" outlineLevel="0" collapsed="false">
      <c r="A2877" s="1" t="n">
        <v>2876</v>
      </c>
      <c r="B2877" s="6" t="str">
        <f aca="false">HYPERLINK("https://mncourtfraud.com/file/MCRO_27-CR-22-22850_Notice of Remote Hearing with Instructions_2023-02-28_20240429163258.pdf","MCRO_27-CR-22-22850_Notice of Remote Hearing with Instructions_2023-02-28_20240429163258.pdf")</f>
        <v>MCRO_27-CR-22-22850_Notice of Remote Hearing with Instructions_2023-02-28_20240429163258.pdf</v>
      </c>
      <c r="C2877" s="1" t="n">
        <v>4</v>
      </c>
      <c r="D2877" s="1" t="n">
        <v>1</v>
      </c>
      <c r="E2877" s="1" t="n">
        <v>1</v>
      </c>
      <c r="F2877" s="3" t="s">
        <v>20</v>
      </c>
      <c r="G2877" s="3" t="s">
        <v>11620</v>
      </c>
      <c r="H2877" s="1" t="s">
        <v>22</v>
      </c>
      <c r="I2877" s="1" t="n">
        <v>20240429163258</v>
      </c>
      <c r="J2877" s="3" t="s">
        <v>11621</v>
      </c>
      <c r="K2877" s="3" t="s">
        <v>11622</v>
      </c>
      <c r="L2877" s="3" t="s">
        <v>11623</v>
      </c>
      <c r="M2877" s="3" t="n">
        <v>132547</v>
      </c>
      <c r="N2877" s="3" t="s">
        <v>1159</v>
      </c>
      <c r="O2877" s="1" t="n">
        <v>116161</v>
      </c>
      <c r="P2877" s="1" t="n">
        <v>87.64</v>
      </c>
      <c r="Q2877" s="1" t="s">
        <v>20</v>
      </c>
      <c r="R2877" s="1" t="s">
        <v>27</v>
      </c>
      <c r="S2877" s="1" t="s">
        <v>28</v>
      </c>
      <c r="T2877" s="1" t="s">
        <v>29</v>
      </c>
    </row>
    <row r="2878" customFormat="false" ht="18.7" hidden="false" customHeight="true" outlineLevel="0" collapsed="false">
      <c r="A2878" s="1" t="n">
        <v>2877</v>
      </c>
      <c r="B2878" s="6" t="str">
        <f aca="false">HYPERLINK("https://mncourtfraud.com/file/MCRO_27-CR-22-22850_Notice of Remote Hearing with Instructions_2023-05-31_20240429163256.pdf","MCRO_27-CR-22-22850_Notice of Remote Hearing with Instructions_2023-05-31_20240429163256.pdf")</f>
        <v>MCRO_27-CR-22-22850_Notice of Remote Hearing with Instructions_2023-05-31_20240429163256.pdf</v>
      </c>
      <c r="C2878" s="1" t="n">
        <v>5</v>
      </c>
      <c r="D2878" s="1" t="n">
        <v>1</v>
      </c>
      <c r="E2878" s="1" t="n">
        <v>1</v>
      </c>
      <c r="F2878" s="3" t="s">
        <v>20</v>
      </c>
      <c r="G2878" s="3" t="s">
        <v>11624</v>
      </c>
      <c r="H2878" s="1" t="s">
        <v>22</v>
      </c>
      <c r="I2878" s="1" t="n">
        <v>20240429163256</v>
      </c>
      <c r="J2878" s="3" t="s">
        <v>11625</v>
      </c>
      <c r="K2878" s="3" t="s">
        <v>11626</v>
      </c>
      <c r="L2878" s="3" t="s">
        <v>11627</v>
      </c>
      <c r="M2878" s="3" t="n">
        <v>842802</v>
      </c>
      <c r="N2878" s="3" t="s">
        <v>11628</v>
      </c>
      <c r="O2878" s="1" t="n">
        <v>826416</v>
      </c>
      <c r="P2878" s="1" t="n">
        <v>98.06</v>
      </c>
      <c r="Q2878" s="1" t="s">
        <v>20</v>
      </c>
      <c r="R2878" s="1" t="s">
        <v>27</v>
      </c>
      <c r="S2878" s="1" t="s">
        <v>28</v>
      </c>
      <c r="T2878" s="1" t="s">
        <v>29</v>
      </c>
    </row>
    <row r="2879" customFormat="false" ht="18.7" hidden="false" customHeight="true" outlineLevel="0" collapsed="false">
      <c r="A2879" s="1" t="n">
        <v>2878</v>
      </c>
      <c r="B2879" s="6" t="str">
        <f aca="false">HYPERLINK("https://mncourtfraud.com/file/MCRO_27-CR-22-22850_Order-Evaluation for Competency to Proceed (Rule 20.01)_2023-02-28_20240429163259.pdf","MCRO_27-CR-22-22850_Order-Evaluation for Competency to Proceed (Rule 20.01)_2023-02-28_20240429163259.pdf")</f>
        <v>MCRO_27-CR-22-22850_Order-Evaluation for Competency to Proceed (Rule 20.01)_2023-02-28_20240429163259.pdf</v>
      </c>
      <c r="C2879" s="1" t="n">
        <v>4</v>
      </c>
      <c r="D2879" s="1" t="n">
        <v>1</v>
      </c>
      <c r="E2879" s="1" t="n">
        <v>1</v>
      </c>
      <c r="F2879" s="3" t="s">
        <v>20</v>
      </c>
      <c r="G2879" s="3" t="s">
        <v>11629</v>
      </c>
      <c r="H2879" s="1" t="s">
        <v>22</v>
      </c>
      <c r="I2879" s="1" t="n">
        <v>20240429163259</v>
      </c>
      <c r="J2879" s="3" t="s">
        <v>11630</v>
      </c>
      <c r="K2879" s="3" t="s">
        <v>11631</v>
      </c>
      <c r="L2879" s="3" t="s">
        <v>11632</v>
      </c>
      <c r="M2879" s="3" t="n">
        <v>137914</v>
      </c>
      <c r="N2879" s="3" t="s">
        <v>1159</v>
      </c>
      <c r="O2879" s="1" t="n">
        <v>121528</v>
      </c>
      <c r="P2879" s="1" t="n">
        <v>88.12</v>
      </c>
      <c r="Q2879" s="1" t="s">
        <v>20</v>
      </c>
      <c r="R2879" s="1" t="s">
        <v>27</v>
      </c>
      <c r="S2879" s="1" t="s">
        <v>28</v>
      </c>
      <c r="T2879" s="1" t="s">
        <v>29</v>
      </c>
    </row>
    <row r="2880" customFormat="false" ht="18.7" hidden="false" customHeight="true" outlineLevel="0" collapsed="false">
      <c r="A2880" s="1" t="n">
        <v>2879</v>
      </c>
      <c r="B2880" s="6" t="str">
        <f aca="false">HYPERLINK("https://mncourtfraud.com/file/MCRO_27-CR-22-22850_Order-Evaluation for Competency to Proceed (Rule 20.01)_2023-06-20_20240429163254.pdf","MCRO_27-CR-22-22850_Order-Evaluation for Competency to Proceed (Rule 20.01)_2023-06-20_20240429163254.pdf")</f>
        <v>MCRO_27-CR-22-22850_Order-Evaluation for Competency to Proceed (Rule 20.01)_2023-06-20_20240429163254.pdf</v>
      </c>
      <c r="C2880" s="1" t="n">
        <v>4</v>
      </c>
      <c r="D2880" s="1" t="n">
        <v>1</v>
      </c>
      <c r="E2880" s="1" t="n">
        <v>1</v>
      </c>
      <c r="F2880" s="3" t="s">
        <v>20</v>
      </c>
      <c r="G2880" s="3" t="s">
        <v>11633</v>
      </c>
      <c r="H2880" s="1" t="s">
        <v>22</v>
      </c>
      <c r="I2880" s="1" t="n">
        <v>20240429163254</v>
      </c>
      <c r="J2880" s="3" t="s">
        <v>11634</v>
      </c>
      <c r="K2880" s="3" t="s">
        <v>11635</v>
      </c>
      <c r="L2880" s="3" t="s">
        <v>11636</v>
      </c>
      <c r="M2880" s="3" t="n">
        <v>137387</v>
      </c>
      <c r="N2880" s="3" t="s">
        <v>1159</v>
      </c>
      <c r="O2880" s="1" t="n">
        <v>121001</v>
      </c>
      <c r="P2880" s="1" t="n">
        <v>88.07</v>
      </c>
      <c r="Q2880" s="1" t="s">
        <v>20</v>
      </c>
      <c r="R2880" s="1" t="s">
        <v>27</v>
      </c>
      <c r="S2880" s="1" t="s">
        <v>28</v>
      </c>
      <c r="T2880" s="1" t="s">
        <v>29</v>
      </c>
    </row>
    <row r="2881" customFormat="false" ht="18.7" hidden="false" customHeight="true" outlineLevel="0" collapsed="false">
      <c r="A2881" s="1" t="n">
        <v>2880</v>
      </c>
      <c r="B2881" s="6" t="str">
        <f aca="false">HYPERLINK("https://mncourtfraud.com/file/MCRO_27-CR-22-22850_Order-Other_2023-07-20_20240429163253.pdf","MCRO_27-CR-22-22850_Order-Other_2023-07-20_20240429163253.pdf")</f>
        <v>MCRO_27-CR-22-22850_Order-Other_2023-07-20_20240429163253.pdf</v>
      </c>
      <c r="C2881" s="1" t="n">
        <v>4</v>
      </c>
      <c r="D2881" s="1" t="n">
        <v>1</v>
      </c>
      <c r="E2881" s="1" t="n">
        <v>1</v>
      </c>
      <c r="F2881" s="3" t="s">
        <v>20</v>
      </c>
      <c r="G2881" s="3" t="s">
        <v>11637</v>
      </c>
      <c r="H2881" s="1" t="s">
        <v>22</v>
      </c>
      <c r="I2881" s="1" t="n">
        <v>20240429163253</v>
      </c>
      <c r="J2881" s="3" t="s">
        <v>11638</v>
      </c>
      <c r="K2881" s="3" t="s">
        <v>11639</v>
      </c>
      <c r="L2881" s="3" t="s">
        <v>11640</v>
      </c>
      <c r="M2881" s="3" t="n">
        <v>168211</v>
      </c>
      <c r="N2881" s="3" t="s">
        <v>1159</v>
      </c>
      <c r="O2881" s="1" t="n">
        <v>151825</v>
      </c>
      <c r="P2881" s="1" t="n">
        <v>90.26</v>
      </c>
      <c r="Q2881" s="1" t="s">
        <v>20</v>
      </c>
      <c r="R2881" s="1" t="s">
        <v>27</v>
      </c>
      <c r="S2881" s="1" t="s">
        <v>28</v>
      </c>
      <c r="T2881" s="1" t="s">
        <v>29</v>
      </c>
    </row>
    <row r="2882" customFormat="false" ht="18.7" hidden="false" customHeight="true" outlineLevel="0" collapsed="false">
      <c r="A2882" s="1" t="n">
        <v>2881</v>
      </c>
      <c r="B2882" s="6" t="str">
        <f aca="false">HYPERLINK("https://mncourtfraud.com/file/MCRO_27-CR-22-22850_Returned Mail_2023-06-16_20240429163255.pdf","MCRO_27-CR-22-22850_Returned Mail_2023-06-16_20240429163255.pdf")</f>
        <v>MCRO_27-CR-22-22850_Returned Mail_2023-06-16_20240429163255.pdf</v>
      </c>
      <c r="C2882" s="1" t="n">
        <v>4</v>
      </c>
      <c r="D2882" s="1" t="n">
        <v>1</v>
      </c>
      <c r="E2882" s="1" t="n">
        <v>1</v>
      </c>
      <c r="F2882" s="3" t="s">
        <v>20</v>
      </c>
      <c r="G2882" s="3" t="s">
        <v>11641</v>
      </c>
      <c r="H2882" s="1" t="s">
        <v>22</v>
      </c>
      <c r="I2882" s="1" t="n">
        <v>20240429163255</v>
      </c>
      <c r="J2882" s="3" t="s">
        <v>11642</v>
      </c>
      <c r="K2882" s="3" t="s">
        <v>11643</v>
      </c>
      <c r="L2882" s="3" t="s">
        <v>11644</v>
      </c>
      <c r="M2882" s="3" t="n">
        <v>461871</v>
      </c>
      <c r="N2882" s="3" t="s">
        <v>158</v>
      </c>
      <c r="O2882" s="1" t="n">
        <v>445485</v>
      </c>
      <c r="P2882" s="1" t="n">
        <v>96.45</v>
      </c>
      <c r="Q2882" s="1" t="s">
        <v>20</v>
      </c>
      <c r="R2882" s="1" t="s">
        <v>27</v>
      </c>
      <c r="S2882" s="1" t="s">
        <v>28</v>
      </c>
      <c r="T2882" s="1" t="s">
        <v>29</v>
      </c>
    </row>
    <row r="2883" customFormat="false" ht="18.7" hidden="false" customHeight="true" outlineLevel="0" collapsed="false">
      <c r="A2883" s="1" t="n">
        <v>2882</v>
      </c>
      <c r="B2883" s="6" t="str">
        <f aca="false">HYPERLINK("https://mncourtfraud.com/file/MCRO_27-CR-22-22850_Summons_2022-11-16_20240429163301.pdf","MCRO_27-CR-22-22850_Summons_2022-11-16_20240429163301.pdf")</f>
        <v>MCRO_27-CR-22-22850_Summons_2022-11-16_20240429163301.pdf</v>
      </c>
      <c r="C2883" s="1" t="n">
        <v>5</v>
      </c>
      <c r="D2883" s="1" t="n">
        <v>1</v>
      </c>
      <c r="E2883" s="1" t="n">
        <v>1</v>
      </c>
      <c r="F2883" s="3" t="s">
        <v>20</v>
      </c>
      <c r="G2883" s="3" t="s">
        <v>11645</v>
      </c>
      <c r="H2883" s="1" t="s">
        <v>22</v>
      </c>
      <c r="I2883" s="1" t="n">
        <v>20240429163301</v>
      </c>
      <c r="J2883" s="3" t="s">
        <v>11646</v>
      </c>
      <c r="K2883" s="3" t="s">
        <v>11647</v>
      </c>
      <c r="L2883" s="3" t="s">
        <v>11648</v>
      </c>
      <c r="M2883" s="3" t="n">
        <v>701195</v>
      </c>
      <c r="N2883" s="3" t="s">
        <v>2723</v>
      </c>
      <c r="O2883" s="1" t="n">
        <v>684809</v>
      </c>
      <c r="P2883" s="1" t="n">
        <v>97.66</v>
      </c>
      <c r="Q2883" s="1" t="s">
        <v>20</v>
      </c>
      <c r="R2883" s="1" t="s">
        <v>27</v>
      </c>
      <c r="S2883" s="1" t="s">
        <v>28</v>
      </c>
      <c r="T2883" s="1" t="s">
        <v>29</v>
      </c>
    </row>
    <row r="2884" customFormat="false" ht="18.7" hidden="false" customHeight="true" outlineLevel="0" collapsed="false">
      <c r="A2884" s="1" t="n">
        <v>2883</v>
      </c>
      <c r="B2884" s="6" t="str">
        <f aca="false">HYPERLINK("https://mncourtfraud.com/file/MCRO_27-CR-22-22963_Demand or Request for Discovery_2023-04-04_20240429163940.pdf","MCRO_27-CR-22-22963_Demand or Request for Discovery_2023-04-04_20240429163940.pdf")</f>
        <v>MCRO_27-CR-22-22963_Demand or Request for Discovery_2023-04-04_20240429163940.pdf</v>
      </c>
      <c r="C2884" s="1" t="n">
        <v>3</v>
      </c>
      <c r="D2884" s="1" t="n">
        <v>1</v>
      </c>
      <c r="E2884" s="1" t="n">
        <v>1</v>
      </c>
      <c r="F2884" s="3" t="s">
        <v>20</v>
      </c>
      <c r="G2884" s="3" t="s">
        <v>11649</v>
      </c>
      <c r="H2884" s="1" t="s">
        <v>22</v>
      </c>
      <c r="I2884" s="1" t="n">
        <v>20240429163940</v>
      </c>
      <c r="J2884" s="3" t="s">
        <v>11650</v>
      </c>
      <c r="K2884" s="3" t="s">
        <v>11651</v>
      </c>
      <c r="L2884" s="3" t="s">
        <v>11652</v>
      </c>
      <c r="M2884" s="3" t="n">
        <v>540309</v>
      </c>
      <c r="N2884" s="3" t="s">
        <v>2541</v>
      </c>
      <c r="O2884" s="1" t="n">
        <v>523923</v>
      </c>
      <c r="P2884" s="1" t="n">
        <v>96.97</v>
      </c>
      <c r="Q2884" s="1" t="s">
        <v>20</v>
      </c>
      <c r="R2884" s="1" t="s">
        <v>27</v>
      </c>
      <c r="S2884" s="1" t="s">
        <v>28</v>
      </c>
      <c r="T2884" s="1" t="s">
        <v>29</v>
      </c>
    </row>
    <row r="2885" customFormat="false" ht="18.7" hidden="false" customHeight="true" outlineLevel="0" collapsed="false">
      <c r="A2885" s="1" t="n">
        <v>2884</v>
      </c>
      <c r="B2885" s="6" t="str">
        <f aca="false">HYPERLINK("https://mncourtfraud.com/file/MCRO_27-CR-22-22963_E-filed Comp-Summons_2022-11-17_20240429163949.pdf","MCRO_27-CR-22-22963_E-filed Comp-Summons_2022-11-17_20240429163949.pdf")</f>
        <v>MCRO_27-CR-22-22963_E-filed Comp-Summons_2022-11-17_20240429163949.pdf</v>
      </c>
      <c r="C2885" s="1" t="n">
        <v>5</v>
      </c>
      <c r="D2885" s="1" t="n">
        <v>2</v>
      </c>
      <c r="E2885" s="1" t="n">
        <v>2</v>
      </c>
      <c r="F2885" s="3" t="s">
        <v>20</v>
      </c>
      <c r="G2885" s="3" t="s">
        <v>11653</v>
      </c>
      <c r="H2885" s="1" t="s">
        <v>22</v>
      </c>
      <c r="I2885" s="1" t="n">
        <v>20240429163949</v>
      </c>
      <c r="J2885" s="3" t="s">
        <v>11654</v>
      </c>
      <c r="K2885" s="3" t="s">
        <v>11655</v>
      </c>
      <c r="L2885" s="3" t="s">
        <v>11656</v>
      </c>
      <c r="M2885" s="3" t="n">
        <v>443905</v>
      </c>
      <c r="N2885" s="3" t="s">
        <v>10721</v>
      </c>
      <c r="O2885" s="1" t="n">
        <v>427519</v>
      </c>
      <c r="P2885" s="1" t="n">
        <v>96.31</v>
      </c>
      <c r="Q2885" s="1" t="s">
        <v>20</v>
      </c>
      <c r="R2885" s="1" t="s">
        <v>27</v>
      </c>
      <c r="S2885" s="1" t="s">
        <v>28</v>
      </c>
      <c r="T2885" s="1" t="s">
        <v>29</v>
      </c>
    </row>
    <row r="2886" customFormat="false" ht="18.7" hidden="false" customHeight="true" outlineLevel="0" collapsed="false">
      <c r="A2886" s="1" t="n">
        <v>2885</v>
      </c>
      <c r="B2886" s="6" t="str">
        <f aca="false">HYPERLINK("https://mncourtfraud.com/file/MCRO_27-CR-22-22963_Finding of Incompetency and Order_2023-06-01_20240429163939.pdf","MCRO_27-CR-22-22963_Finding of Incompetency and Order_2023-06-01_20240429163939.pdf")</f>
        <v>MCRO_27-CR-22-22963_Finding of Incompetency and Order_2023-06-01_20240429163939.pdf</v>
      </c>
      <c r="C2886" s="1" t="n">
        <v>9</v>
      </c>
      <c r="D2886" s="1" t="n">
        <v>3</v>
      </c>
      <c r="E2886" s="1" t="n">
        <v>3</v>
      </c>
      <c r="F2886" s="3" t="s">
        <v>27</v>
      </c>
      <c r="G2886" s="3" t="s">
        <v>11657</v>
      </c>
      <c r="H2886" s="1" t="s">
        <v>22</v>
      </c>
      <c r="I2886" s="1" t="n">
        <v>20240429163939</v>
      </c>
      <c r="J2886" s="3" t="s">
        <v>11658</v>
      </c>
      <c r="K2886" s="3" t="s">
        <v>11659</v>
      </c>
      <c r="L2886" s="3" t="s">
        <v>11660</v>
      </c>
      <c r="M2886" s="3" t="n">
        <v>957987</v>
      </c>
      <c r="N2886" s="3" t="s">
        <v>7046</v>
      </c>
      <c r="O2886" s="1" t="n">
        <v>941601</v>
      </c>
      <c r="P2886" s="1" t="n">
        <v>98.29</v>
      </c>
      <c r="Q2886" s="1" t="s">
        <v>20</v>
      </c>
      <c r="R2886" s="1" t="s">
        <v>27</v>
      </c>
      <c r="S2886" s="1" t="s">
        <v>28</v>
      </c>
      <c r="T2886" s="1" t="s">
        <v>29</v>
      </c>
    </row>
    <row r="2887" customFormat="false" ht="18.7" hidden="false" customHeight="true" outlineLevel="0" collapsed="false">
      <c r="A2887" s="1" t="n">
        <v>2886</v>
      </c>
      <c r="B2887" s="6" t="str">
        <f aca="false">HYPERLINK("https://mncourtfraud.com/file/MCRO_27-CR-22-22963_Notice of Hearing_2023-01-05_20240429163946.pdf","MCRO_27-CR-22-22963_Notice of Hearing_2023-01-05_20240429163946.pdf")</f>
        <v>MCRO_27-CR-22-22963_Notice of Hearing_2023-01-05_20240429163946.pdf</v>
      </c>
      <c r="C2887" s="1" t="n">
        <v>4</v>
      </c>
      <c r="D2887" s="1" t="n">
        <v>1</v>
      </c>
      <c r="E2887" s="1" t="n">
        <v>1</v>
      </c>
      <c r="F2887" s="3" t="s">
        <v>20</v>
      </c>
      <c r="G2887" s="3" t="s">
        <v>11661</v>
      </c>
      <c r="H2887" s="1" t="s">
        <v>22</v>
      </c>
      <c r="I2887" s="1" t="n">
        <v>20240429163946</v>
      </c>
      <c r="J2887" s="3" t="s">
        <v>11662</v>
      </c>
      <c r="K2887" s="3" t="s">
        <v>11663</v>
      </c>
      <c r="L2887" s="3" t="s">
        <v>11664</v>
      </c>
      <c r="M2887" s="3" t="n">
        <v>451812</v>
      </c>
      <c r="N2887" s="3" t="s">
        <v>158</v>
      </c>
      <c r="O2887" s="1" t="n">
        <v>435426</v>
      </c>
      <c r="P2887" s="1" t="n">
        <v>96.37</v>
      </c>
      <c r="Q2887" s="1" t="s">
        <v>20</v>
      </c>
      <c r="R2887" s="1" t="s">
        <v>27</v>
      </c>
      <c r="S2887" s="1" t="s">
        <v>28</v>
      </c>
      <c r="T2887" s="1" t="s">
        <v>29</v>
      </c>
    </row>
    <row r="2888" customFormat="false" ht="18.7" hidden="false" customHeight="true" outlineLevel="0" collapsed="false">
      <c r="A2888" s="1" t="n">
        <v>2887</v>
      </c>
      <c r="B2888" s="6" t="str">
        <f aca="false">HYPERLINK("https://mncourtfraud.com/file/MCRO_27-CR-22-22963_Notice of Hearing_2023-03-15_20240429163944.pdf","MCRO_27-CR-22-22963_Notice of Hearing_2023-03-15_20240429163944.pdf")</f>
        <v>MCRO_27-CR-22-22963_Notice of Hearing_2023-03-15_20240429163944.pdf</v>
      </c>
      <c r="C2888" s="1" t="n">
        <v>4</v>
      </c>
      <c r="D2888" s="1" t="n">
        <v>1</v>
      </c>
      <c r="E2888" s="1" t="n">
        <v>1</v>
      </c>
      <c r="F2888" s="3" t="s">
        <v>20</v>
      </c>
      <c r="G2888" s="3" t="s">
        <v>11665</v>
      </c>
      <c r="H2888" s="1" t="s">
        <v>22</v>
      </c>
      <c r="I2888" s="1" t="n">
        <v>20240429163944</v>
      </c>
      <c r="J2888" s="3" t="s">
        <v>11666</v>
      </c>
      <c r="K2888" s="3" t="s">
        <v>11667</v>
      </c>
      <c r="L2888" s="3" t="s">
        <v>11668</v>
      </c>
      <c r="M2888" s="3" t="n">
        <v>531451</v>
      </c>
      <c r="N2888" s="3" t="s">
        <v>1128</v>
      </c>
      <c r="O2888" s="1" t="n">
        <v>515065</v>
      </c>
      <c r="P2888" s="1" t="n">
        <v>96.92</v>
      </c>
      <c r="Q2888" s="1" t="s">
        <v>20</v>
      </c>
      <c r="R2888" s="1" t="s">
        <v>27</v>
      </c>
      <c r="S2888" s="1" t="s">
        <v>28</v>
      </c>
      <c r="T2888" s="1" t="s">
        <v>29</v>
      </c>
    </row>
    <row r="2889" customFormat="false" ht="18.7" hidden="false" customHeight="true" outlineLevel="0" collapsed="false">
      <c r="A2889" s="1" t="n">
        <v>2888</v>
      </c>
      <c r="B2889" s="6" t="str">
        <f aca="false">HYPERLINK("https://mncourtfraud.com/file/MCRO_27-CR-22-22963_Notice of Hearing_2024-01-26_20240429163933.pdf","MCRO_27-CR-22-22963_Notice of Hearing_2024-01-26_20240429163933.pdf")</f>
        <v>MCRO_27-CR-22-22963_Notice of Hearing_2024-01-26_20240429163933.pdf</v>
      </c>
      <c r="C2889" s="1" t="n">
        <v>4</v>
      </c>
      <c r="D2889" s="1" t="n">
        <v>1</v>
      </c>
      <c r="E2889" s="1" t="n">
        <v>1</v>
      </c>
      <c r="F2889" s="3" t="s">
        <v>20</v>
      </c>
      <c r="G2889" s="3" t="s">
        <v>11669</v>
      </c>
      <c r="H2889" s="1" t="s">
        <v>22</v>
      </c>
      <c r="I2889" s="1" t="n">
        <v>20240429163933</v>
      </c>
      <c r="J2889" s="3" t="s">
        <v>11670</v>
      </c>
      <c r="K2889" s="3" t="s">
        <v>11671</v>
      </c>
      <c r="L2889" s="3" t="s">
        <v>11672</v>
      </c>
      <c r="M2889" s="3" t="n">
        <v>714352</v>
      </c>
      <c r="N2889" s="3" t="s">
        <v>727</v>
      </c>
      <c r="O2889" s="1" t="n">
        <v>697966</v>
      </c>
      <c r="P2889" s="1" t="n">
        <v>97.71</v>
      </c>
      <c r="Q2889" s="1" t="s">
        <v>20</v>
      </c>
      <c r="R2889" s="1" t="s">
        <v>27</v>
      </c>
      <c r="S2889" s="1" t="s">
        <v>28</v>
      </c>
      <c r="T2889" s="1" t="s">
        <v>29</v>
      </c>
    </row>
    <row r="2890" customFormat="false" ht="18.7" hidden="false" customHeight="true" outlineLevel="0" collapsed="false">
      <c r="A2890" s="1" t="n">
        <v>2889</v>
      </c>
      <c r="B2890" s="6" t="str">
        <f aca="false">HYPERLINK("https://mncourtfraud.com/file/MCRO_27-CR-22-22963_Notice of Hearing_2024-03-19_20240429163934.pdf","MCRO_27-CR-22-22963_Notice of Hearing_2024-03-19_20240429163934.pdf")</f>
        <v>MCRO_27-CR-22-22963_Notice of Hearing_2024-03-19_20240429163934.pdf</v>
      </c>
      <c r="C2890" s="1" t="n">
        <v>5</v>
      </c>
      <c r="D2890" s="1" t="n">
        <v>1</v>
      </c>
      <c r="E2890" s="1" t="n">
        <v>1</v>
      </c>
      <c r="F2890" s="3" t="s">
        <v>20</v>
      </c>
      <c r="G2890" s="3" t="s">
        <v>11673</v>
      </c>
      <c r="H2890" s="1" t="s">
        <v>22</v>
      </c>
      <c r="I2890" s="1" t="n">
        <v>20240429163934</v>
      </c>
      <c r="J2890" s="3" t="s">
        <v>11674</v>
      </c>
      <c r="K2890" s="3" t="s">
        <v>11675</v>
      </c>
      <c r="L2890" s="3" t="s">
        <v>11676</v>
      </c>
      <c r="M2890" s="3" t="n">
        <v>729078</v>
      </c>
      <c r="N2890" s="3" t="s">
        <v>1278</v>
      </c>
      <c r="O2890" s="1" t="n">
        <v>712692</v>
      </c>
      <c r="P2890" s="1" t="n">
        <v>97.75</v>
      </c>
      <c r="Q2890" s="1" t="s">
        <v>20</v>
      </c>
      <c r="R2890" s="1" t="s">
        <v>27</v>
      </c>
      <c r="S2890" s="1" t="s">
        <v>28</v>
      </c>
      <c r="T2890" s="1" t="s">
        <v>29</v>
      </c>
    </row>
    <row r="2891" customFormat="false" ht="18.7" hidden="false" customHeight="true" outlineLevel="0" collapsed="false">
      <c r="A2891" s="1" t="n">
        <v>2890</v>
      </c>
      <c r="B2891" s="6" t="str">
        <f aca="false">HYPERLINK("https://mncourtfraud.com/file/MCRO_27-CR-22-22963_Notice of Remote Hearing with Instructions_2023-11-28_20240429163937.pdf","MCRO_27-CR-22-22963_Notice of Remote Hearing with Instructions_2023-11-28_20240429163937.pdf")</f>
        <v>MCRO_27-CR-22-22963_Notice of Remote Hearing with Instructions_2023-11-28_20240429163937.pdf</v>
      </c>
      <c r="C2891" s="1" t="n">
        <v>4</v>
      </c>
      <c r="D2891" s="1" t="n">
        <v>1</v>
      </c>
      <c r="E2891" s="1" t="n">
        <v>1</v>
      </c>
      <c r="F2891" s="3" t="s">
        <v>20</v>
      </c>
      <c r="G2891" s="3" t="s">
        <v>11677</v>
      </c>
      <c r="H2891" s="1" t="s">
        <v>22</v>
      </c>
      <c r="I2891" s="1" t="n">
        <v>20240429163937</v>
      </c>
      <c r="J2891" s="3" t="s">
        <v>11678</v>
      </c>
      <c r="K2891" s="3" t="s">
        <v>11679</v>
      </c>
      <c r="L2891" s="3" t="s">
        <v>7236</v>
      </c>
      <c r="M2891" s="3" t="n">
        <v>269241</v>
      </c>
      <c r="N2891" s="3" t="s">
        <v>74</v>
      </c>
      <c r="O2891" s="1" t="n">
        <v>252855</v>
      </c>
      <c r="P2891" s="1" t="n">
        <v>93.91</v>
      </c>
      <c r="Q2891" s="1" t="s">
        <v>20</v>
      </c>
      <c r="R2891" s="1" t="s">
        <v>27</v>
      </c>
      <c r="S2891" s="1" t="s">
        <v>28</v>
      </c>
      <c r="T2891" s="1" t="s">
        <v>29</v>
      </c>
    </row>
    <row r="2892" customFormat="false" ht="18.7" hidden="false" customHeight="true" outlineLevel="0" collapsed="false">
      <c r="A2892" s="1" t="n">
        <v>2891</v>
      </c>
      <c r="B2892" s="6" t="str">
        <f aca="false">HYPERLINK("https://mncourtfraud.com/file/MCRO_27-CR-22-22963_Notice of Remote Hearing with Instructions_2023-12-05_20240429163936.pdf","MCRO_27-CR-22-22963_Notice of Remote Hearing with Instructions_2023-12-05_20240429163936.pdf")</f>
        <v>MCRO_27-CR-22-22963_Notice of Remote Hearing with Instructions_2023-12-05_20240429163936.pdf</v>
      </c>
      <c r="C2892" s="1" t="n">
        <v>5</v>
      </c>
      <c r="D2892" s="1" t="n">
        <v>1</v>
      </c>
      <c r="E2892" s="1" t="n">
        <v>1</v>
      </c>
      <c r="F2892" s="3" t="s">
        <v>20</v>
      </c>
      <c r="G2892" s="3" t="s">
        <v>11680</v>
      </c>
      <c r="H2892" s="1" t="s">
        <v>22</v>
      </c>
      <c r="I2892" s="1" t="n">
        <v>20240429163936</v>
      </c>
      <c r="J2892" s="3" t="s">
        <v>11678</v>
      </c>
      <c r="K2892" s="3" t="s">
        <v>11679</v>
      </c>
      <c r="L2892" s="3" t="s">
        <v>7522</v>
      </c>
      <c r="M2892" s="3" t="n">
        <v>843399</v>
      </c>
      <c r="N2892" s="3" t="s">
        <v>3164</v>
      </c>
      <c r="O2892" s="1" t="n">
        <v>827013</v>
      </c>
      <c r="P2892" s="1" t="n">
        <v>98.06</v>
      </c>
      <c r="Q2892" s="1" t="s">
        <v>20</v>
      </c>
      <c r="R2892" s="1" t="s">
        <v>27</v>
      </c>
      <c r="S2892" s="1" t="s">
        <v>28</v>
      </c>
      <c r="T2892" s="1" t="s">
        <v>29</v>
      </c>
    </row>
    <row r="2893" customFormat="false" ht="18.7" hidden="false" customHeight="true" outlineLevel="0" collapsed="false">
      <c r="A2893" s="1" t="n">
        <v>2892</v>
      </c>
      <c r="B2893" s="6" t="str">
        <f aca="false">HYPERLINK("https://mncourtfraud.com/file/MCRO_27-CR-22-22963_Order-Evaluation for Competency to Proceed (Rule 20.01)_2023-04-03_20240429163941.pdf","MCRO_27-CR-22-22963_Order-Evaluation for Competency to Proceed (Rule 20.01)_2023-04-03_20240429163941.pdf")</f>
        <v>MCRO_27-CR-22-22963_Order-Evaluation for Competency to Proceed (Rule 20.01)_2023-04-03_20240429163941.pdf</v>
      </c>
      <c r="C2893" s="1" t="n">
        <v>4</v>
      </c>
      <c r="D2893" s="1" t="n">
        <v>1</v>
      </c>
      <c r="E2893" s="1" t="n">
        <v>1</v>
      </c>
      <c r="F2893" s="3" t="s">
        <v>20</v>
      </c>
      <c r="G2893" s="3" t="s">
        <v>11681</v>
      </c>
      <c r="H2893" s="1" t="s">
        <v>22</v>
      </c>
      <c r="I2893" s="1" t="n">
        <v>20240429163941</v>
      </c>
      <c r="J2893" s="3" t="s">
        <v>11682</v>
      </c>
      <c r="K2893" s="3" t="s">
        <v>11683</v>
      </c>
      <c r="L2893" s="3" t="s">
        <v>11684</v>
      </c>
      <c r="M2893" s="3" t="n">
        <v>1081007</v>
      </c>
      <c r="N2893" s="3" t="s">
        <v>1128</v>
      </c>
      <c r="O2893" s="1" t="n">
        <v>1064621</v>
      </c>
      <c r="P2893" s="1" t="n">
        <v>98.48</v>
      </c>
      <c r="Q2893" s="1" t="s">
        <v>20</v>
      </c>
      <c r="R2893" s="1" t="s">
        <v>27</v>
      </c>
      <c r="S2893" s="1" t="s">
        <v>28</v>
      </c>
      <c r="T2893" s="1" t="s">
        <v>29</v>
      </c>
    </row>
    <row r="2894" customFormat="false" ht="18.7" hidden="false" customHeight="true" outlineLevel="0" collapsed="false">
      <c r="A2894" s="1" t="n">
        <v>2893</v>
      </c>
      <c r="B2894" s="6" t="str">
        <f aca="false">HYPERLINK("https://mncourtfraud.com/file/MCRO_27-CR-22-22963_Order-Evaluation for Competency to Proceed (Rule 20.01)_2023-09-18_20240429163938.pdf","MCRO_27-CR-22-22963_Order-Evaluation for Competency to Proceed (Rule 20.01)_2023-09-18_20240429163938.pdf")</f>
        <v>MCRO_27-CR-22-22963_Order-Evaluation for Competency to Proceed (Rule 20.01)_2023-09-18_20240429163938.pdf</v>
      </c>
      <c r="C2894" s="1" t="n">
        <v>6</v>
      </c>
      <c r="D2894" s="1" t="n">
        <v>2</v>
      </c>
      <c r="E2894" s="1" t="n">
        <v>2</v>
      </c>
      <c r="F2894" s="3" t="s">
        <v>27</v>
      </c>
      <c r="G2894" s="3" t="s">
        <v>11685</v>
      </c>
      <c r="H2894" s="1" t="s">
        <v>22</v>
      </c>
      <c r="I2894" s="1" t="n">
        <v>20240429163938</v>
      </c>
      <c r="J2894" s="3" t="s">
        <v>11686</v>
      </c>
      <c r="K2894" s="3" t="s">
        <v>11687</v>
      </c>
      <c r="L2894" s="3" t="s">
        <v>11688</v>
      </c>
      <c r="M2894" s="3" t="n">
        <v>868847</v>
      </c>
      <c r="N2894" s="3" t="s">
        <v>554</v>
      </c>
      <c r="O2894" s="1" t="n">
        <v>852461</v>
      </c>
      <c r="P2894" s="1" t="n">
        <v>98.11</v>
      </c>
      <c r="Q2894" s="1" t="s">
        <v>20</v>
      </c>
      <c r="R2894" s="1" t="s">
        <v>27</v>
      </c>
      <c r="S2894" s="1" t="s">
        <v>28</v>
      </c>
      <c r="T2894" s="1" t="s">
        <v>29</v>
      </c>
    </row>
    <row r="2895" customFormat="false" ht="18.7" hidden="false" customHeight="true" outlineLevel="0" collapsed="false">
      <c r="A2895" s="1" t="n">
        <v>2894</v>
      </c>
      <c r="B2895" s="6" t="str">
        <f aca="false">HYPERLINK("https://mncourtfraud.com/file/MCRO_27-CR-22-22963_Order-Evaluation for Competency to Proceed (Rule 20.01)_2024-01-26_20240429163935.pdf","MCRO_27-CR-22-22963_Order-Evaluation for Competency to Proceed (Rule 20.01)_2024-01-26_20240429163935.pdf")</f>
        <v>MCRO_27-CR-22-22963_Order-Evaluation for Competency to Proceed (Rule 20.01)_2024-01-26_20240429163935.pdf</v>
      </c>
      <c r="C2895" s="1" t="n">
        <v>6</v>
      </c>
      <c r="D2895" s="1" t="n">
        <v>2</v>
      </c>
      <c r="E2895" s="1" t="n">
        <v>2</v>
      </c>
      <c r="F2895" s="3" t="s">
        <v>20</v>
      </c>
      <c r="G2895" s="3" t="s">
        <v>11689</v>
      </c>
      <c r="H2895" s="1" t="s">
        <v>22</v>
      </c>
      <c r="I2895" s="1" t="n">
        <v>20240429163935</v>
      </c>
      <c r="J2895" s="3" t="s">
        <v>11674</v>
      </c>
      <c r="K2895" s="3" t="s">
        <v>11675</v>
      </c>
      <c r="L2895" s="3" t="s">
        <v>11690</v>
      </c>
      <c r="M2895" s="3" t="n">
        <v>868590</v>
      </c>
      <c r="N2895" s="3" t="s">
        <v>6214</v>
      </c>
      <c r="O2895" s="1" t="n">
        <v>852204</v>
      </c>
      <c r="P2895" s="1" t="n">
        <v>98.11</v>
      </c>
      <c r="Q2895" s="1" t="s">
        <v>20</v>
      </c>
      <c r="R2895" s="1" t="s">
        <v>27</v>
      </c>
      <c r="S2895" s="1" t="s">
        <v>28</v>
      </c>
      <c r="T2895" s="1" t="s">
        <v>29</v>
      </c>
    </row>
    <row r="2896" customFormat="false" ht="18.7" hidden="false" customHeight="true" outlineLevel="0" collapsed="false">
      <c r="A2896" s="1" t="n">
        <v>2895</v>
      </c>
      <c r="B2896" s="6" t="str">
        <f aca="false">HYPERLINK("https://mncourtfraud.com/file/MCRO_27-CR-22-22963_Order for Conditional Release_2023-04-03_20240429163942.pdf","MCRO_27-CR-22-22963_Order for Conditional Release_2023-04-03_20240429163942.pdf")</f>
        <v>MCRO_27-CR-22-22963_Order for Conditional Release_2023-04-03_20240429163942.pdf</v>
      </c>
      <c r="C2896" s="1" t="n">
        <v>4</v>
      </c>
      <c r="D2896" s="1" t="n">
        <v>1</v>
      </c>
      <c r="E2896" s="1" t="n">
        <v>1</v>
      </c>
      <c r="F2896" s="3" t="s">
        <v>20</v>
      </c>
      <c r="G2896" s="3" t="s">
        <v>11691</v>
      </c>
      <c r="H2896" s="1" t="s">
        <v>22</v>
      </c>
      <c r="I2896" s="1" t="n">
        <v>20240429163942</v>
      </c>
      <c r="J2896" s="3" t="s">
        <v>11692</v>
      </c>
      <c r="K2896" s="3" t="s">
        <v>11693</v>
      </c>
      <c r="L2896" s="3" t="s">
        <v>11694</v>
      </c>
      <c r="M2896" s="3" t="n">
        <v>818895</v>
      </c>
      <c r="N2896" s="3" t="s">
        <v>158</v>
      </c>
      <c r="O2896" s="1" t="n">
        <v>802509</v>
      </c>
      <c r="P2896" s="1" t="n">
        <v>98</v>
      </c>
      <c r="Q2896" s="1" t="s">
        <v>20</v>
      </c>
      <c r="R2896" s="1" t="s">
        <v>27</v>
      </c>
      <c r="S2896" s="1" t="s">
        <v>28</v>
      </c>
      <c r="T2896" s="1" t="s">
        <v>29</v>
      </c>
    </row>
    <row r="2897" customFormat="false" ht="18.7" hidden="false" customHeight="true" outlineLevel="0" collapsed="false">
      <c r="A2897" s="1" t="n">
        <v>2896</v>
      </c>
      <c r="B2897" s="6" t="str">
        <f aca="false">HYPERLINK("https://mncourtfraud.com/file/MCRO_27-CR-22-22963_Returned Mail_2022-12-09_20240429163947.pdf","MCRO_27-CR-22-22963_Returned Mail_2022-12-09_20240429163947.pdf")</f>
        <v>MCRO_27-CR-22-22963_Returned Mail_2022-12-09_20240429163947.pdf</v>
      </c>
      <c r="C2897" s="1" t="n">
        <v>4</v>
      </c>
      <c r="D2897" s="1" t="n">
        <v>1</v>
      </c>
      <c r="E2897" s="1" t="n">
        <v>1</v>
      </c>
      <c r="F2897" s="3" t="s">
        <v>20</v>
      </c>
      <c r="G2897" s="3" t="s">
        <v>11695</v>
      </c>
      <c r="H2897" s="1" t="s">
        <v>22</v>
      </c>
      <c r="I2897" s="1" t="n">
        <v>20240429163947</v>
      </c>
      <c r="J2897" s="3" t="s">
        <v>11696</v>
      </c>
      <c r="K2897" s="3" t="s">
        <v>11697</v>
      </c>
      <c r="L2897" s="3" t="s">
        <v>11698</v>
      </c>
      <c r="M2897" s="3" t="n">
        <v>336076</v>
      </c>
      <c r="N2897" s="3" t="s">
        <v>158</v>
      </c>
      <c r="O2897" s="1" t="n">
        <v>319690</v>
      </c>
      <c r="P2897" s="1" t="n">
        <v>95.12</v>
      </c>
      <c r="Q2897" s="1" t="s">
        <v>20</v>
      </c>
      <c r="R2897" s="1" t="s">
        <v>27</v>
      </c>
      <c r="S2897" s="1" t="s">
        <v>28</v>
      </c>
      <c r="T2897" s="1" t="s">
        <v>29</v>
      </c>
    </row>
    <row r="2898" customFormat="false" ht="18.7" hidden="false" customHeight="true" outlineLevel="0" collapsed="false">
      <c r="A2898" s="1" t="n">
        <v>2897</v>
      </c>
      <c r="B2898" s="6" t="str">
        <f aca="false">HYPERLINK("https://mncourtfraud.com/file/MCRO_27-CR-22-22963_Returned Mail_2023-01-25_20240429163945.pdf","MCRO_27-CR-22-22963_Returned Mail_2023-01-25_20240429163945.pdf")</f>
        <v>MCRO_27-CR-22-22963_Returned Mail_2023-01-25_20240429163945.pdf</v>
      </c>
      <c r="C2898" s="1" t="n">
        <v>4</v>
      </c>
      <c r="D2898" s="1" t="n">
        <v>1</v>
      </c>
      <c r="E2898" s="1" t="n">
        <v>1</v>
      </c>
      <c r="F2898" s="3" t="s">
        <v>20</v>
      </c>
      <c r="G2898" s="3" t="s">
        <v>11699</v>
      </c>
      <c r="H2898" s="1" t="s">
        <v>22</v>
      </c>
      <c r="I2898" s="1" t="n">
        <v>20240429163945</v>
      </c>
      <c r="J2898" s="3" t="s">
        <v>11700</v>
      </c>
      <c r="K2898" s="3" t="s">
        <v>11701</v>
      </c>
      <c r="L2898" s="3" t="s">
        <v>11702</v>
      </c>
      <c r="M2898" s="3" t="n">
        <v>400642</v>
      </c>
      <c r="N2898" s="3" t="s">
        <v>158</v>
      </c>
      <c r="O2898" s="1" t="n">
        <v>384256</v>
      </c>
      <c r="P2898" s="1" t="n">
        <v>95.91</v>
      </c>
      <c r="Q2898" s="1" t="s">
        <v>20</v>
      </c>
      <c r="R2898" s="1" t="s">
        <v>27</v>
      </c>
      <c r="S2898" s="1" t="s">
        <v>28</v>
      </c>
      <c r="T2898" s="1" t="s">
        <v>29</v>
      </c>
    </row>
    <row r="2899" customFormat="false" ht="18.7" hidden="false" customHeight="true" outlineLevel="0" collapsed="false">
      <c r="A2899" s="1" t="n">
        <v>2898</v>
      </c>
      <c r="B2899" s="6" t="str">
        <f aca="false">HYPERLINK("https://mncourtfraud.com/file/MCRO_27-CR-22-22963_Returned Mail_2023-03-27_20240429163943.pdf","MCRO_27-CR-22-22963_Returned Mail_2023-03-27_20240429163943.pdf")</f>
        <v>MCRO_27-CR-22-22963_Returned Mail_2023-03-27_20240429163943.pdf</v>
      </c>
      <c r="C2899" s="1" t="n">
        <v>4</v>
      </c>
      <c r="D2899" s="1" t="n">
        <v>1</v>
      </c>
      <c r="E2899" s="1" t="n">
        <v>1</v>
      </c>
      <c r="F2899" s="3" t="s">
        <v>20</v>
      </c>
      <c r="G2899" s="3" t="s">
        <v>11703</v>
      </c>
      <c r="H2899" s="1" t="s">
        <v>22</v>
      </c>
      <c r="I2899" s="1" t="n">
        <v>20240429163943</v>
      </c>
      <c r="J2899" s="3" t="s">
        <v>11704</v>
      </c>
      <c r="K2899" s="3" t="s">
        <v>11705</v>
      </c>
      <c r="L2899" s="3" t="s">
        <v>11706</v>
      </c>
      <c r="M2899" s="3" t="n">
        <v>289175</v>
      </c>
      <c r="N2899" s="3" t="s">
        <v>158</v>
      </c>
      <c r="O2899" s="1" t="n">
        <v>272789</v>
      </c>
      <c r="P2899" s="1" t="n">
        <v>94.33</v>
      </c>
      <c r="Q2899" s="1" t="s">
        <v>20</v>
      </c>
      <c r="R2899" s="1" t="s">
        <v>27</v>
      </c>
      <c r="S2899" s="1" t="s">
        <v>28</v>
      </c>
      <c r="T2899" s="1" t="s">
        <v>29</v>
      </c>
    </row>
    <row r="2900" customFormat="false" ht="18.7" hidden="false" customHeight="true" outlineLevel="0" collapsed="false">
      <c r="A2900" s="1" t="n">
        <v>2899</v>
      </c>
      <c r="B2900" s="6" t="str">
        <f aca="false">HYPERLINK("https://mncourtfraud.com/file/MCRO_27-CR-22-22963_Summons_2022-11-17_20240429163948.pdf","MCRO_27-CR-22-22963_Summons_2022-11-17_20240429163948.pdf")</f>
        <v>MCRO_27-CR-22-22963_Summons_2022-11-17_20240429163948.pdf</v>
      </c>
      <c r="C2900" s="1" t="n">
        <v>5</v>
      </c>
      <c r="D2900" s="1" t="n">
        <v>1</v>
      </c>
      <c r="E2900" s="1" t="n">
        <v>1</v>
      </c>
      <c r="F2900" s="3" t="s">
        <v>20</v>
      </c>
      <c r="G2900" s="3" t="s">
        <v>11707</v>
      </c>
      <c r="H2900" s="1" t="s">
        <v>22</v>
      </c>
      <c r="I2900" s="1" t="n">
        <v>20240429163948</v>
      </c>
      <c r="J2900" s="3" t="s">
        <v>11708</v>
      </c>
      <c r="K2900" s="3" t="s">
        <v>11709</v>
      </c>
      <c r="L2900" s="3" t="s">
        <v>11710</v>
      </c>
      <c r="M2900" s="3" t="n">
        <v>702233</v>
      </c>
      <c r="N2900" s="3" t="s">
        <v>2723</v>
      </c>
      <c r="O2900" s="1" t="n">
        <v>685847</v>
      </c>
      <c r="P2900" s="1" t="n">
        <v>97.67</v>
      </c>
      <c r="Q2900" s="1" t="s">
        <v>20</v>
      </c>
      <c r="R2900" s="1" t="s">
        <v>27</v>
      </c>
      <c r="S2900" s="1" t="s">
        <v>28</v>
      </c>
      <c r="T2900" s="1" t="s">
        <v>29</v>
      </c>
    </row>
    <row r="2901" customFormat="false" ht="18.7" hidden="false" customHeight="true" outlineLevel="0" collapsed="false">
      <c r="A2901" s="1" t="n">
        <v>2900</v>
      </c>
      <c r="B2901" s="6" t="str">
        <f aca="false">HYPERLINK("https://mncourtfraud.com/file/MCRO_27-CR-22-22985_Demand or Request for Discovery_2022-12-07_20240429164048.pdf","MCRO_27-CR-22-22985_Demand or Request for Discovery_2022-12-07_20240429164048.pdf")</f>
        <v>MCRO_27-CR-22-22985_Demand or Request for Discovery_2022-12-07_20240429164048.pdf</v>
      </c>
      <c r="C2901" s="1" t="n">
        <v>3</v>
      </c>
      <c r="D2901" s="1" t="n">
        <v>1</v>
      </c>
      <c r="E2901" s="1" t="n">
        <v>1</v>
      </c>
      <c r="F2901" s="3" t="s">
        <v>20</v>
      </c>
      <c r="G2901" s="3" t="s">
        <v>11711</v>
      </c>
      <c r="H2901" s="1" t="s">
        <v>22</v>
      </c>
      <c r="I2901" s="1" t="n">
        <v>20240429164048</v>
      </c>
      <c r="J2901" s="3" t="s">
        <v>11712</v>
      </c>
      <c r="K2901" s="3" t="s">
        <v>11713</v>
      </c>
      <c r="L2901" s="3" t="s">
        <v>11714</v>
      </c>
      <c r="M2901" s="3" t="n">
        <v>703431</v>
      </c>
      <c r="N2901" s="3" t="s">
        <v>11715</v>
      </c>
      <c r="O2901" s="1" t="n">
        <v>687045</v>
      </c>
      <c r="P2901" s="1" t="n">
        <v>97.67</v>
      </c>
      <c r="Q2901" s="1" t="s">
        <v>20</v>
      </c>
      <c r="R2901" s="1" t="s">
        <v>27</v>
      </c>
      <c r="S2901" s="1" t="s">
        <v>28</v>
      </c>
      <c r="T2901" s="1" t="s">
        <v>29</v>
      </c>
    </row>
    <row r="2902" customFormat="false" ht="18.7" hidden="false" customHeight="true" outlineLevel="0" collapsed="false">
      <c r="A2902" s="1" t="n">
        <v>2901</v>
      </c>
      <c r="B2902" s="6" t="str">
        <f aca="false">HYPERLINK("https://mncourtfraud.com/file/MCRO_27-CR-22-22985_E-filed Comp-Warrant_2022-11-17_20240429164053.pdf","MCRO_27-CR-22-22985_E-filed Comp-Warrant_2022-11-17_20240429164053.pdf")</f>
        <v>MCRO_27-CR-22-22985_E-filed Comp-Warrant_2022-11-17_20240429164053.pdf</v>
      </c>
      <c r="C2902" s="1" t="n">
        <v>5</v>
      </c>
      <c r="D2902" s="1" t="n">
        <v>2</v>
      </c>
      <c r="E2902" s="1" t="n">
        <v>2</v>
      </c>
      <c r="F2902" s="3" t="s">
        <v>20</v>
      </c>
      <c r="G2902" s="3" t="s">
        <v>11716</v>
      </c>
      <c r="H2902" s="1" t="s">
        <v>22</v>
      </c>
      <c r="I2902" s="1" t="n">
        <v>20240429164053</v>
      </c>
      <c r="J2902" s="3" t="s">
        <v>11717</v>
      </c>
      <c r="K2902" s="3" t="s">
        <v>11718</v>
      </c>
      <c r="L2902" s="3" t="s">
        <v>11719</v>
      </c>
      <c r="M2902" s="3" t="n">
        <v>447670</v>
      </c>
      <c r="N2902" s="3" t="s">
        <v>10880</v>
      </c>
      <c r="O2902" s="1" t="n">
        <v>431284</v>
      </c>
      <c r="P2902" s="1" t="n">
        <v>96.34</v>
      </c>
      <c r="Q2902" s="1" t="s">
        <v>20</v>
      </c>
      <c r="R2902" s="1" t="s">
        <v>27</v>
      </c>
      <c r="S2902" s="1" t="s">
        <v>28</v>
      </c>
      <c r="T2902" s="1" t="s">
        <v>29</v>
      </c>
    </row>
    <row r="2903" customFormat="false" ht="18.7" hidden="false" customHeight="true" outlineLevel="0" collapsed="false">
      <c r="A2903" s="1" t="n">
        <v>2902</v>
      </c>
      <c r="B2903" s="6" t="str">
        <f aca="false">HYPERLINK("https://mncourtfraud.com/file/MCRO_27-CR-22-22985_Findings and Order_2022-11-30_20240429164049.pdf","MCRO_27-CR-22-22985_Findings and Order_2022-11-30_20240429164049.pdf")</f>
        <v>MCRO_27-CR-22-22985_Findings and Order_2022-11-30_20240429164049.pdf</v>
      </c>
      <c r="C2903" s="1" t="n">
        <v>6</v>
      </c>
      <c r="D2903" s="1" t="n">
        <v>1</v>
      </c>
      <c r="E2903" s="1" t="n">
        <v>1</v>
      </c>
      <c r="F2903" s="3" t="s">
        <v>20</v>
      </c>
      <c r="G2903" s="3" t="s">
        <v>11720</v>
      </c>
      <c r="H2903" s="1" t="s">
        <v>22</v>
      </c>
      <c r="I2903" s="1" t="n">
        <v>20240429164049</v>
      </c>
      <c r="J2903" s="3" t="s">
        <v>11721</v>
      </c>
      <c r="K2903" s="3" t="s">
        <v>11722</v>
      </c>
      <c r="L2903" s="3" t="s">
        <v>11723</v>
      </c>
      <c r="M2903" s="3" t="n">
        <v>256700</v>
      </c>
      <c r="N2903" s="3" t="s">
        <v>675</v>
      </c>
      <c r="O2903" s="1" t="n">
        <v>240314</v>
      </c>
      <c r="P2903" s="1" t="n">
        <v>93.62</v>
      </c>
      <c r="Q2903" s="1" t="s">
        <v>20</v>
      </c>
      <c r="R2903" s="1" t="s">
        <v>27</v>
      </c>
      <c r="S2903" s="1" t="s">
        <v>28</v>
      </c>
      <c r="T2903" s="1" t="s">
        <v>29</v>
      </c>
    </row>
    <row r="2904" customFormat="false" ht="18.7" hidden="false" customHeight="true" outlineLevel="0" collapsed="false">
      <c r="A2904" s="1" t="n">
        <v>2903</v>
      </c>
      <c r="B2904" s="6" t="str">
        <f aca="false">HYPERLINK("https://mncourtfraud.com/file/MCRO_27-CR-22-22985_Notice of Case Reassignment_2022-12-19_20240429164047.pdf","MCRO_27-CR-22-22985_Notice of Case Reassignment_2022-12-19_20240429164047.pdf")</f>
        <v>MCRO_27-CR-22-22985_Notice of Case Reassignment_2022-12-19_20240429164047.pdf</v>
      </c>
      <c r="C2904" s="1" t="n">
        <v>4</v>
      </c>
      <c r="D2904" s="1" t="n">
        <v>1</v>
      </c>
      <c r="E2904" s="1" t="n">
        <v>1</v>
      </c>
      <c r="F2904" s="3" t="s">
        <v>20</v>
      </c>
      <c r="G2904" s="3" t="s">
        <v>11724</v>
      </c>
      <c r="H2904" s="1" t="s">
        <v>22</v>
      </c>
      <c r="I2904" s="1" t="n">
        <v>20240429164047</v>
      </c>
      <c r="J2904" s="3" t="s">
        <v>11725</v>
      </c>
      <c r="K2904" s="3" t="s">
        <v>11726</v>
      </c>
      <c r="L2904" s="3" t="s">
        <v>11727</v>
      </c>
      <c r="M2904" s="3" t="n">
        <v>297043</v>
      </c>
      <c r="N2904" s="3" t="s">
        <v>158</v>
      </c>
      <c r="O2904" s="1" t="n">
        <v>280657</v>
      </c>
      <c r="P2904" s="1" t="n">
        <v>94.48</v>
      </c>
      <c r="Q2904" s="1" t="s">
        <v>20</v>
      </c>
      <c r="R2904" s="1" t="s">
        <v>27</v>
      </c>
      <c r="S2904" s="1" t="s">
        <v>28</v>
      </c>
      <c r="T2904" s="1" t="s">
        <v>29</v>
      </c>
    </row>
    <row r="2905" customFormat="false" ht="18.7" hidden="false" customHeight="true" outlineLevel="0" collapsed="false">
      <c r="A2905" s="1" t="n">
        <v>2904</v>
      </c>
      <c r="B2905" s="6" t="str">
        <f aca="false">HYPERLINK("https://mncourtfraud.com/file/MCRO_27-CR-22-22985_Notice of Case Reassignment_2023-06-16_20240429164046.pdf","MCRO_27-CR-22-22985_Notice of Case Reassignment_2023-06-16_20240429164046.pdf")</f>
        <v>MCRO_27-CR-22-22985_Notice of Case Reassignment_2023-06-16_20240429164046.pdf</v>
      </c>
      <c r="C2905" s="1" t="n">
        <v>3</v>
      </c>
      <c r="D2905" s="1" t="n">
        <v>1</v>
      </c>
      <c r="E2905" s="1" t="n">
        <v>1</v>
      </c>
      <c r="F2905" s="3" t="s">
        <v>20</v>
      </c>
      <c r="G2905" s="3" t="s">
        <v>11728</v>
      </c>
      <c r="H2905" s="1" t="s">
        <v>22</v>
      </c>
      <c r="I2905" s="1" t="n">
        <v>20240429164046</v>
      </c>
      <c r="J2905" s="3" t="s">
        <v>11729</v>
      </c>
      <c r="K2905" s="3" t="s">
        <v>11730</v>
      </c>
      <c r="L2905" s="3" t="s">
        <v>7216</v>
      </c>
      <c r="M2905" s="3" t="n">
        <v>113625</v>
      </c>
      <c r="N2905" s="3" t="s">
        <v>128</v>
      </c>
      <c r="O2905" s="1" t="n">
        <v>97239</v>
      </c>
      <c r="P2905" s="1" t="n">
        <v>85.58</v>
      </c>
      <c r="Q2905" s="1" t="s">
        <v>20</v>
      </c>
      <c r="R2905" s="1" t="s">
        <v>27</v>
      </c>
      <c r="S2905" s="1" t="s">
        <v>28</v>
      </c>
      <c r="T2905" s="1" t="s">
        <v>29</v>
      </c>
    </row>
    <row r="2906" customFormat="false" ht="18.7" hidden="false" customHeight="true" outlineLevel="0" collapsed="false">
      <c r="A2906" s="1" t="n">
        <v>2905</v>
      </c>
      <c r="B2906" s="6" t="str">
        <f aca="false">HYPERLINK("https://mncourtfraud.com/file/MCRO_27-CR-22-22985_Notice of Hearing_2023-12-29_20240429164034.pdf","MCRO_27-CR-22-22985_Notice of Hearing_2023-12-29_20240429164034.pdf")</f>
        <v>MCRO_27-CR-22-22985_Notice of Hearing_2023-12-29_20240429164034.pdf</v>
      </c>
      <c r="C2906" s="1" t="n">
        <v>4</v>
      </c>
      <c r="D2906" s="1" t="n">
        <v>1</v>
      </c>
      <c r="E2906" s="1" t="n">
        <v>1</v>
      </c>
      <c r="F2906" s="3" t="s">
        <v>20</v>
      </c>
      <c r="G2906" s="3" t="s">
        <v>11731</v>
      </c>
      <c r="H2906" s="1" t="s">
        <v>22</v>
      </c>
      <c r="I2906" s="1" t="n">
        <v>20240429164034</v>
      </c>
      <c r="J2906" s="3" t="s">
        <v>11732</v>
      </c>
      <c r="K2906" s="3" t="s">
        <v>11733</v>
      </c>
      <c r="L2906" s="3" t="s">
        <v>11734</v>
      </c>
      <c r="M2906" s="3" t="n">
        <v>91093</v>
      </c>
      <c r="N2906" s="3" t="s">
        <v>3269</v>
      </c>
      <c r="O2906" s="1" t="n">
        <v>74707</v>
      </c>
      <c r="P2906" s="1" t="n">
        <v>82.01</v>
      </c>
      <c r="Q2906" s="1" t="s">
        <v>20</v>
      </c>
      <c r="R2906" s="1" t="s">
        <v>27</v>
      </c>
      <c r="S2906" s="1" t="s">
        <v>28</v>
      </c>
      <c r="T2906" s="1" t="s">
        <v>29</v>
      </c>
    </row>
    <row r="2907" customFormat="false" ht="18.7" hidden="false" customHeight="true" outlineLevel="0" collapsed="false">
      <c r="A2907" s="1" t="n">
        <v>2906</v>
      </c>
      <c r="B2907" s="6" t="str">
        <f aca="false">HYPERLINK("https://mncourtfraud.com/file/MCRO_27-CR-22-22985_Notice of Remote Hearing with Instructions_2023-12-01_20240429164042.pdf","MCRO_27-CR-22-22985_Notice of Remote Hearing with Instructions_2023-12-01_20240429164042.pdf")</f>
        <v>MCRO_27-CR-22-22985_Notice of Remote Hearing with Instructions_2023-12-01_20240429164042.pdf</v>
      </c>
      <c r="C2907" s="1" t="n">
        <v>4</v>
      </c>
      <c r="D2907" s="1" t="n">
        <v>1</v>
      </c>
      <c r="E2907" s="1" t="n">
        <v>1</v>
      </c>
      <c r="F2907" s="3" t="s">
        <v>20</v>
      </c>
      <c r="G2907" s="3" t="s">
        <v>11735</v>
      </c>
      <c r="H2907" s="1" t="s">
        <v>22</v>
      </c>
      <c r="I2907" s="1" t="n">
        <v>20240429164042</v>
      </c>
      <c r="J2907" s="3" t="s">
        <v>11736</v>
      </c>
      <c r="K2907" s="3" t="s">
        <v>11737</v>
      </c>
      <c r="L2907" s="3" t="s">
        <v>11738</v>
      </c>
      <c r="M2907" s="3" t="n">
        <v>134927</v>
      </c>
      <c r="N2907" s="3" t="s">
        <v>1159</v>
      </c>
      <c r="O2907" s="1" t="n">
        <v>118541</v>
      </c>
      <c r="P2907" s="1" t="n">
        <v>87.86</v>
      </c>
      <c r="Q2907" s="1" t="s">
        <v>20</v>
      </c>
      <c r="R2907" s="1" t="s">
        <v>27</v>
      </c>
      <c r="S2907" s="1" t="s">
        <v>28</v>
      </c>
      <c r="T2907" s="1" t="s">
        <v>29</v>
      </c>
    </row>
    <row r="2908" customFormat="false" ht="18.7" hidden="false" customHeight="true" outlineLevel="0" collapsed="false">
      <c r="A2908" s="1" t="n">
        <v>2907</v>
      </c>
      <c r="B2908" s="6" t="str">
        <f aca="false">HYPERLINK("https://mncourtfraud.com/file/MCRO_27-CR-22-22985_Notice of Remote Hearing with Instructions_2023-12-05_20240429164041.pdf","MCRO_27-CR-22-22985_Notice of Remote Hearing with Instructions_2023-12-05_20240429164041.pdf")</f>
        <v>MCRO_27-CR-22-22985_Notice of Remote Hearing with Instructions_2023-12-05_20240429164041.pdf</v>
      </c>
      <c r="C2908" s="1" t="n">
        <v>5</v>
      </c>
      <c r="D2908" s="1" t="n">
        <v>1</v>
      </c>
      <c r="E2908" s="1" t="n">
        <v>1</v>
      </c>
      <c r="F2908" s="3" t="s">
        <v>20</v>
      </c>
      <c r="G2908" s="3" t="s">
        <v>11739</v>
      </c>
      <c r="H2908" s="1" t="s">
        <v>22</v>
      </c>
      <c r="I2908" s="1" t="n">
        <v>20240429164041</v>
      </c>
      <c r="J2908" s="3" t="s">
        <v>11740</v>
      </c>
      <c r="K2908" s="3" t="s">
        <v>11741</v>
      </c>
      <c r="L2908" s="3" t="s">
        <v>11742</v>
      </c>
      <c r="M2908" s="3" t="n">
        <v>844529</v>
      </c>
      <c r="N2908" s="3" t="s">
        <v>3164</v>
      </c>
      <c r="O2908" s="1" t="n">
        <v>828143</v>
      </c>
      <c r="P2908" s="1" t="n">
        <v>98.06</v>
      </c>
      <c r="Q2908" s="1" t="s">
        <v>20</v>
      </c>
      <c r="R2908" s="1" t="s">
        <v>27</v>
      </c>
      <c r="S2908" s="1" t="s">
        <v>28</v>
      </c>
      <c r="T2908" s="1" t="s">
        <v>29</v>
      </c>
    </row>
    <row r="2909" customFormat="false" ht="18.7" hidden="false" customHeight="true" outlineLevel="0" collapsed="false">
      <c r="A2909" s="1" t="n">
        <v>2908</v>
      </c>
      <c r="B2909" s="6" t="str">
        <f aca="false">HYPERLINK("https://mncourtfraud.com/file/MCRO_27-CR-22-22985_Notice of Remote Hearing with Instructions_2024-01-22_20240429164032.pdf","MCRO_27-CR-22-22985_Notice of Remote Hearing with Instructions_2024-01-22_20240429164032.pdf")</f>
        <v>MCRO_27-CR-22-22985_Notice of Remote Hearing with Instructions_2024-01-22_20240429164032.pdf</v>
      </c>
      <c r="C2909" s="1" t="n">
        <v>4</v>
      </c>
      <c r="D2909" s="1" t="n">
        <v>1</v>
      </c>
      <c r="E2909" s="1" t="n">
        <v>1</v>
      </c>
      <c r="F2909" s="3" t="s">
        <v>20</v>
      </c>
      <c r="G2909" s="3" t="s">
        <v>11743</v>
      </c>
      <c r="H2909" s="1" t="s">
        <v>22</v>
      </c>
      <c r="I2909" s="1" t="n">
        <v>20240429164032</v>
      </c>
      <c r="J2909" s="3" t="s">
        <v>11744</v>
      </c>
      <c r="K2909" s="3" t="s">
        <v>11745</v>
      </c>
      <c r="L2909" s="3" t="s">
        <v>11746</v>
      </c>
      <c r="M2909" s="3" t="n">
        <v>269584</v>
      </c>
      <c r="N2909" s="3" t="s">
        <v>74</v>
      </c>
      <c r="O2909" s="1" t="n">
        <v>253198</v>
      </c>
      <c r="P2909" s="1" t="n">
        <v>93.92</v>
      </c>
      <c r="Q2909" s="1" t="s">
        <v>20</v>
      </c>
      <c r="R2909" s="1" t="s">
        <v>27</v>
      </c>
      <c r="S2909" s="1" t="s">
        <v>28</v>
      </c>
      <c r="T2909" s="1" t="s">
        <v>29</v>
      </c>
    </row>
    <row r="2910" customFormat="false" ht="18.7" hidden="false" customHeight="true" outlineLevel="0" collapsed="false">
      <c r="A2910" s="1" t="n">
        <v>2909</v>
      </c>
      <c r="B2910" s="6" t="str">
        <f aca="false">HYPERLINK("https://mncourtfraud.com/file/MCRO_27-CR-22-22985_Order-Evaluation for Competency to Proceed (Rule 20.01)_2022-11-18_20240429164051.pdf","MCRO_27-CR-22-22985_Order-Evaluation for Competency to Proceed (Rule 20.01)_2022-11-18_20240429164051.pdf")</f>
        <v>MCRO_27-CR-22-22985_Order-Evaluation for Competency to Proceed (Rule 20.01)_2022-11-18_20240429164051.pdf</v>
      </c>
      <c r="C2910" s="1" t="n">
        <v>4</v>
      </c>
      <c r="D2910" s="1" t="n">
        <v>1</v>
      </c>
      <c r="E2910" s="1" t="n">
        <v>1</v>
      </c>
      <c r="F2910" s="3" t="s">
        <v>20</v>
      </c>
      <c r="G2910" s="3" t="s">
        <v>11747</v>
      </c>
      <c r="H2910" s="1" t="s">
        <v>22</v>
      </c>
      <c r="I2910" s="1" t="n">
        <v>20240429164051</v>
      </c>
      <c r="J2910" s="3" t="s">
        <v>11748</v>
      </c>
      <c r="K2910" s="3" t="s">
        <v>11749</v>
      </c>
      <c r="L2910" s="3" t="s">
        <v>11750</v>
      </c>
      <c r="M2910" s="3" t="n">
        <v>1140797</v>
      </c>
      <c r="N2910" s="3" t="s">
        <v>1128</v>
      </c>
      <c r="O2910" s="1" t="n">
        <v>1124411</v>
      </c>
      <c r="P2910" s="1" t="n">
        <v>98.56</v>
      </c>
      <c r="Q2910" s="1" t="s">
        <v>20</v>
      </c>
      <c r="R2910" s="1" t="s">
        <v>27</v>
      </c>
      <c r="S2910" s="1" t="s">
        <v>28</v>
      </c>
      <c r="T2910" s="1" t="s">
        <v>29</v>
      </c>
    </row>
    <row r="2911" customFormat="false" ht="18.7" hidden="false" customHeight="true" outlineLevel="0" collapsed="false">
      <c r="A2911" s="1" t="n">
        <v>2910</v>
      </c>
      <c r="B2911" s="6" t="str">
        <f aca="false">HYPERLINK("https://mncourtfraud.com/file/MCRO_27-CR-22-22985_Order-Evaluation for Competency to Proceed (Rule 20.01)_2023-09-18_20240429164043.pdf","MCRO_27-CR-22-22985_Order-Evaluation for Competency to Proceed (Rule 20.01)_2023-09-18_20240429164043.pdf")</f>
        <v>MCRO_27-CR-22-22985_Order-Evaluation for Competency to Proceed (Rule 20.01)_2023-09-18_20240429164043.pdf</v>
      </c>
      <c r="C2911" s="1" t="n">
        <v>6</v>
      </c>
      <c r="D2911" s="1" t="n">
        <v>2</v>
      </c>
      <c r="E2911" s="1" t="n">
        <v>2</v>
      </c>
      <c r="F2911" s="3" t="s">
        <v>27</v>
      </c>
      <c r="G2911" s="3" t="s">
        <v>11751</v>
      </c>
      <c r="H2911" s="1" t="s">
        <v>22</v>
      </c>
      <c r="I2911" s="1" t="n">
        <v>20240429164043</v>
      </c>
      <c r="J2911" s="3" t="s">
        <v>11752</v>
      </c>
      <c r="K2911" s="3" t="s">
        <v>11753</v>
      </c>
      <c r="L2911" s="3" t="s">
        <v>11754</v>
      </c>
      <c r="M2911" s="3" t="n">
        <v>863477</v>
      </c>
      <c r="N2911" s="3" t="s">
        <v>554</v>
      </c>
      <c r="O2911" s="1" t="n">
        <v>847091</v>
      </c>
      <c r="P2911" s="1" t="n">
        <v>98.1</v>
      </c>
      <c r="Q2911" s="1" t="s">
        <v>20</v>
      </c>
      <c r="R2911" s="1" t="s">
        <v>27</v>
      </c>
      <c r="S2911" s="1" t="s">
        <v>28</v>
      </c>
      <c r="T2911" s="1" t="s">
        <v>29</v>
      </c>
    </row>
    <row r="2912" customFormat="false" ht="18.7" hidden="false" customHeight="true" outlineLevel="0" collapsed="false">
      <c r="A2912" s="1" t="n">
        <v>2911</v>
      </c>
      <c r="B2912" s="6" t="str">
        <f aca="false">HYPERLINK("https://mncourtfraud.com/file/MCRO_27-CR-22-22985_Order-Evaluation for Competency to Proceed (Rule 20.01)_2023-12-06_20240429164041.pdf","MCRO_27-CR-22-22985_Order-Evaluation for Competency to Proceed (Rule 20.01)_2023-12-06_20240429164041.pdf")</f>
        <v>MCRO_27-CR-22-22985_Order-Evaluation for Competency to Proceed (Rule 20.01)_2023-12-06_20240429164041.pdf</v>
      </c>
      <c r="C2912" s="1" t="n">
        <v>9</v>
      </c>
      <c r="D2912" s="1" t="n">
        <v>3</v>
      </c>
      <c r="E2912" s="1" t="n">
        <v>3</v>
      </c>
      <c r="F2912" s="3" t="s">
        <v>20</v>
      </c>
      <c r="G2912" s="3" t="s">
        <v>11755</v>
      </c>
      <c r="H2912" s="1" t="s">
        <v>22</v>
      </c>
      <c r="I2912" s="1" t="n">
        <v>20240429164041</v>
      </c>
      <c r="J2912" s="3" t="s">
        <v>11756</v>
      </c>
      <c r="K2912" s="3" t="s">
        <v>11757</v>
      </c>
      <c r="L2912" s="3" t="s">
        <v>11758</v>
      </c>
      <c r="M2912" s="3" t="n">
        <v>926703</v>
      </c>
      <c r="N2912" s="3" t="s">
        <v>4934</v>
      </c>
      <c r="O2912" s="1" t="n">
        <v>910317</v>
      </c>
      <c r="P2912" s="1" t="n">
        <v>98.23</v>
      </c>
      <c r="Q2912" s="1" t="s">
        <v>20</v>
      </c>
      <c r="R2912" s="1" t="s">
        <v>27</v>
      </c>
      <c r="S2912" s="1" t="s">
        <v>28</v>
      </c>
      <c r="T2912" s="1" t="s">
        <v>29</v>
      </c>
    </row>
    <row r="2913" customFormat="false" ht="18.7" hidden="false" customHeight="true" outlineLevel="0" collapsed="false">
      <c r="A2913" s="1" t="n">
        <v>2912</v>
      </c>
      <c r="B2913" s="6" t="str">
        <f aca="false">HYPERLINK("https://mncourtfraud.com/file/MCRO_27-CR-22-22985_Order-Evaluation for Competency to Proceed (Rule 20.01)_2023-12-18_20240429164036.pdf","MCRO_27-CR-22-22985_Order-Evaluation for Competency to Proceed (Rule 20.01)_2023-12-18_20240429164036.pdf")</f>
        <v>MCRO_27-CR-22-22985_Order-Evaluation for Competency to Proceed (Rule 20.01)_2023-12-18_20240429164036.pdf</v>
      </c>
      <c r="C2913" s="1" t="n">
        <v>4</v>
      </c>
      <c r="D2913" s="1" t="n">
        <v>1</v>
      </c>
      <c r="E2913" s="1" t="n">
        <v>1</v>
      </c>
      <c r="F2913" s="3" t="s">
        <v>20</v>
      </c>
      <c r="G2913" s="3" t="s">
        <v>11759</v>
      </c>
      <c r="H2913" s="1" t="s">
        <v>22</v>
      </c>
      <c r="I2913" s="1" t="n">
        <v>20240429164036</v>
      </c>
      <c r="J2913" s="3" t="s">
        <v>11760</v>
      </c>
      <c r="K2913" s="3" t="s">
        <v>11761</v>
      </c>
      <c r="L2913" s="3" t="s">
        <v>11762</v>
      </c>
      <c r="M2913" s="3" t="n">
        <v>137426</v>
      </c>
      <c r="N2913" s="3" t="s">
        <v>1159</v>
      </c>
      <c r="O2913" s="1" t="n">
        <v>121040</v>
      </c>
      <c r="P2913" s="1" t="n">
        <v>88.08</v>
      </c>
      <c r="Q2913" s="1" t="s">
        <v>20</v>
      </c>
      <c r="R2913" s="1" t="s">
        <v>27</v>
      </c>
      <c r="S2913" s="1" t="s">
        <v>28</v>
      </c>
      <c r="T2913" s="1" t="s">
        <v>29</v>
      </c>
    </row>
    <row r="2914" customFormat="false" ht="18.7" hidden="false" customHeight="true" outlineLevel="0" collapsed="false">
      <c r="A2914" s="1" t="n">
        <v>2913</v>
      </c>
      <c r="B2914" s="6" t="str">
        <f aca="false">HYPERLINK("https://mncourtfraud.com/file/MCRO_27-CR-22-22985_Order-Evaluation for Competency to Proceed (Rule 20.01)_2023-12-28_20240429164035.pdf","MCRO_27-CR-22-22985_Order-Evaluation for Competency to Proceed (Rule 20.01)_2023-12-28_20240429164035.pdf")</f>
        <v>MCRO_27-CR-22-22985_Order-Evaluation for Competency to Proceed (Rule 20.01)_2023-12-28_20240429164035.pdf</v>
      </c>
      <c r="C2914" s="1" t="n">
        <v>5</v>
      </c>
      <c r="D2914" s="1" t="n">
        <v>2</v>
      </c>
      <c r="E2914" s="1" t="n">
        <v>2</v>
      </c>
      <c r="F2914" s="3" t="s">
        <v>27</v>
      </c>
      <c r="G2914" s="3" t="s">
        <v>11763</v>
      </c>
      <c r="H2914" s="1" t="s">
        <v>22</v>
      </c>
      <c r="I2914" s="1" t="n">
        <v>20240429164035</v>
      </c>
      <c r="J2914" s="3" t="s">
        <v>11764</v>
      </c>
      <c r="K2914" s="3" t="s">
        <v>11765</v>
      </c>
      <c r="L2914" s="3" t="s">
        <v>11766</v>
      </c>
      <c r="M2914" s="3" t="n">
        <v>309148</v>
      </c>
      <c r="N2914" s="3" t="s">
        <v>34</v>
      </c>
      <c r="O2914" s="1" t="n">
        <v>292762</v>
      </c>
      <c r="P2914" s="1" t="n">
        <v>94.7</v>
      </c>
      <c r="Q2914" s="1" t="s">
        <v>20</v>
      </c>
      <c r="R2914" s="1" t="s">
        <v>27</v>
      </c>
      <c r="S2914" s="1" t="s">
        <v>28</v>
      </c>
      <c r="T2914" s="1" t="s">
        <v>29</v>
      </c>
    </row>
    <row r="2915" customFormat="false" ht="18.7" hidden="false" customHeight="true" outlineLevel="0" collapsed="false">
      <c r="A2915" s="1" t="n">
        <v>2914</v>
      </c>
      <c r="B2915" s="6" t="str">
        <f aca="false">HYPERLINK("https://mncourtfraud.com/file/MCRO_27-CR-22-22985_Order for Conditional Release_2022-11-18_20240429164051.pdf","MCRO_27-CR-22-22985_Order for Conditional Release_2022-11-18_20240429164051.pdf")</f>
        <v>MCRO_27-CR-22-22985_Order for Conditional Release_2022-11-18_20240429164051.pdf</v>
      </c>
      <c r="C2915" s="1" t="n">
        <v>4</v>
      </c>
      <c r="D2915" s="1" t="n">
        <v>1</v>
      </c>
      <c r="E2915" s="1" t="n">
        <v>1</v>
      </c>
      <c r="F2915" s="3" t="s">
        <v>20</v>
      </c>
      <c r="G2915" s="3" t="s">
        <v>11767</v>
      </c>
      <c r="H2915" s="1" t="s">
        <v>22</v>
      </c>
      <c r="I2915" s="1" t="n">
        <v>20240429164051</v>
      </c>
      <c r="J2915" s="3" t="s">
        <v>11748</v>
      </c>
      <c r="K2915" s="3" t="s">
        <v>11749</v>
      </c>
      <c r="L2915" s="3" t="s">
        <v>11768</v>
      </c>
      <c r="M2915" s="3" t="n">
        <v>824662</v>
      </c>
      <c r="N2915" s="3" t="s">
        <v>158</v>
      </c>
      <c r="O2915" s="1" t="n">
        <v>808276</v>
      </c>
      <c r="P2915" s="1" t="n">
        <v>98.01</v>
      </c>
      <c r="Q2915" s="1" t="s">
        <v>20</v>
      </c>
      <c r="R2915" s="1" t="s">
        <v>27</v>
      </c>
      <c r="S2915" s="1" t="s">
        <v>28</v>
      </c>
      <c r="T2915" s="1" t="s">
        <v>29</v>
      </c>
    </row>
    <row r="2916" customFormat="false" ht="18.7" hidden="false" customHeight="true" outlineLevel="0" collapsed="false">
      <c r="A2916" s="1" t="n">
        <v>2915</v>
      </c>
      <c r="B2916" s="6" t="str">
        <f aca="false">HYPERLINK("https://mncourtfraud.com/file/MCRO_27-CR-22-22985_Order for Conditional Release_2023-12-18_20240429164038.pdf","MCRO_27-CR-22-22985_Order for Conditional Release_2023-12-18_20240429164038.pdf")</f>
        <v>MCRO_27-CR-22-22985_Order for Conditional Release_2023-12-18_20240429164038.pdf</v>
      </c>
      <c r="C2916" s="1" t="n">
        <v>4</v>
      </c>
      <c r="D2916" s="1" t="n">
        <v>1</v>
      </c>
      <c r="E2916" s="1" t="n">
        <v>1</v>
      </c>
      <c r="F2916" s="3" t="s">
        <v>20</v>
      </c>
      <c r="G2916" s="3" t="s">
        <v>11769</v>
      </c>
      <c r="H2916" s="1" t="s">
        <v>22</v>
      </c>
      <c r="I2916" s="1" t="n">
        <v>20240429164038</v>
      </c>
      <c r="J2916" s="3" t="s">
        <v>11770</v>
      </c>
      <c r="K2916" s="3" t="s">
        <v>11771</v>
      </c>
      <c r="L2916" s="3" t="s">
        <v>11772</v>
      </c>
      <c r="M2916" s="3" t="n">
        <v>112542</v>
      </c>
      <c r="N2916" s="3" t="s">
        <v>435</v>
      </c>
      <c r="O2916" s="1" t="n">
        <v>96156</v>
      </c>
      <c r="P2916" s="1" t="n">
        <v>85.44</v>
      </c>
      <c r="Q2916" s="1" t="s">
        <v>20</v>
      </c>
      <c r="R2916" s="1" t="s">
        <v>27</v>
      </c>
      <c r="S2916" s="1" t="s">
        <v>28</v>
      </c>
      <c r="T2916" s="1" t="s">
        <v>29</v>
      </c>
    </row>
    <row r="2917" customFormat="false" ht="18.7" hidden="false" customHeight="true" outlineLevel="0" collapsed="false">
      <c r="A2917" s="1" t="n">
        <v>2916</v>
      </c>
      <c r="B2917" s="6" t="str">
        <f aca="false">HYPERLINK("https://mncourtfraud.com/file/MCRO_27-CR-22-22985_Order-Other_2023-07-18_20240429164044.pdf","MCRO_27-CR-22-22985_Order-Other_2023-07-18_20240429164044.pdf")</f>
        <v>MCRO_27-CR-22-22985_Order-Other_2023-07-18_20240429164044.pdf</v>
      </c>
      <c r="C2917" s="1" t="n">
        <v>7</v>
      </c>
      <c r="D2917" s="1" t="n">
        <v>5</v>
      </c>
      <c r="E2917" s="1" t="n">
        <v>5</v>
      </c>
      <c r="F2917" s="3" t="s">
        <v>20</v>
      </c>
      <c r="G2917" s="3" t="s">
        <v>11773</v>
      </c>
      <c r="H2917" s="1" t="s">
        <v>22</v>
      </c>
      <c r="I2917" s="1" t="n">
        <v>20240429164044</v>
      </c>
      <c r="J2917" s="3" t="s">
        <v>11774</v>
      </c>
      <c r="K2917" s="3" t="s">
        <v>11775</v>
      </c>
      <c r="L2917" s="3" t="s">
        <v>11776</v>
      </c>
      <c r="M2917" s="3" t="n">
        <v>338626</v>
      </c>
      <c r="N2917" s="3" t="s">
        <v>1316</v>
      </c>
      <c r="O2917" s="1" t="n">
        <v>322240</v>
      </c>
      <c r="P2917" s="1" t="n">
        <v>95.16</v>
      </c>
      <c r="Q2917" s="1" t="s">
        <v>20</v>
      </c>
      <c r="R2917" s="1" t="s">
        <v>27</v>
      </c>
      <c r="S2917" s="1" t="s">
        <v>28</v>
      </c>
      <c r="T2917" s="1" t="s">
        <v>29</v>
      </c>
    </row>
    <row r="2918" customFormat="false" ht="18.7" hidden="false" customHeight="true" outlineLevel="0" collapsed="false">
      <c r="A2918" s="1" t="n">
        <v>2917</v>
      </c>
      <c r="B2918" s="6" t="str">
        <f aca="false">HYPERLINK("https://mncourtfraud.com/file/MCRO_27-CR-22-22985_Proposed Order or Document_2023-07-17_20240429164045.pdf","MCRO_27-CR-22-22985_Proposed Order or Document_2023-07-17_20240429164045.pdf")</f>
        <v>MCRO_27-CR-22-22985_Proposed Order or Document_2023-07-17_20240429164045.pdf</v>
      </c>
      <c r="C2918" s="1" t="n">
        <v>3</v>
      </c>
      <c r="D2918" s="1" t="n">
        <v>1</v>
      </c>
      <c r="E2918" s="1" t="n">
        <v>1</v>
      </c>
      <c r="F2918" s="3" t="s">
        <v>20</v>
      </c>
      <c r="G2918" s="3" t="s">
        <v>11777</v>
      </c>
      <c r="H2918" s="1" t="s">
        <v>22</v>
      </c>
      <c r="I2918" s="1" t="n">
        <v>20240429164045</v>
      </c>
      <c r="J2918" s="3" t="s">
        <v>11778</v>
      </c>
      <c r="K2918" s="3" t="s">
        <v>11779</v>
      </c>
      <c r="L2918" s="3" t="s">
        <v>11780</v>
      </c>
      <c r="M2918" s="3" t="n">
        <v>178869</v>
      </c>
      <c r="N2918" s="3" t="s">
        <v>1115</v>
      </c>
      <c r="O2918" s="1" t="n">
        <v>162483</v>
      </c>
      <c r="P2918" s="1" t="n">
        <v>90.84</v>
      </c>
      <c r="Q2918" s="1" t="s">
        <v>20</v>
      </c>
      <c r="R2918" s="1" t="s">
        <v>27</v>
      </c>
      <c r="S2918" s="1" t="s">
        <v>28</v>
      </c>
      <c r="T2918" s="1" t="s">
        <v>29</v>
      </c>
    </row>
    <row r="2919" customFormat="false" ht="18.7" hidden="false" customHeight="true" outlineLevel="0" collapsed="false">
      <c r="A2919" s="1" t="n">
        <v>2918</v>
      </c>
      <c r="B2919" s="6" t="str">
        <f aca="false">HYPERLINK("https://mncourtfraud.com/file/MCRO_27-CR-22-22985_Returned Mail_2023-12-15_20240429164039.pdf","MCRO_27-CR-22-22985_Returned Mail_2023-12-15_20240429164039.pdf")</f>
        <v>MCRO_27-CR-22-22985_Returned Mail_2023-12-15_20240429164039.pdf</v>
      </c>
      <c r="C2919" s="1" t="n">
        <v>4</v>
      </c>
      <c r="D2919" s="1" t="n">
        <v>1</v>
      </c>
      <c r="E2919" s="1" t="n">
        <v>1</v>
      </c>
      <c r="F2919" s="3" t="s">
        <v>20</v>
      </c>
      <c r="G2919" s="3" t="s">
        <v>11781</v>
      </c>
      <c r="H2919" s="1" t="s">
        <v>22</v>
      </c>
      <c r="I2919" s="1" t="n">
        <v>20240429164039</v>
      </c>
      <c r="J2919" s="3" t="s">
        <v>11782</v>
      </c>
      <c r="K2919" s="3" t="s">
        <v>11783</v>
      </c>
      <c r="L2919" s="3" t="s">
        <v>11784</v>
      </c>
      <c r="M2919" s="3" t="n">
        <v>1027911</v>
      </c>
      <c r="N2919" s="3" t="s">
        <v>1128</v>
      </c>
      <c r="O2919" s="1" t="n">
        <v>1011525</v>
      </c>
      <c r="P2919" s="1" t="n">
        <v>98.41</v>
      </c>
      <c r="Q2919" s="1" t="s">
        <v>20</v>
      </c>
      <c r="R2919" s="1" t="s">
        <v>27</v>
      </c>
      <c r="S2919" s="1" t="s">
        <v>28</v>
      </c>
      <c r="T2919" s="1" t="s">
        <v>29</v>
      </c>
    </row>
    <row r="2920" customFormat="false" ht="18.7" hidden="false" customHeight="true" outlineLevel="0" collapsed="false">
      <c r="A2920" s="1" t="n">
        <v>2919</v>
      </c>
      <c r="B2920" s="6" t="str">
        <f aca="false">HYPERLINK("https://mncourtfraud.com/file/MCRO_27-CR-22-22985_Returned Mail_2024-01-17_20240429164033.pdf","MCRO_27-CR-22-22985_Returned Mail_2024-01-17_20240429164033.pdf")</f>
        <v>MCRO_27-CR-22-22985_Returned Mail_2024-01-17_20240429164033.pdf</v>
      </c>
      <c r="C2920" s="1" t="n">
        <v>4</v>
      </c>
      <c r="D2920" s="1" t="n">
        <v>1</v>
      </c>
      <c r="E2920" s="1" t="n">
        <v>1</v>
      </c>
      <c r="F2920" s="3" t="s">
        <v>20</v>
      </c>
      <c r="G2920" s="3" t="s">
        <v>11785</v>
      </c>
      <c r="H2920" s="1" t="s">
        <v>22</v>
      </c>
      <c r="I2920" s="1" t="n">
        <v>20240429164033</v>
      </c>
      <c r="J2920" s="3" t="s">
        <v>11786</v>
      </c>
      <c r="K2920" s="3" t="s">
        <v>11787</v>
      </c>
      <c r="L2920" s="3" t="s">
        <v>11788</v>
      </c>
      <c r="M2920" s="3" t="n">
        <v>267435</v>
      </c>
      <c r="N2920" s="3" t="s">
        <v>158</v>
      </c>
      <c r="O2920" s="1" t="n">
        <v>251049</v>
      </c>
      <c r="P2920" s="1" t="n">
        <v>93.87</v>
      </c>
      <c r="Q2920" s="1" t="s">
        <v>20</v>
      </c>
      <c r="R2920" s="1" t="s">
        <v>27</v>
      </c>
      <c r="S2920" s="1" t="s">
        <v>28</v>
      </c>
      <c r="T2920" s="1" t="s">
        <v>29</v>
      </c>
    </row>
    <row r="2921" customFormat="false" ht="18.7" hidden="false" customHeight="true" outlineLevel="0" collapsed="false">
      <c r="A2921" s="1" t="n">
        <v>2920</v>
      </c>
      <c r="B2921" s="6" t="str">
        <f aca="false">HYPERLINK("https://mncourtfraud.com/file/MCRO_27-CR-22-23317_Dismissal by Prosecuting Attorney_2023-09-13_20240429164128.pdf","MCRO_27-CR-22-23317_Dismissal by Prosecuting Attorney_2023-09-13_20240429164128.pdf")</f>
        <v>MCRO_27-CR-22-23317_Dismissal by Prosecuting Attorney_2023-09-13_20240429164128.pdf</v>
      </c>
      <c r="C2921" s="1" t="n">
        <v>3</v>
      </c>
      <c r="D2921" s="1" t="n">
        <v>1</v>
      </c>
      <c r="E2921" s="1" t="n">
        <v>1</v>
      </c>
      <c r="F2921" s="3" t="s">
        <v>20</v>
      </c>
      <c r="G2921" s="3" t="s">
        <v>11789</v>
      </c>
      <c r="H2921" s="1" t="s">
        <v>22</v>
      </c>
      <c r="I2921" s="1" t="n">
        <v>20240429164128</v>
      </c>
      <c r="J2921" s="3" t="s">
        <v>11790</v>
      </c>
      <c r="K2921" s="3" t="s">
        <v>11791</v>
      </c>
      <c r="L2921" s="3" t="s">
        <v>11792</v>
      </c>
      <c r="M2921" s="3" t="n">
        <v>118054</v>
      </c>
      <c r="N2921" s="3" t="s">
        <v>736</v>
      </c>
      <c r="O2921" s="1" t="n">
        <v>101668</v>
      </c>
      <c r="P2921" s="1" t="n">
        <v>86.12</v>
      </c>
      <c r="Q2921" s="1" t="s">
        <v>20</v>
      </c>
      <c r="R2921" s="1" t="s">
        <v>27</v>
      </c>
      <c r="S2921" s="1" t="s">
        <v>28</v>
      </c>
      <c r="T2921" s="1" t="s">
        <v>29</v>
      </c>
    </row>
    <row r="2922" customFormat="false" ht="18.7" hidden="false" customHeight="true" outlineLevel="0" collapsed="false">
      <c r="A2922" s="1" t="n">
        <v>2921</v>
      </c>
      <c r="B2922" s="6" t="str">
        <f aca="false">HYPERLINK("https://mncourtfraud.com/file/MCRO_27-CR-22-23317_E-filed Comp-Summons_2022-11-22_20240429164132.pdf","MCRO_27-CR-22-23317_E-filed Comp-Summons_2022-11-22_20240429164132.pdf")</f>
        <v>MCRO_27-CR-22-23317_E-filed Comp-Summons_2022-11-22_20240429164132.pdf</v>
      </c>
      <c r="C2922" s="1" t="n">
        <v>5</v>
      </c>
      <c r="D2922" s="1" t="n">
        <v>2</v>
      </c>
      <c r="E2922" s="1" t="n">
        <v>2</v>
      </c>
      <c r="F2922" s="3" t="s">
        <v>20</v>
      </c>
      <c r="G2922" s="3" t="s">
        <v>11793</v>
      </c>
      <c r="H2922" s="1" t="s">
        <v>22</v>
      </c>
      <c r="I2922" s="1" t="n">
        <v>20240429164132</v>
      </c>
      <c r="J2922" s="3" t="s">
        <v>11794</v>
      </c>
      <c r="K2922" s="3" t="s">
        <v>11795</v>
      </c>
      <c r="L2922" s="3" t="s">
        <v>11796</v>
      </c>
      <c r="M2922" s="3" t="n">
        <v>445699</v>
      </c>
      <c r="N2922" s="3" t="s">
        <v>10880</v>
      </c>
      <c r="O2922" s="1" t="n">
        <v>429313</v>
      </c>
      <c r="P2922" s="1" t="n">
        <v>96.32</v>
      </c>
      <c r="Q2922" s="1" t="s">
        <v>20</v>
      </c>
      <c r="R2922" s="1" t="s">
        <v>27</v>
      </c>
      <c r="S2922" s="1" t="s">
        <v>28</v>
      </c>
      <c r="T2922" s="1" t="s">
        <v>29</v>
      </c>
    </row>
    <row r="2923" customFormat="false" ht="18.7" hidden="false" customHeight="true" outlineLevel="0" collapsed="false">
      <c r="A2923" s="1" t="n">
        <v>2922</v>
      </c>
      <c r="B2923" s="6" t="str">
        <f aca="false">HYPERLINK("https://mncourtfraud.com/file/MCRO_27-CR-22-23317_Finding of Incompetency and Order_2023-02-16_20240429164130.pdf","MCRO_27-CR-22-23317_Finding of Incompetency and Order_2023-02-16_20240429164130.pdf")</f>
        <v>MCRO_27-CR-22-23317_Finding of Incompetency and Order_2023-02-16_20240429164130.pdf</v>
      </c>
      <c r="C2923" s="1" t="n">
        <v>9</v>
      </c>
      <c r="D2923" s="1" t="n">
        <v>3</v>
      </c>
      <c r="E2923" s="1" t="n">
        <v>3</v>
      </c>
      <c r="F2923" s="3" t="s">
        <v>27</v>
      </c>
      <c r="G2923" s="3" t="s">
        <v>11797</v>
      </c>
      <c r="H2923" s="1" t="s">
        <v>22</v>
      </c>
      <c r="I2923" s="1" t="n">
        <v>20240429164130</v>
      </c>
      <c r="J2923" s="3" t="s">
        <v>11798</v>
      </c>
      <c r="K2923" s="3" t="s">
        <v>11799</v>
      </c>
      <c r="L2923" s="3" t="s">
        <v>11800</v>
      </c>
      <c r="M2923" s="3" t="n">
        <v>967033</v>
      </c>
      <c r="N2923" s="3" t="s">
        <v>1024</v>
      </c>
      <c r="O2923" s="1" t="n">
        <v>950647</v>
      </c>
      <c r="P2923" s="1" t="n">
        <v>98.31</v>
      </c>
      <c r="Q2923" s="1" t="s">
        <v>20</v>
      </c>
      <c r="R2923" s="1" t="s">
        <v>27</v>
      </c>
      <c r="S2923" s="1" t="s">
        <v>28</v>
      </c>
      <c r="T2923" s="1" t="s">
        <v>29</v>
      </c>
    </row>
    <row r="2924" customFormat="false" ht="18.7" hidden="false" customHeight="true" outlineLevel="0" collapsed="false">
      <c r="A2924" s="1" t="n">
        <v>2923</v>
      </c>
      <c r="B2924" s="6" t="str">
        <f aca="false">HYPERLINK("https://mncourtfraud.com/file/MCRO_27-CR-22-23317_Notice of Remote Hearing with Instructions_2023-08-15_20240429164129.pdf","MCRO_27-CR-22-23317_Notice of Remote Hearing with Instructions_2023-08-15_20240429164129.pdf")</f>
        <v>MCRO_27-CR-22-23317_Notice of Remote Hearing with Instructions_2023-08-15_20240429164129.pdf</v>
      </c>
      <c r="C2924" s="1" t="n">
        <v>5</v>
      </c>
      <c r="D2924" s="1" t="n">
        <v>1</v>
      </c>
      <c r="E2924" s="1" t="n">
        <v>1</v>
      </c>
      <c r="F2924" s="3" t="s">
        <v>20</v>
      </c>
      <c r="G2924" s="3" t="s">
        <v>11801</v>
      </c>
      <c r="H2924" s="1" t="s">
        <v>22</v>
      </c>
      <c r="I2924" s="1" t="n">
        <v>20240429164129</v>
      </c>
      <c r="J2924" s="3" t="s">
        <v>11790</v>
      </c>
      <c r="K2924" s="3" t="s">
        <v>11791</v>
      </c>
      <c r="L2924" s="3" t="s">
        <v>11802</v>
      </c>
      <c r="M2924" s="3" t="n">
        <v>844659</v>
      </c>
      <c r="N2924" s="3" t="s">
        <v>3164</v>
      </c>
      <c r="O2924" s="1" t="n">
        <v>828273</v>
      </c>
      <c r="P2924" s="1" t="n">
        <v>98.06</v>
      </c>
      <c r="Q2924" s="1" t="s">
        <v>20</v>
      </c>
      <c r="R2924" s="1" t="s">
        <v>27</v>
      </c>
      <c r="S2924" s="1" t="s">
        <v>28</v>
      </c>
      <c r="T2924" s="1" t="s">
        <v>29</v>
      </c>
    </row>
    <row r="2925" customFormat="false" ht="18.7" hidden="false" customHeight="true" outlineLevel="0" collapsed="false">
      <c r="A2925" s="1" t="n">
        <v>2924</v>
      </c>
      <c r="B2925" s="6" t="str">
        <f aca="false">HYPERLINK("https://mncourtfraud.com/file/MCRO_27-CR-22-23317_Summons_2022-11-22_20240429164131.pdf","MCRO_27-CR-22-23317_Summons_2022-11-22_20240429164131.pdf")</f>
        <v>MCRO_27-CR-22-23317_Summons_2022-11-22_20240429164131.pdf</v>
      </c>
      <c r="C2925" s="1" t="n">
        <v>5</v>
      </c>
      <c r="D2925" s="1" t="n">
        <v>1</v>
      </c>
      <c r="E2925" s="1" t="n">
        <v>1</v>
      </c>
      <c r="F2925" s="3" t="s">
        <v>20</v>
      </c>
      <c r="G2925" s="3" t="s">
        <v>11803</v>
      </c>
      <c r="H2925" s="1" t="s">
        <v>22</v>
      </c>
      <c r="I2925" s="1" t="n">
        <v>20240429164131</v>
      </c>
      <c r="J2925" s="3" t="s">
        <v>11804</v>
      </c>
      <c r="K2925" s="3" t="s">
        <v>11805</v>
      </c>
      <c r="L2925" s="3" t="s">
        <v>11806</v>
      </c>
      <c r="M2925" s="3" t="n">
        <v>701175</v>
      </c>
      <c r="N2925" s="3" t="s">
        <v>2723</v>
      </c>
      <c r="O2925" s="1" t="n">
        <v>684789</v>
      </c>
      <c r="P2925" s="1" t="n">
        <v>97.66</v>
      </c>
      <c r="Q2925" s="1" t="s">
        <v>20</v>
      </c>
      <c r="R2925" s="1" t="s">
        <v>27</v>
      </c>
      <c r="S2925" s="1" t="s">
        <v>28</v>
      </c>
      <c r="T2925" s="1" t="s">
        <v>29</v>
      </c>
    </row>
    <row r="2926" customFormat="false" ht="18.7" hidden="false" customHeight="true" outlineLevel="0" collapsed="false">
      <c r="A2926" s="1" t="n">
        <v>2925</v>
      </c>
      <c r="B2926" s="6" t="str">
        <f aca="false">HYPERLINK("https://mncourtfraud.com/file/MCRO_27-CR-22-24045_Correspondence_2023-05-03_20240429164217.pdf","MCRO_27-CR-22-24045_Correspondence_2023-05-03_20240429164217.pdf")</f>
        <v>MCRO_27-CR-22-24045_Correspondence_2023-05-03_20240429164217.pdf</v>
      </c>
      <c r="C2926" s="1" t="n">
        <v>5</v>
      </c>
      <c r="D2926" s="1" t="n">
        <v>1</v>
      </c>
      <c r="E2926" s="1" t="n">
        <v>1</v>
      </c>
      <c r="F2926" s="3" t="s">
        <v>20</v>
      </c>
      <c r="G2926" s="3" t="s">
        <v>11807</v>
      </c>
      <c r="H2926" s="1" t="s">
        <v>22</v>
      </c>
      <c r="I2926" s="1" t="n">
        <v>20240429164217</v>
      </c>
      <c r="J2926" s="3" t="s">
        <v>11808</v>
      </c>
      <c r="K2926" s="3" t="s">
        <v>11809</v>
      </c>
      <c r="L2926" s="3" t="s">
        <v>11810</v>
      </c>
      <c r="M2926" s="3" t="n">
        <v>755524</v>
      </c>
      <c r="N2926" s="3" t="s">
        <v>2786</v>
      </c>
      <c r="O2926" s="1" t="n">
        <v>739138</v>
      </c>
      <c r="P2926" s="1" t="n">
        <v>97.83</v>
      </c>
      <c r="Q2926" s="1" t="s">
        <v>20</v>
      </c>
      <c r="R2926" s="1" t="s">
        <v>27</v>
      </c>
      <c r="S2926" s="1" t="s">
        <v>28</v>
      </c>
      <c r="T2926" s="1" t="s">
        <v>29</v>
      </c>
    </row>
    <row r="2927" customFormat="false" ht="18.7" hidden="false" customHeight="true" outlineLevel="0" collapsed="false">
      <c r="A2927" s="1" t="n">
        <v>2926</v>
      </c>
      <c r="B2927" s="6" t="str">
        <f aca="false">HYPERLINK("https://mncourtfraud.com/file/MCRO_27-CR-22-24045_Finding of Incompetency and Order_2023-05-02_20240429164219.pdf","MCRO_27-CR-22-24045_Finding of Incompetency and Order_2023-05-02_20240429164219.pdf")</f>
        <v>MCRO_27-CR-22-24045_Finding of Incompetency and Order_2023-05-02_20240429164219.pdf</v>
      </c>
      <c r="C2927" s="1" t="n">
        <v>9</v>
      </c>
      <c r="D2927" s="1" t="n">
        <v>3</v>
      </c>
      <c r="E2927" s="1" t="n">
        <v>3</v>
      </c>
      <c r="F2927" s="3" t="s">
        <v>27</v>
      </c>
      <c r="G2927" s="3" t="s">
        <v>11811</v>
      </c>
      <c r="H2927" s="1" t="s">
        <v>22</v>
      </c>
      <c r="I2927" s="1" t="n">
        <v>20240429164219</v>
      </c>
      <c r="J2927" s="3" t="s">
        <v>11812</v>
      </c>
      <c r="K2927" s="3" t="s">
        <v>11813</v>
      </c>
      <c r="L2927" s="3" t="s">
        <v>11814</v>
      </c>
      <c r="M2927" s="3" t="n">
        <v>951846</v>
      </c>
      <c r="N2927" s="3" t="s">
        <v>3264</v>
      </c>
      <c r="O2927" s="1" t="n">
        <v>935460</v>
      </c>
      <c r="P2927" s="1" t="n">
        <v>98.28</v>
      </c>
      <c r="Q2927" s="1" t="s">
        <v>20</v>
      </c>
      <c r="R2927" s="1" t="s">
        <v>27</v>
      </c>
      <c r="S2927" s="1" t="s">
        <v>28</v>
      </c>
      <c r="T2927" s="1" t="s">
        <v>29</v>
      </c>
    </row>
    <row r="2928" customFormat="false" ht="18.7" hidden="false" customHeight="true" outlineLevel="0" collapsed="false">
      <c r="A2928" s="1" t="n">
        <v>2927</v>
      </c>
      <c r="B2928" s="6" t="str">
        <f aca="false">HYPERLINK("https://mncourtfraud.com/file/MCRO_27-CR-22-24045_Law Enforcement Notice of Release and Appearance_2022-12-02_20240429164225.pdf","MCRO_27-CR-22-24045_Law Enforcement Notice of Release and Appearance_2022-12-02_20240429164225.pdf")</f>
        <v>MCRO_27-CR-22-24045_Law Enforcement Notice of Release and Appearance_2022-12-02_20240429164225.pdf</v>
      </c>
      <c r="C2928" s="1" t="n">
        <v>4</v>
      </c>
      <c r="D2928" s="1" t="n">
        <v>1</v>
      </c>
      <c r="E2928" s="1" t="n">
        <v>1</v>
      </c>
      <c r="F2928" s="3" t="s">
        <v>20</v>
      </c>
      <c r="G2928" s="3" t="s">
        <v>11815</v>
      </c>
      <c r="H2928" s="1" t="s">
        <v>22</v>
      </c>
      <c r="I2928" s="1" t="n">
        <v>20240429164225</v>
      </c>
      <c r="J2928" s="3" t="s">
        <v>11816</v>
      </c>
      <c r="K2928" s="3" t="s">
        <v>11817</v>
      </c>
      <c r="L2928" s="3" t="s">
        <v>11818</v>
      </c>
      <c r="M2928" s="3" t="n">
        <v>97806</v>
      </c>
      <c r="N2928" s="3" t="s">
        <v>435</v>
      </c>
      <c r="O2928" s="1" t="n">
        <v>81420</v>
      </c>
      <c r="P2928" s="1" t="n">
        <v>83.25</v>
      </c>
      <c r="Q2928" s="1" t="s">
        <v>20</v>
      </c>
      <c r="R2928" s="1" t="s">
        <v>27</v>
      </c>
      <c r="S2928" s="1" t="s">
        <v>28</v>
      </c>
      <c r="T2928" s="1" t="s">
        <v>29</v>
      </c>
    </row>
    <row r="2929" customFormat="false" ht="18.7" hidden="false" customHeight="true" outlineLevel="0" collapsed="false">
      <c r="A2929" s="1" t="n">
        <v>2928</v>
      </c>
      <c r="B2929" s="6" t="str">
        <f aca="false">HYPERLINK("https://mncourtfraud.com/file/MCRO_27-CR-22-24045_Notice of Hearing_2022-12-02_20240429164224.pdf","MCRO_27-CR-22-24045_Notice of Hearing_2022-12-02_20240429164224.pdf")</f>
        <v>MCRO_27-CR-22-24045_Notice of Hearing_2022-12-02_20240429164224.pdf</v>
      </c>
      <c r="C2929" s="1" t="n">
        <v>4</v>
      </c>
      <c r="D2929" s="1" t="n">
        <v>1</v>
      </c>
      <c r="E2929" s="1" t="n">
        <v>1</v>
      </c>
      <c r="F2929" s="3" t="s">
        <v>20</v>
      </c>
      <c r="G2929" s="3" t="s">
        <v>11819</v>
      </c>
      <c r="H2929" s="1" t="s">
        <v>22</v>
      </c>
      <c r="I2929" s="1" t="n">
        <v>20240429164224</v>
      </c>
      <c r="J2929" s="3" t="s">
        <v>11820</v>
      </c>
      <c r="K2929" s="3" t="s">
        <v>11821</v>
      </c>
      <c r="L2929" s="3" t="s">
        <v>11822</v>
      </c>
      <c r="M2929" s="3" t="n">
        <v>104411</v>
      </c>
      <c r="N2929" s="3" t="s">
        <v>435</v>
      </c>
      <c r="O2929" s="1" t="n">
        <v>88025</v>
      </c>
      <c r="P2929" s="1" t="n">
        <v>84.31</v>
      </c>
      <c r="Q2929" s="1" t="s">
        <v>20</v>
      </c>
      <c r="R2929" s="1" t="s">
        <v>27</v>
      </c>
      <c r="S2929" s="1" t="s">
        <v>28</v>
      </c>
      <c r="T2929" s="1" t="s">
        <v>29</v>
      </c>
    </row>
    <row r="2930" customFormat="false" ht="18.7" hidden="false" customHeight="true" outlineLevel="0" collapsed="false">
      <c r="A2930" s="1" t="n">
        <v>2929</v>
      </c>
      <c r="B2930" s="6" t="str">
        <f aca="false">HYPERLINK("https://mncourtfraud.com/file/MCRO_27-CR-22-24045_Notice of Hearing_2022-12-15_20240429164223.pdf","MCRO_27-CR-22-24045_Notice of Hearing_2022-12-15_20240429164223.pdf")</f>
        <v>MCRO_27-CR-22-24045_Notice of Hearing_2022-12-15_20240429164223.pdf</v>
      </c>
      <c r="C2930" s="1" t="n">
        <v>4</v>
      </c>
      <c r="D2930" s="1" t="n">
        <v>1</v>
      </c>
      <c r="E2930" s="1" t="n">
        <v>1</v>
      </c>
      <c r="F2930" s="3" t="s">
        <v>20</v>
      </c>
      <c r="G2930" s="3" t="s">
        <v>11823</v>
      </c>
      <c r="H2930" s="1" t="s">
        <v>22</v>
      </c>
      <c r="I2930" s="1" t="n">
        <v>20240429164223</v>
      </c>
      <c r="J2930" s="3" t="s">
        <v>11824</v>
      </c>
      <c r="K2930" s="3" t="s">
        <v>11825</v>
      </c>
      <c r="L2930" s="3" t="s">
        <v>11826</v>
      </c>
      <c r="M2930" s="3" t="n">
        <v>101605</v>
      </c>
      <c r="N2930" s="3" t="s">
        <v>435</v>
      </c>
      <c r="O2930" s="1" t="n">
        <v>85219</v>
      </c>
      <c r="P2930" s="1" t="n">
        <v>83.87</v>
      </c>
      <c r="Q2930" s="1" t="s">
        <v>20</v>
      </c>
      <c r="R2930" s="1" t="s">
        <v>27</v>
      </c>
      <c r="S2930" s="1" t="s">
        <v>28</v>
      </c>
      <c r="T2930" s="1" t="s">
        <v>29</v>
      </c>
    </row>
    <row r="2931" customFormat="false" ht="18.7" hidden="false" customHeight="true" outlineLevel="0" collapsed="false">
      <c r="A2931" s="1" t="n">
        <v>2930</v>
      </c>
      <c r="B2931" s="6" t="str">
        <f aca="false">HYPERLINK("https://mncourtfraud.com/file/MCRO_27-CR-22-24045_Order-Evaluation for Competency to Proceed (Rule 20.01)_2023-02-21_20240429164221.pdf","MCRO_27-CR-22-24045_Order-Evaluation for Competency to Proceed (Rule 20.01)_2023-02-21_20240429164221.pdf")</f>
        <v>MCRO_27-CR-22-24045_Order-Evaluation for Competency to Proceed (Rule 20.01)_2023-02-21_20240429164221.pdf</v>
      </c>
      <c r="C2931" s="1" t="n">
        <v>3</v>
      </c>
      <c r="D2931" s="1" t="n">
        <v>1</v>
      </c>
      <c r="E2931" s="1" t="n">
        <v>1</v>
      </c>
      <c r="F2931" s="3" t="s">
        <v>20</v>
      </c>
      <c r="G2931" s="3" t="s">
        <v>11827</v>
      </c>
      <c r="H2931" s="1" t="s">
        <v>22</v>
      </c>
      <c r="I2931" s="1" t="n">
        <v>20240429164221</v>
      </c>
      <c r="J2931" s="3" t="s">
        <v>11828</v>
      </c>
      <c r="K2931" s="3" t="s">
        <v>11829</v>
      </c>
      <c r="L2931" s="3" t="s">
        <v>8917</v>
      </c>
      <c r="M2931" s="3" t="n">
        <v>192381</v>
      </c>
      <c r="N2931" s="3" t="s">
        <v>1266</v>
      </c>
      <c r="O2931" s="1" t="n">
        <v>175995</v>
      </c>
      <c r="P2931" s="1" t="n">
        <v>91.48</v>
      </c>
      <c r="Q2931" s="1" t="s">
        <v>20</v>
      </c>
      <c r="R2931" s="1" t="s">
        <v>27</v>
      </c>
      <c r="S2931" s="1" t="s">
        <v>28</v>
      </c>
      <c r="T2931" s="1" t="s">
        <v>29</v>
      </c>
    </row>
    <row r="2932" customFormat="false" ht="18.7" hidden="false" customHeight="true" outlineLevel="0" collapsed="false">
      <c r="A2932" s="1" t="n">
        <v>2931</v>
      </c>
      <c r="B2932" s="6" t="str">
        <f aca="false">HYPERLINK("https://mncourtfraud.com/file/MCRO_27-CR-22-24045_Order-Evaluation for Competency to Proceed (Rule 20.01)_2023-03-28_20240429164220.pdf","MCRO_27-CR-22-24045_Order-Evaluation for Competency to Proceed (Rule 20.01)_2023-03-28_20240429164220.pdf")</f>
        <v>MCRO_27-CR-22-24045_Order-Evaluation for Competency to Proceed (Rule 20.01)_2023-03-28_20240429164220.pdf</v>
      </c>
      <c r="C2932" s="1" t="n">
        <v>6</v>
      </c>
      <c r="D2932" s="1" t="n">
        <v>2</v>
      </c>
      <c r="E2932" s="1" t="n">
        <v>2</v>
      </c>
      <c r="F2932" s="3" t="s">
        <v>27</v>
      </c>
      <c r="G2932" s="3" t="s">
        <v>11830</v>
      </c>
      <c r="H2932" s="1" t="s">
        <v>22</v>
      </c>
      <c r="I2932" s="1" t="n">
        <v>20240429164220</v>
      </c>
      <c r="J2932" s="3" t="s">
        <v>11812</v>
      </c>
      <c r="K2932" s="3" t="s">
        <v>11813</v>
      </c>
      <c r="L2932" s="3" t="s">
        <v>9146</v>
      </c>
      <c r="M2932" s="3" t="n">
        <v>888438</v>
      </c>
      <c r="N2932" s="3" t="s">
        <v>559</v>
      </c>
      <c r="O2932" s="1" t="n">
        <v>872052</v>
      </c>
      <c r="P2932" s="1" t="n">
        <v>98.16</v>
      </c>
      <c r="Q2932" s="1" t="s">
        <v>20</v>
      </c>
      <c r="R2932" s="1" t="s">
        <v>27</v>
      </c>
      <c r="S2932" s="1" t="s">
        <v>28</v>
      </c>
      <c r="T2932" s="1" t="s">
        <v>29</v>
      </c>
    </row>
    <row r="2933" customFormat="false" ht="18.7" hidden="false" customHeight="true" outlineLevel="0" collapsed="false">
      <c r="A2933" s="1" t="n">
        <v>2932</v>
      </c>
      <c r="B2933" s="6" t="str">
        <f aca="false">HYPERLINK("https://mncourtfraud.com/file/MCRO_27-CR-22-24045_Returned Mail_2022-12-27_20240429164222.pdf","MCRO_27-CR-22-24045_Returned Mail_2022-12-27_20240429164222.pdf")</f>
        <v>MCRO_27-CR-22-24045_Returned Mail_2022-12-27_20240429164222.pdf</v>
      </c>
      <c r="C2933" s="1" t="n">
        <v>4</v>
      </c>
      <c r="D2933" s="1" t="n">
        <v>1</v>
      </c>
      <c r="E2933" s="1" t="n">
        <v>1</v>
      </c>
      <c r="F2933" s="3" t="s">
        <v>20</v>
      </c>
      <c r="G2933" s="3" t="s">
        <v>11831</v>
      </c>
      <c r="H2933" s="1" t="s">
        <v>22</v>
      </c>
      <c r="I2933" s="1" t="n">
        <v>20240429164222</v>
      </c>
      <c r="J2933" s="3" t="s">
        <v>11832</v>
      </c>
      <c r="K2933" s="3" t="s">
        <v>11833</v>
      </c>
      <c r="L2933" s="3" t="s">
        <v>11834</v>
      </c>
      <c r="M2933" s="3" t="n">
        <v>277155</v>
      </c>
      <c r="N2933" s="3" t="s">
        <v>158</v>
      </c>
      <c r="O2933" s="1" t="n">
        <v>260769</v>
      </c>
      <c r="P2933" s="1" t="n">
        <v>94.09</v>
      </c>
      <c r="Q2933" s="1" t="s">
        <v>20</v>
      </c>
      <c r="R2933" s="1" t="s">
        <v>27</v>
      </c>
      <c r="S2933" s="1" t="s">
        <v>28</v>
      </c>
      <c r="T2933" s="1" t="s">
        <v>29</v>
      </c>
    </row>
    <row r="2934" customFormat="false" ht="18.7" hidden="false" customHeight="true" outlineLevel="0" collapsed="false">
      <c r="A2934" s="1" t="n">
        <v>2933</v>
      </c>
      <c r="B2934" s="6" t="str">
        <f aca="false">HYPERLINK("https://mncourtfraud.com/file/MCRO_27-CR-22-24357_Demand or Request for Discovery_2022-12-14_20240429164302.pdf","MCRO_27-CR-22-24357_Demand or Request for Discovery_2022-12-14_20240429164302.pdf")</f>
        <v>MCRO_27-CR-22-24357_Demand or Request for Discovery_2022-12-14_20240429164302.pdf</v>
      </c>
      <c r="C2934" s="1" t="n">
        <v>3</v>
      </c>
      <c r="D2934" s="1" t="n">
        <v>1</v>
      </c>
      <c r="E2934" s="1" t="n">
        <v>1</v>
      </c>
      <c r="F2934" s="3" t="s">
        <v>20</v>
      </c>
      <c r="G2934" s="3" t="s">
        <v>11835</v>
      </c>
      <c r="H2934" s="1" t="s">
        <v>22</v>
      </c>
      <c r="I2934" s="1" t="n">
        <v>20240429164302</v>
      </c>
      <c r="J2934" s="3" t="s">
        <v>11836</v>
      </c>
      <c r="K2934" s="3" t="s">
        <v>11837</v>
      </c>
      <c r="L2934" s="3" t="s">
        <v>11838</v>
      </c>
      <c r="M2934" s="3" t="n">
        <v>370496</v>
      </c>
      <c r="N2934" s="3" t="s">
        <v>9552</v>
      </c>
      <c r="O2934" s="1" t="n">
        <v>354110</v>
      </c>
      <c r="P2934" s="1" t="n">
        <v>95.58</v>
      </c>
      <c r="Q2934" s="1" t="s">
        <v>20</v>
      </c>
      <c r="R2934" s="1" t="s">
        <v>27</v>
      </c>
      <c r="S2934" s="1" t="s">
        <v>28</v>
      </c>
      <c r="T2934" s="1" t="s">
        <v>29</v>
      </c>
    </row>
    <row r="2935" customFormat="false" ht="18.7" hidden="false" customHeight="true" outlineLevel="0" collapsed="false">
      <c r="A2935" s="1" t="n">
        <v>2934</v>
      </c>
      <c r="B2935" s="6" t="str">
        <f aca="false">HYPERLINK("https://mncourtfraud.com/file/MCRO_27-CR-22-24357_Dismissal by Prosecuting Attorney_2023-05-01_20240429164301.pdf","MCRO_27-CR-22-24357_Dismissal by Prosecuting Attorney_2023-05-01_20240429164301.pdf")</f>
        <v>MCRO_27-CR-22-24357_Dismissal by Prosecuting Attorney_2023-05-01_20240429164301.pdf</v>
      </c>
      <c r="C2935" s="1" t="n">
        <v>4</v>
      </c>
      <c r="D2935" s="1" t="n">
        <v>1</v>
      </c>
      <c r="E2935" s="1" t="n">
        <v>1</v>
      </c>
      <c r="F2935" s="3" t="s">
        <v>20</v>
      </c>
      <c r="G2935" s="3" t="s">
        <v>11839</v>
      </c>
      <c r="H2935" s="1" t="s">
        <v>22</v>
      </c>
      <c r="I2935" s="1" t="n">
        <v>20240429164301</v>
      </c>
      <c r="J2935" s="3" t="s">
        <v>11840</v>
      </c>
      <c r="K2935" s="3" t="s">
        <v>11841</v>
      </c>
      <c r="L2935" s="3" t="s">
        <v>11842</v>
      </c>
      <c r="M2935" s="3" t="n">
        <v>425353</v>
      </c>
      <c r="N2935" s="3" t="s">
        <v>4614</v>
      </c>
      <c r="O2935" s="1" t="n">
        <v>408967</v>
      </c>
      <c r="P2935" s="1" t="n">
        <v>96.15</v>
      </c>
      <c r="Q2935" s="1" t="s">
        <v>20</v>
      </c>
      <c r="R2935" s="1" t="s">
        <v>27</v>
      </c>
      <c r="S2935" s="1" t="s">
        <v>28</v>
      </c>
      <c r="T2935" s="1" t="s">
        <v>29</v>
      </c>
    </row>
    <row r="2936" customFormat="false" ht="18.7" hidden="false" customHeight="true" outlineLevel="0" collapsed="false">
      <c r="A2936" s="1" t="n">
        <v>2935</v>
      </c>
      <c r="B2936" s="6" t="str">
        <f aca="false">HYPERLINK("https://mncourtfraud.com/file/MCRO_27-CR-22-24357_E-filed Comp-Warrant_2022-12-06_20240429164304.pdf","MCRO_27-CR-22-24357_E-filed Comp-Warrant_2022-12-06_20240429164304.pdf")</f>
        <v>MCRO_27-CR-22-24357_E-filed Comp-Warrant_2022-12-06_20240429164304.pdf</v>
      </c>
      <c r="C2936" s="1" t="n">
        <v>5</v>
      </c>
      <c r="D2936" s="1" t="n">
        <v>2</v>
      </c>
      <c r="E2936" s="1" t="n">
        <v>2</v>
      </c>
      <c r="F2936" s="3" t="s">
        <v>20</v>
      </c>
      <c r="G2936" s="3" t="s">
        <v>11843</v>
      </c>
      <c r="H2936" s="1" t="s">
        <v>22</v>
      </c>
      <c r="I2936" s="1" t="n">
        <v>20240429164304</v>
      </c>
      <c r="J2936" s="3" t="s">
        <v>11844</v>
      </c>
      <c r="K2936" s="3" t="s">
        <v>11845</v>
      </c>
      <c r="L2936" s="3" t="s">
        <v>11846</v>
      </c>
      <c r="M2936" s="3" t="n">
        <v>489490</v>
      </c>
      <c r="N2936" s="3" t="s">
        <v>7334</v>
      </c>
      <c r="O2936" s="1" t="n">
        <v>473104</v>
      </c>
      <c r="P2936" s="1" t="n">
        <v>96.65</v>
      </c>
      <c r="Q2936" s="1" t="s">
        <v>20</v>
      </c>
      <c r="R2936" s="1" t="s">
        <v>27</v>
      </c>
      <c r="S2936" s="1" t="s">
        <v>28</v>
      </c>
      <c r="T2936" s="1" t="s">
        <v>29</v>
      </c>
    </row>
    <row r="2937" customFormat="false" ht="18.7" hidden="false" customHeight="true" outlineLevel="0" collapsed="false">
      <c r="A2937" s="1" t="n">
        <v>2936</v>
      </c>
      <c r="B2937" s="6" t="str">
        <f aca="false">HYPERLINK("https://mncourtfraud.com/file/MCRO_27-CR-22-24357_Order-Evaluation for Competency to Proceed (Rule 20.01)_2022-12-09_20240429164303.pdf","MCRO_27-CR-22-24357_Order-Evaluation for Competency to Proceed (Rule 20.01)_2022-12-09_20240429164303.pdf")</f>
        <v>MCRO_27-CR-22-24357_Order-Evaluation for Competency to Proceed (Rule 20.01)_2022-12-09_20240429164303.pdf</v>
      </c>
      <c r="C2937" s="1" t="n">
        <v>4</v>
      </c>
      <c r="D2937" s="1" t="n">
        <v>1</v>
      </c>
      <c r="E2937" s="1" t="n">
        <v>1</v>
      </c>
      <c r="F2937" s="3" t="s">
        <v>20</v>
      </c>
      <c r="G2937" s="3" t="s">
        <v>11847</v>
      </c>
      <c r="H2937" s="1" t="s">
        <v>22</v>
      </c>
      <c r="I2937" s="1" t="n">
        <v>20240429164303</v>
      </c>
      <c r="J2937" s="3" t="s">
        <v>11848</v>
      </c>
      <c r="K2937" s="3" t="s">
        <v>11849</v>
      </c>
      <c r="L2937" s="3" t="s">
        <v>11850</v>
      </c>
      <c r="M2937" s="3" t="n">
        <v>139584</v>
      </c>
      <c r="N2937" s="3" t="s">
        <v>1159</v>
      </c>
      <c r="O2937" s="1" t="n">
        <v>123198</v>
      </c>
      <c r="P2937" s="1" t="n">
        <v>88.26</v>
      </c>
      <c r="Q2937" s="1" t="s">
        <v>20</v>
      </c>
      <c r="R2937" s="1" t="s">
        <v>27</v>
      </c>
      <c r="S2937" s="1" t="s">
        <v>28</v>
      </c>
      <c r="T2937" s="1" t="s">
        <v>29</v>
      </c>
    </row>
    <row r="2938" customFormat="false" ht="18.7" hidden="false" customHeight="true" outlineLevel="0" collapsed="false">
      <c r="A2938" s="1" t="n">
        <v>2937</v>
      </c>
      <c r="B2938" s="6" t="str">
        <f aca="false">HYPERLINK("https://mncourtfraud.com/file/MCRO_27-CR-22-24627_Amended Order_2024-02-01_20240429164345.pdf","MCRO_27-CR-22-24627_Amended Order_2024-02-01_20240429164345.pdf")</f>
        <v>MCRO_27-CR-22-24627_Amended Order_2024-02-01_20240429164345.pdf</v>
      </c>
      <c r="C2938" s="1" t="n">
        <v>6</v>
      </c>
      <c r="D2938" s="1" t="n">
        <v>3</v>
      </c>
      <c r="E2938" s="1" t="n">
        <v>3</v>
      </c>
      <c r="F2938" s="3" t="s">
        <v>27</v>
      </c>
      <c r="G2938" s="3" t="s">
        <v>11851</v>
      </c>
      <c r="H2938" s="1" t="s">
        <v>22</v>
      </c>
      <c r="I2938" s="1" t="n">
        <v>20240429164345</v>
      </c>
      <c r="J2938" s="3" t="s">
        <v>11852</v>
      </c>
      <c r="K2938" s="3" t="s">
        <v>11853</v>
      </c>
      <c r="L2938" s="3" t="s">
        <v>11854</v>
      </c>
      <c r="M2938" s="3" t="n">
        <v>299764</v>
      </c>
      <c r="N2938" s="3" t="s">
        <v>7781</v>
      </c>
      <c r="O2938" s="1" t="n">
        <v>283378</v>
      </c>
      <c r="P2938" s="1" t="n">
        <v>94.53</v>
      </c>
      <c r="Q2938" s="1" t="s">
        <v>20</v>
      </c>
      <c r="R2938" s="1" t="s">
        <v>27</v>
      </c>
      <c r="S2938" s="1" t="s">
        <v>28</v>
      </c>
      <c r="T2938" s="1" t="s">
        <v>29</v>
      </c>
    </row>
    <row r="2939" customFormat="false" ht="18.7" hidden="false" customHeight="true" outlineLevel="0" collapsed="false">
      <c r="A2939" s="1" t="n">
        <v>2938</v>
      </c>
      <c r="B2939" s="6" t="str">
        <f aca="false">HYPERLINK("https://mncourtfraud.com/file/MCRO_27-CR-22-24627_E-filed Comp-Order for Detention_2022-12-09_20240429164404.pdf","MCRO_27-CR-22-24627_E-filed Comp-Order for Detention_2022-12-09_20240429164404.pdf")</f>
        <v>MCRO_27-CR-22-24627_E-filed Comp-Order for Detention_2022-12-09_20240429164404.pdf</v>
      </c>
      <c r="C2939" s="1" t="n">
        <v>5</v>
      </c>
      <c r="D2939" s="1" t="n">
        <v>2</v>
      </c>
      <c r="E2939" s="1" t="n">
        <v>2</v>
      </c>
      <c r="F2939" s="3" t="s">
        <v>20</v>
      </c>
      <c r="G2939" s="3" t="s">
        <v>11855</v>
      </c>
      <c r="H2939" s="1" t="s">
        <v>22</v>
      </c>
      <c r="I2939" s="1" t="n">
        <v>20240429164404</v>
      </c>
      <c r="J2939" s="3" t="s">
        <v>11856</v>
      </c>
      <c r="K2939" s="3" t="s">
        <v>11857</v>
      </c>
      <c r="L2939" s="3" t="s">
        <v>11858</v>
      </c>
      <c r="M2939" s="3" t="n">
        <v>446242</v>
      </c>
      <c r="N2939" s="3" t="s">
        <v>10721</v>
      </c>
      <c r="O2939" s="1" t="n">
        <v>429856</v>
      </c>
      <c r="P2939" s="1" t="n">
        <v>96.33</v>
      </c>
      <c r="Q2939" s="1" t="s">
        <v>20</v>
      </c>
      <c r="R2939" s="1" t="s">
        <v>27</v>
      </c>
      <c r="S2939" s="1" t="s">
        <v>28</v>
      </c>
      <c r="T2939" s="1" t="s">
        <v>29</v>
      </c>
    </row>
    <row r="2940" customFormat="false" ht="18.7" hidden="false" customHeight="true" outlineLevel="0" collapsed="false">
      <c r="A2940" s="1" t="n">
        <v>2939</v>
      </c>
      <c r="B2940" s="6" t="str">
        <f aca="false">HYPERLINK("https://mncourtfraud.com/file/MCRO_27-CR-22-24627_Finding of Incompetency and Order_2023-03-08_20240429164355.pdf","MCRO_27-CR-22-24627_Finding of Incompetency and Order_2023-03-08_20240429164355.pdf")</f>
        <v>MCRO_27-CR-22-24627_Finding of Incompetency and Order_2023-03-08_20240429164355.pdf</v>
      </c>
      <c r="C2940" s="1" t="n">
        <v>8</v>
      </c>
      <c r="D2940" s="1" t="n">
        <v>2</v>
      </c>
      <c r="E2940" s="1" t="n">
        <v>2</v>
      </c>
      <c r="F2940" s="3" t="s">
        <v>27</v>
      </c>
      <c r="G2940" s="3" t="s">
        <v>11859</v>
      </c>
      <c r="H2940" s="1" t="s">
        <v>22</v>
      </c>
      <c r="I2940" s="1" t="n">
        <v>20240429164355</v>
      </c>
      <c r="J2940" s="3" t="s">
        <v>11860</v>
      </c>
      <c r="K2940" s="3" t="s">
        <v>11861</v>
      </c>
      <c r="L2940" s="3" t="s">
        <v>11862</v>
      </c>
      <c r="M2940" s="3" t="n">
        <v>995737</v>
      </c>
      <c r="N2940" s="3" t="s">
        <v>4099</v>
      </c>
      <c r="O2940" s="1" t="n">
        <v>979351</v>
      </c>
      <c r="P2940" s="1" t="n">
        <v>98.35</v>
      </c>
      <c r="Q2940" s="1" t="s">
        <v>20</v>
      </c>
      <c r="R2940" s="1" t="s">
        <v>27</v>
      </c>
      <c r="S2940" s="1" t="s">
        <v>28</v>
      </c>
      <c r="T2940" s="1" t="s">
        <v>29</v>
      </c>
    </row>
    <row r="2941" customFormat="false" ht="18.7" hidden="false" customHeight="true" outlineLevel="0" collapsed="false">
      <c r="A2941" s="1" t="n">
        <v>2940</v>
      </c>
      <c r="B2941" s="6" t="str">
        <f aca="false">HYPERLINK("https://mncourtfraud.com/file/MCRO_27-CR-22-24627_Notice of Hearing_2022-12-12_20240429164403.pdf","MCRO_27-CR-22-24627_Notice of Hearing_2022-12-12_20240429164403.pdf")</f>
        <v>MCRO_27-CR-22-24627_Notice of Hearing_2022-12-12_20240429164403.pdf</v>
      </c>
      <c r="C2941" s="1" t="n">
        <v>4</v>
      </c>
      <c r="D2941" s="1" t="n">
        <v>1</v>
      </c>
      <c r="E2941" s="1" t="n">
        <v>1</v>
      </c>
      <c r="F2941" s="3" t="s">
        <v>20</v>
      </c>
      <c r="G2941" s="3" t="s">
        <v>11863</v>
      </c>
      <c r="H2941" s="1" t="s">
        <v>22</v>
      </c>
      <c r="I2941" s="1" t="n">
        <v>20240429164403</v>
      </c>
      <c r="J2941" s="3" t="s">
        <v>11864</v>
      </c>
      <c r="K2941" s="3" t="s">
        <v>11865</v>
      </c>
      <c r="L2941" s="3" t="s">
        <v>11866</v>
      </c>
      <c r="M2941" s="3" t="n">
        <v>101711</v>
      </c>
      <c r="N2941" s="3" t="s">
        <v>435</v>
      </c>
      <c r="O2941" s="1" t="n">
        <v>85325</v>
      </c>
      <c r="P2941" s="1" t="n">
        <v>83.89</v>
      </c>
      <c r="Q2941" s="1" t="s">
        <v>20</v>
      </c>
      <c r="R2941" s="1" t="s">
        <v>27</v>
      </c>
      <c r="S2941" s="1" t="s">
        <v>28</v>
      </c>
      <c r="T2941" s="1" t="s">
        <v>29</v>
      </c>
    </row>
    <row r="2942" customFormat="false" ht="18.7" hidden="false" customHeight="true" outlineLevel="0" collapsed="false">
      <c r="A2942" s="1" t="n">
        <v>2941</v>
      </c>
      <c r="B2942" s="6" t="str">
        <f aca="false">HYPERLINK("https://mncourtfraud.com/file/MCRO_27-CR-22-24627_Notice of Hearing_2023-09-14_20240429164351.pdf","MCRO_27-CR-22-24627_Notice of Hearing_2023-09-14_20240429164351.pdf")</f>
        <v>MCRO_27-CR-22-24627_Notice of Hearing_2023-09-14_20240429164351.pdf</v>
      </c>
      <c r="C2942" s="1" t="n">
        <v>5</v>
      </c>
      <c r="D2942" s="1" t="n">
        <v>1</v>
      </c>
      <c r="E2942" s="1" t="n">
        <v>1</v>
      </c>
      <c r="F2942" s="3" t="s">
        <v>20</v>
      </c>
      <c r="G2942" s="3" t="s">
        <v>11867</v>
      </c>
      <c r="H2942" s="1" t="s">
        <v>22</v>
      </c>
      <c r="I2942" s="1" t="n">
        <v>20240429164351</v>
      </c>
      <c r="J2942" s="3" t="s">
        <v>11868</v>
      </c>
      <c r="K2942" s="3" t="s">
        <v>11869</v>
      </c>
      <c r="L2942" s="3" t="s">
        <v>11870</v>
      </c>
      <c r="M2942" s="3" t="n">
        <v>740182</v>
      </c>
      <c r="N2942" s="3" t="s">
        <v>2768</v>
      </c>
      <c r="O2942" s="1" t="n">
        <v>723796</v>
      </c>
      <c r="P2942" s="1" t="n">
        <v>97.79</v>
      </c>
      <c r="Q2942" s="1" t="s">
        <v>20</v>
      </c>
      <c r="R2942" s="1" t="s">
        <v>27</v>
      </c>
      <c r="S2942" s="1" t="s">
        <v>28</v>
      </c>
      <c r="T2942" s="1" t="s">
        <v>29</v>
      </c>
    </row>
    <row r="2943" customFormat="false" ht="18.7" hidden="false" customHeight="true" outlineLevel="0" collapsed="false">
      <c r="A2943" s="1" t="n">
        <v>2942</v>
      </c>
      <c r="B2943" s="6" t="str">
        <f aca="false">HYPERLINK("https://mncourtfraud.com/file/MCRO_27-CR-22-24627_Notice of Hearing_2023-11-29_20240429164348.pdf","MCRO_27-CR-22-24627_Notice of Hearing_2023-11-29_20240429164348.pdf")</f>
        <v>MCRO_27-CR-22-24627_Notice of Hearing_2023-11-29_20240429164348.pdf</v>
      </c>
      <c r="C2943" s="1" t="n">
        <v>5</v>
      </c>
      <c r="D2943" s="1" t="n">
        <v>1</v>
      </c>
      <c r="E2943" s="1" t="n">
        <v>1</v>
      </c>
      <c r="F2943" s="3" t="s">
        <v>20</v>
      </c>
      <c r="G2943" s="3" t="s">
        <v>11871</v>
      </c>
      <c r="H2943" s="1" t="s">
        <v>22</v>
      </c>
      <c r="I2943" s="1" t="n">
        <v>20240429164348</v>
      </c>
      <c r="J2943" s="3" t="s">
        <v>11872</v>
      </c>
      <c r="K2943" s="3" t="s">
        <v>11873</v>
      </c>
      <c r="L2943" s="3" t="s">
        <v>11874</v>
      </c>
      <c r="M2943" s="3" t="n">
        <v>739796</v>
      </c>
      <c r="N2943" s="3" t="s">
        <v>2768</v>
      </c>
      <c r="O2943" s="1" t="n">
        <v>723410</v>
      </c>
      <c r="P2943" s="1" t="n">
        <v>97.79</v>
      </c>
      <c r="Q2943" s="1" t="s">
        <v>20</v>
      </c>
      <c r="R2943" s="1" t="s">
        <v>27</v>
      </c>
      <c r="S2943" s="1" t="s">
        <v>28</v>
      </c>
      <c r="T2943" s="1" t="s">
        <v>29</v>
      </c>
    </row>
    <row r="2944" customFormat="false" ht="18.7" hidden="false" customHeight="true" outlineLevel="0" collapsed="false">
      <c r="A2944" s="1" t="n">
        <v>2943</v>
      </c>
      <c r="B2944" s="6" t="str">
        <f aca="false">HYPERLINK("https://mncourtfraud.com/file/MCRO_27-CR-22-24627_Notice of Hearing_2024-02-01_20240429164346.pdf","MCRO_27-CR-22-24627_Notice of Hearing_2024-02-01_20240429164346.pdf")</f>
        <v>MCRO_27-CR-22-24627_Notice of Hearing_2024-02-01_20240429164346.pdf</v>
      </c>
      <c r="C2944" s="1" t="n">
        <v>4</v>
      </c>
      <c r="D2944" s="1" t="n">
        <v>1</v>
      </c>
      <c r="E2944" s="1" t="n">
        <v>1</v>
      </c>
      <c r="F2944" s="3" t="s">
        <v>20</v>
      </c>
      <c r="G2944" s="3" t="s">
        <v>11875</v>
      </c>
      <c r="H2944" s="1" t="s">
        <v>22</v>
      </c>
      <c r="I2944" s="1" t="n">
        <v>20240429164346</v>
      </c>
      <c r="J2944" s="3" t="s">
        <v>11876</v>
      </c>
      <c r="K2944" s="3" t="s">
        <v>11877</v>
      </c>
      <c r="L2944" s="3" t="s">
        <v>11878</v>
      </c>
      <c r="M2944" s="3" t="n">
        <v>723519</v>
      </c>
      <c r="N2944" s="3" t="s">
        <v>84</v>
      </c>
      <c r="O2944" s="1" t="n">
        <v>707133</v>
      </c>
      <c r="P2944" s="1" t="n">
        <v>97.74</v>
      </c>
      <c r="Q2944" s="1" t="s">
        <v>20</v>
      </c>
      <c r="R2944" s="1" t="s">
        <v>27</v>
      </c>
      <c r="S2944" s="1" t="s">
        <v>28</v>
      </c>
      <c r="T2944" s="1" t="s">
        <v>29</v>
      </c>
    </row>
    <row r="2945" customFormat="false" ht="18.7" hidden="false" customHeight="true" outlineLevel="0" collapsed="false">
      <c r="A2945" s="1" t="n">
        <v>2944</v>
      </c>
      <c r="B2945" s="6" t="str">
        <f aca="false">HYPERLINK("https://mncourtfraud.com/file/MCRO_27-CR-22-24627_Notice of Remote Hearing with Instructions_2023-03-24_20240429164354.pdf","MCRO_27-CR-22-24627_Notice of Remote Hearing with Instructions_2023-03-24_20240429164354.pdf")</f>
        <v>MCRO_27-CR-22-24627_Notice of Remote Hearing with Instructions_2023-03-24_20240429164354.pdf</v>
      </c>
      <c r="C2945" s="1" t="n">
        <v>4</v>
      </c>
      <c r="D2945" s="1" t="n">
        <v>1</v>
      </c>
      <c r="E2945" s="1" t="n">
        <v>1</v>
      </c>
      <c r="F2945" s="3" t="s">
        <v>20</v>
      </c>
      <c r="G2945" s="3" t="s">
        <v>11879</v>
      </c>
      <c r="H2945" s="1" t="s">
        <v>22</v>
      </c>
      <c r="I2945" s="1" t="n">
        <v>20240429164354</v>
      </c>
      <c r="J2945" s="3" t="s">
        <v>11880</v>
      </c>
      <c r="K2945" s="3" t="s">
        <v>11881</v>
      </c>
      <c r="L2945" s="3" t="s">
        <v>11882</v>
      </c>
      <c r="M2945" s="3" t="n">
        <v>256077</v>
      </c>
      <c r="N2945" s="3" t="s">
        <v>8498</v>
      </c>
      <c r="O2945" s="1" t="n">
        <v>239691</v>
      </c>
      <c r="P2945" s="1" t="n">
        <v>93.6</v>
      </c>
      <c r="Q2945" s="1" t="s">
        <v>20</v>
      </c>
      <c r="R2945" s="1" t="s">
        <v>27</v>
      </c>
      <c r="S2945" s="1" t="s">
        <v>28</v>
      </c>
      <c r="T2945" s="1" t="s">
        <v>29</v>
      </c>
    </row>
    <row r="2946" customFormat="false" ht="18.7" hidden="false" customHeight="true" outlineLevel="0" collapsed="false">
      <c r="A2946" s="1" t="n">
        <v>2945</v>
      </c>
      <c r="B2946" s="6" t="str">
        <f aca="false">HYPERLINK("https://mncourtfraud.com/file/MCRO_27-CR-22-24627_Notice of Remote Hearing with Instructions_2023-09-05_20240429164352.pdf","MCRO_27-CR-22-24627_Notice of Remote Hearing with Instructions_2023-09-05_20240429164352.pdf")</f>
        <v>MCRO_27-CR-22-24627_Notice of Remote Hearing with Instructions_2023-09-05_20240429164352.pdf</v>
      </c>
      <c r="C2946" s="1" t="n">
        <v>6</v>
      </c>
      <c r="D2946" s="1" t="n">
        <v>1</v>
      </c>
      <c r="E2946" s="1" t="n">
        <v>1</v>
      </c>
      <c r="F2946" s="3" t="s">
        <v>20</v>
      </c>
      <c r="G2946" s="3" t="s">
        <v>11883</v>
      </c>
      <c r="H2946" s="1" t="s">
        <v>22</v>
      </c>
      <c r="I2946" s="1" t="n">
        <v>20240429164352</v>
      </c>
      <c r="J2946" s="3" t="s">
        <v>11884</v>
      </c>
      <c r="K2946" s="3" t="s">
        <v>11885</v>
      </c>
      <c r="L2946" s="3" t="s">
        <v>11886</v>
      </c>
      <c r="M2946" s="3" t="n">
        <v>957522</v>
      </c>
      <c r="N2946" s="3" t="s">
        <v>1690</v>
      </c>
      <c r="O2946" s="1" t="n">
        <v>941136</v>
      </c>
      <c r="P2946" s="1" t="n">
        <v>98.29</v>
      </c>
      <c r="Q2946" s="1" t="s">
        <v>20</v>
      </c>
      <c r="R2946" s="1" t="s">
        <v>27</v>
      </c>
      <c r="S2946" s="1" t="s">
        <v>28</v>
      </c>
      <c r="T2946" s="1" t="s">
        <v>29</v>
      </c>
    </row>
    <row r="2947" customFormat="false" ht="18.7" hidden="false" customHeight="true" outlineLevel="0" collapsed="false">
      <c r="A2947" s="1" t="n">
        <v>2946</v>
      </c>
      <c r="B2947" s="6" t="str">
        <f aca="false">HYPERLINK("https://mncourtfraud.com/file/MCRO_27-CR-22-24627_Order-Eval for Mental Illness or Cognitive Impairment 20.02_2024-02-07_20240429164344.pdf","MCRO_27-CR-22-24627_Order-Eval for Mental Illness or Cognitive Impairment 20.02_2024-02-07_20240429164344.pdf")</f>
        <v>MCRO_27-CR-22-24627_Order-Eval for Mental Illness or Cognitive Impairment 20.02_2024-02-07_20240429164344.pdf</v>
      </c>
      <c r="C2947" s="1" t="n">
        <v>7</v>
      </c>
      <c r="D2947" s="1" t="n">
        <v>17</v>
      </c>
      <c r="E2947" s="1" t="n">
        <v>2</v>
      </c>
      <c r="F2947" s="3" t="s">
        <v>27</v>
      </c>
      <c r="G2947" s="3" t="s">
        <v>11887</v>
      </c>
      <c r="H2947" s="1" t="s">
        <v>22</v>
      </c>
      <c r="I2947" s="1" t="n">
        <v>20240429164344</v>
      </c>
      <c r="J2947" s="3" t="s">
        <v>11888</v>
      </c>
      <c r="K2947" s="3" t="s">
        <v>11889</v>
      </c>
      <c r="L2947" s="3" t="s">
        <v>11890</v>
      </c>
      <c r="M2947" s="3" t="n">
        <v>809495</v>
      </c>
      <c r="N2947" s="3" t="s">
        <v>4563</v>
      </c>
      <c r="O2947" s="1" t="n">
        <v>793109</v>
      </c>
      <c r="P2947" s="1" t="n">
        <v>97.98</v>
      </c>
      <c r="Q2947" s="1" t="s">
        <v>20</v>
      </c>
      <c r="R2947" s="1" t="s">
        <v>27</v>
      </c>
      <c r="S2947" s="1" t="s">
        <v>28</v>
      </c>
      <c r="T2947" s="1" t="s">
        <v>29</v>
      </c>
    </row>
    <row r="2948" customFormat="false" ht="18.7" hidden="false" customHeight="true" outlineLevel="0" collapsed="false">
      <c r="A2948" s="1" t="n">
        <v>2947</v>
      </c>
      <c r="B2948" s="6" t="str">
        <f aca="false">HYPERLINK("https://mncourtfraud.com/file/MCRO_27-CR-22-24627_Order-Evaluation for Competency to Proceed (Rule 20.01)_2022-12-30_20240429164400.pdf","MCRO_27-CR-22-24627_Order-Evaluation for Competency to Proceed (Rule 20.01)_2022-12-30_20240429164400.pdf")</f>
        <v>MCRO_27-CR-22-24627_Order-Evaluation for Competency to Proceed (Rule 20.01)_2022-12-30_20240429164400.pdf</v>
      </c>
      <c r="C2948" s="1" t="n">
        <v>7</v>
      </c>
      <c r="D2948" s="1" t="n">
        <v>2</v>
      </c>
      <c r="E2948" s="1" t="n">
        <v>2</v>
      </c>
      <c r="F2948" s="3" t="s">
        <v>27</v>
      </c>
      <c r="G2948" s="3" t="s">
        <v>11891</v>
      </c>
      <c r="H2948" s="1" t="s">
        <v>22</v>
      </c>
      <c r="I2948" s="1" t="n">
        <v>20240429164400</v>
      </c>
      <c r="J2948" s="3" t="s">
        <v>11892</v>
      </c>
      <c r="K2948" s="3" t="s">
        <v>11893</v>
      </c>
      <c r="L2948" s="3" t="s">
        <v>11894</v>
      </c>
      <c r="M2948" s="3" t="n">
        <v>971779</v>
      </c>
      <c r="N2948" s="3" t="s">
        <v>5029</v>
      </c>
      <c r="O2948" s="1" t="n">
        <v>955393</v>
      </c>
      <c r="P2948" s="1" t="n">
        <v>98.31</v>
      </c>
      <c r="Q2948" s="1" t="s">
        <v>20</v>
      </c>
      <c r="R2948" s="1" t="s">
        <v>27</v>
      </c>
      <c r="S2948" s="1" t="s">
        <v>28</v>
      </c>
      <c r="T2948" s="1" t="s">
        <v>29</v>
      </c>
    </row>
    <row r="2949" customFormat="false" ht="18.7" hidden="false" customHeight="true" outlineLevel="0" collapsed="false">
      <c r="A2949" s="1" t="n">
        <v>2948</v>
      </c>
      <c r="B2949" s="6" t="str">
        <f aca="false">HYPERLINK("https://mncourtfraud.com/file/MCRO_27-CR-22-24627_Order-Evaluation for Competency to Proceed (Rule 20.01)_2023-06-28_20240429164353.pdf","MCRO_27-CR-22-24627_Order-Evaluation for Competency to Proceed (Rule 20.01)_2023-06-28_20240429164353.pdf")</f>
        <v>MCRO_27-CR-22-24627_Order-Evaluation for Competency to Proceed (Rule 20.01)_2023-06-28_20240429164353.pdf</v>
      </c>
      <c r="C2949" s="1" t="n">
        <v>6</v>
      </c>
      <c r="D2949" s="1" t="n">
        <v>2</v>
      </c>
      <c r="E2949" s="1" t="n">
        <v>2</v>
      </c>
      <c r="F2949" s="3" t="s">
        <v>27</v>
      </c>
      <c r="G2949" s="3" t="s">
        <v>11895</v>
      </c>
      <c r="H2949" s="1" t="s">
        <v>22</v>
      </c>
      <c r="I2949" s="1" t="n">
        <v>20240429164353</v>
      </c>
      <c r="J2949" s="3" t="s">
        <v>11896</v>
      </c>
      <c r="K2949" s="3" t="s">
        <v>11897</v>
      </c>
      <c r="L2949" s="3" t="s">
        <v>7853</v>
      </c>
      <c r="M2949" s="3" t="n">
        <v>888809</v>
      </c>
      <c r="N2949" s="3" t="s">
        <v>810</v>
      </c>
      <c r="O2949" s="1" t="n">
        <v>872423</v>
      </c>
      <c r="P2949" s="1" t="n">
        <v>98.16</v>
      </c>
      <c r="Q2949" s="1" t="s">
        <v>20</v>
      </c>
      <c r="R2949" s="1" t="s">
        <v>27</v>
      </c>
      <c r="S2949" s="1" t="s">
        <v>28</v>
      </c>
      <c r="T2949" s="1" t="s">
        <v>29</v>
      </c>
    </row>
    <row r="2950" customFormat="false" ht="18.7" hidden="false" customHeight="true" outlineLevel="0" collapsed="false">
      <c r="A2950" s="1" t="n">
        <v>2949</v>
      </c>
      <c r="B2950" s="6" t="str">
        <f aca="false">HYPERLINK("https://mncourtfraud.com/file/MCRO_27-CR-22-24627_Order for Conditional Release_2022-12-12_20240429164402.pdf","MCRO_27-CR-22-24627_Order for Conditional Release_2022-12-12_20240429164402.pdf")</f>
        <v>MCRO_27-CR-22-24627_Order for Conditional Release_2022-12-12_20240429164402.pdf</v>
      </c>
      <c r="C2950" s="1" t="n">
        <v>4</v>
      </c>
      <c r="D2950" s="1" t="n">
        <v>1</v>
      </c>
      <c r="E2950" s="1" t="n">
        <v>1</v>
      </c>
      <c r="F2950" s="3" t="s">
        <v>20</v>
      </c>
      <c r="G2950" s="3" t="s">
        <v>11898</v>
      </c>
      <c r="H2950" s="1" t="s">
        <v>22</v>
      </c>
      <c r="I2950" s="1" t="n">
        <v>20240429164402</v>
      </c>
      <c r="J2950" s="3" t="s">
        <v>11899</v>
      </c>
      <c r="K2950" s="3" t="s">
        <v>11900</v>
      </c>
      <c r="L2950" s="3" t="s">
        <v>11901</v>
      </c>
      <c r="M2950" s="3" t="n">
        <v>125654</v>
      </c>
      <c r="N2950" s="3" t="s">
        <v>435</v>
      </c>
      <c r="O2950" s="1" t="n">
        <v>109268</v>
      </c>
      <c r="P2950" s="1" t="n">
        <v>86.96</v>
      </c>
      <c r="Q2950" s="1" t="s">
        <v>20</v>
      </c>
      <c r="R2950" s="1" t="s">
        <v>27</v>
      </c>
      <c r="S2950" s="1" t="s">
        <v>28</v>
      </c>
      <c r="T2950" s="1" t="s">
        <v>29</v>
      </c>
    </row>
    <row r="2951" customFormat="false" ht="18.7" hidden="false" customHeight="true" outlineLevel="0" collapsed="false">
      <c r="A2951" s="1" t="n">
        <v>2950</v>
      </c>
      <c r="B2951" s="6" t="str">
        <f aca="false">HYPERLINK("https://mncourtfraud.com/file/MCRO_27-CR-22-24627_Order Revoking Interim Conditions of Release_2023-01-03_20240429164357.pdf","MCRO_27-CR-22-24627_Order Revoking Interim Conditions of Release_2023-01-03_20240429164357.pdf")</f>
        <v>MCRO_27-CR-22-24627_Order Revoking Interim Conditions of Release_2023-01-03_20240429164357.pdf</v>
      </c>
      <c r="C2951" s="1" t="n">
        <v>5</v>
      </c>
      <c r="D2951" s="1" t="n">
        <v>4</v>
      </c>
      <c r="E2951" s="1" t="n">
        <v>4</v>
      </c>
      <c r="F2951" s="3" t="s">
        <v>20</v>
      </c>
      <c r="G2951" s="3" t="s">
        <v>11902</v>
      </c>
      <c r="H2951" s="1" t="s">
        <v>22</v>
      </c>
      <c r="I2951" s="1" t="n">
        <v>20240429164357</v>
      </c>
      <c r="J2951" s="3" t="s">
        <v>11903</v>
      </c>
      <c r="K2951" s="3" t="s">
        <v>11904</v>
      </c>
      <c r="L2951" s="3" t="s">
        <v>11905</v>
      </c>
      <c r="M2951" s="3" t="n">
        <v>374016</v>
      </c>
      <c r="N2951" s="3" t="s">
        <v>3920</v>
      </c>
      <c r="O2951" s="1" t="n">
        <v>357630</v>
      </c>
      <c r="P2951" s="1" t="n">
        <v>95.62</v>
      </c>
      <c r="Q2951" s="1" t="s">
        <v>20</v>
      </c>
      <c r="R2951" s="1" t="s">
        <v>27</v>
      </c>
      <c r="S2951" s="1" t="s">
        <v>28</v>
      </c>
      <c r="T2951" s="1" t="s">
        <v>29</v>
      </c>
    </row>
    <row r="2952" customFormat="false" ht="18.7" hidden="false" customHeight="true" outlineLevel="0" collapsed="false">
      <c r="A2952" s="1" t="n">
        <v>2951</v>
      </c>
      <c r="B2952" s="6" t="str">
        <f aca="false">HYPERLINK("https://mncourtfraud.com/file/MCRO_27-CR-22-24627_Other Document_2023-01-10_20240429164356.pdf","MCRO_27-CR-22-24627_Other Document_2023-01-10_20240429164356.pdf")</f>
        <v>MCRO_27-CR-22-24627_Other Document_2023-01-10_20240429164356.pdf</v>
      </c>
      <c r="C2952" s="1" t="n">
        <v>4</v>
      </c>
      <c r="D2952" s="1" t="n">
        <v>1</v>
      </c>
      <c r="E2952" s="1" t="n">
        <v>1</v>
      </c>
      <c r="F2952" s="3" t="s">
        <v>20</v>
      </c>
      <c r="G2952" s="3" t="s">
        <v>11906</v>
      </c>
      <c r="H2952" s="1" t="s">
        <v>22</v>
      </c>
      <c r="I2952" s="1" t="n">
        <v>20240429164356</v>
      </c>
      <c r="J2952" s="3" t="s">
        <v>11907</v>
      </c>
      <c r="K2952" s="3" t="s">
        <v>11908</v>
      </c>
      <c r="L2952" s="3" t="s">
        <v>11909</v>
      </c>
      <c r="M2952" s="3" t="n">
        <v>474455</v>
      </c>
      <c r="N2952" s="3" t="s">
        <v>158</v>
      </c>
      <c r="O2952" s="1" t="n">
        <v>458069</v>
      </c>
      <c r="P2952" s="1" t="n">
        <v>96.55</v>
      </c>
      <c r="Q2952" s="1" t="s">
        <v>20</v>
      </c>
      <c r="R2952" s="1" t="s">
        <v>27</v>
      </c>
      <c r="S2952" s="1" t="s">
        <v>28</v>
      </c>
      <c r="T2952" s="1" t="s">
        <v>29</v>
      </c>
    </row>
    <row r="2953" customFormat="false" ht="18.7" hidden="false" customHeight="true" outlineLevel="0" collapsed="false">
      <c r="A2953" s="1" t="n">
        <v>2952</v>
      </c>
      <c r="B2953" s="6" t="str">
        <f aca="false">HYPERLINK("https://mncourtfraud.com/file/MCRO_27-CR-22-24627_Proposed Order or Document_2023-01-03_20240429164358.pdf","MCRO_27-CR-22-24627_Proposed Order or Document_2023-01-03_20240429164358.pdf")</f>
        <v>MCRO_27-CR-22-24627_Proposed Order or Document_2023-01-03_20240429164358.pdf</v>
      </c>
      <c r="C2953" s="1" t="n">
        <v>4</v>
      </c>
      <c r="D2953" s="1" t="n">
        <v>1</v>
      </c>
      <c r="E2953" s="1" t="n">
        <v>1</v>
      </c>
      <c r="F2953" s="3" t="s">
        <v>20</v>
      </c>
      <c r="G2953" s="3" t="s">
        <v>11910</v>
      </c>
      <c r="H2953" s="1" t="s">
        <v>22</v>
      </c>
      <c r="I2953" s="1" t="n">
        <v>20240429164358</v>
      </c>
      <c r="J2953" s="3" t="s">
        <v>11911</v>
      </c>
      <c r="K2953" s="3" t="s">
        <v>11912</v>
      </c>
      <c r="L2953" s="3" t="s">
        <v>11913</v>
      </c>
      <c r="M2953" s="3" t="n">
        <v>216057</v>
      </c>
      <c r="N2953" s="3" t="s">
        <v>251</v>
      </c>
      <c r="O2953" s="1" t="n">
        <v>199671</v>
      </c>
      <c r="P2953" s="1" t="n">
        <v>92.42</v>
      </c>
      <c r="Q2953" s="1" t="s">
        <v>20</v>
      </c>
      <c r="R2953" s="1" t="s">
        <v>27</v>
      </c>
      <c r="S2953" s="1" t="s">
        <v>28</v>
      </c>
      <c r="T2953" s="1" t="s">
        <v>29</v>
      </c>
    </row>
    <row r="2954" customFormat="false" ht="18.7" hidden="false" customHeight="true" outlineLevel="0" collapsed="false">
      <c r="A2954" s="1" t="n">
        <v>2953</v>
      </c>
      <c r="B2954" s="6" t="str">
        <f aca="false">HYPERLINK("https://mncourtfraud.com/file/MCRO_27-CR-22-24627_Request for Disclosure_2022-12-14_20240429164401.pdf","MCRO_27-CR-22-24627_Request for Disclosure_2022-12-14_20240429164401.pdf")</f>
        <v>MCRO_27-CR-22-24627_Request for Disclosure_2022-12-14_20240429164401.pdf</v>
      </c>
      <c r="C2954" s="1" t="n">
        <v>3</v>
      </c>
      <c r="D2954" s="1" t="n">
        <v>1</v>
      </c>
      <c r="E2954" s="1" t="n">
        <v>1</v>
      </c>
      <c r="F2954" s="3" t="s">
        <v>20</v>
      </c>
      <c r="G2954" s="3" t="s">
        <v>11914</v>
      </c>
      <c r="H2954" s="1" t="s">
        <v>22</v>
      </c>
      <c r="I2954" s="1" t="n">
        <v>20240429164401</v>
      </c>
      <c r="J2954" s="3" t="s">
        <v>11899</v>
      </c>
      <c r="K2954" s="3" t="s">
        <v>11900</v>
      </c>
      <c r="L2954" s="3" t="s">
        <v>11915</v>
      </c>
      <c r="M2954" s="3" t="n">
        <v>371084</v>
      </c>
      <c r="N2954" s="3" t="s">
        <v>9552</v>
      </c>
      <c r="O2954" s="1" t="n">
        <v>354698</v>
      </c>
      <c r="P2954" s="1" t="n">
        <v>95.58</v>
      </c>
      <c r="Q2954" s="1" t="s">
        <v>20</v>
      </c>
      <c r="R2954" s="1" t="s">
        <v>27</v>
      </c>
      <c r="S2954" s="1" t="s">
        <v>28</v>
      </c>
      <c r="T2954" s="1" t="s">
        <v>29</v>
      </c>
    </row>
    <row r="2955" customFormat="false" ht="18.7" hidden="false" customHeight="true" outlineLevel="0" collapsed="false">
      <c r="A2955" s="1" t="n">
        <v>2954</v>
      </c>
      <c r="B2955" s="6" t="str">
        <f aca="false">HYPERLINK("https://mncourtfraud.com/file/MCRO_27-CR-22-24627_Returned Mail_2023-09-19_20240429164350.pdf","MCRO_27-CR-22-24627_Returned Mail_2023-09-19_20240429164350.pdf")</f>
        <v>MCRO_27-CR-22-24627_Returned Mail_2023-09-19_20240429164350.pdf</v>
      </c>
      <c r="C2955" s="1" t="n">
        <v>4</v>
      </c>
      <c r="D2955" s="1" t="n">
        <v>1</v>
      </c>
      <c r="E2955" s="1" t="n">
        <v>1</v>
      </c>
      <c r="F2955" s="3" t="s">
        <v>20</v>
      </c>
      <c r="G2955" s="3" t="s">
        <v>11916</v>
      </c>
      <c r="H2955" s="1" t="s">
        <v>22</v>
      </c>
      <c r="I2955" s="1" t="n">
        <v>20240429164350</v>
      </c>
      <c r="J2955" s="3" t="s">
        <v>11917</v>
      </c>
      <c r="K2955" s="3" t="s">
        <v>11918</v>
      </c>
      <c r="L2955" s="3" t="s">
        <v>11919</v>
      </c>
      <c r="M2955" s="3" t="n">
        <v>665395</v>
      </c>
      <c r="N2955" s="3" t="s">
        <v>1128</v>
      </c>
      <c r="O2955" s="1" t="n">
        <v>649009</v>
      </c>
      <c r="P2955" s="1" t="n">
        <v>97.54</v>
      </c>
      <c r="Q2955" s="1" t="s">
        <v>20</v>
      </c>
      <c r="R2955" s="1" t="s">
        <v>27</v>
      </c>
      <c r="S2955" s="1" t="s">
        <v>28</v>
      </c>
      <c r="T2955" s="1" t="s">
        <v>29</v>
      </c>
    </row>
    <row r="2956" customFormat="false" ht="18.7" hidden="false" customHeight="true" outlineLevel="0" collapsed="false">
      <c r="A2956" s="1" t="n">
        <v>2955</v>
      </c>
      <c r="B2956" s="6" t="str">
        <f aca="false">HYPERLINK("https://mncourtfraud.com/file/MCRO_27-CR-22-24627_Returned Mail_2023-09-25_20240429164349.pdf","MCRO_27-CR-22-24627_Returned Mail_2023-09-25_20240429164349.pdf")</f>
        <v>MCRO_27-CR-22-24627_Returned Mail_2023-09-25_20240429164349.pdf</v>
      </c>
      <c r="C2956" s="1" t="n">
        <v>4</v>
      </c>
      <c r="D2956" s="1" t="n">
        <v>1</v>
      </c>
      <c r="E2956" s="1" t="n">
        <v>1</v>
      </c>
      <c r="F2956" s="3" t="s">
        <v>20</v>
      </c>
      <c r="G2956" s="3" t="s">
        <v>11920</v>
      </c>
      <c r="H2956" s="1" t="s">
        <v>22</v>
      </c>
      <c r="I2956" s="1" t="n">
        <v>20240429164349</v>
      </c>
      <c r="J2956" s="3" t="s">
        <v>11921</v>
      </c>
      <c r="K2956" s="3" t="s">
        <v>11922</v>
      </c>
      <c r="L2956" s="3" t="s">
        <v>11923</v>
      </c>
      <c r="M2956" s="3" t="n">
        <v>237206</v>
      </c>
      <c r="N2956" s="3" t="s">
        <v>158</v>
      </c>
      <c r="O2956" s="1" t="n">
        <v>220820</v>
      </c>
      <c r="P2956" s="1" t="n">
        <v>93.09</v>
      </c>
      <c r="Q2956" s="1" t="s">
        <v>20</v>
      </c>
      <c r="R2956" s="1" t="s">
        <v>27</v>
      </c>
      <c r="S2956" s="1" t="s">
        <v>28</v>
      </c>
      <c r="T2956" s="1" t="s">
        <v>29</v>
      </c>
    </row>
    <row r="2957" customFormat="false" ht="18.7" hidden="false" customHeight="true" outlineLevel="0" collapsed="false">
      <c r="A2957" s="1" t="n">
        <v>2956</v>
      </c>
      <c r="B2957" s="6" t="str">
        <f aca="false">HYPERLINK("https://mncourtfraud.com/file/MCRO_27-CR-22-24627_Returned Mail_2023-12-12_20240429164347.pdf","MCRO_27-CR-22-24627_Returned Mail_2023-12-12_20240429164347.pdf")</f>
        <v>MCRO_27-CR-22-24627_Returned Mail_2023-12-12_20240429164347.pdf</v>
      </c>
      <c r="C2957" s="1" t="n">
        <v>4</v>
      </c>
      <c r="D2957" s="1" t="n">
        <v>1</v>
      </c>
      <c r="E2957" s="1" t="n">
        <v>1</v>
      </c>
      <c r="F2957" s="3" t="s">
        <v>20</v>
      </c>
      <c r="G2957" s="3" t="s">
        <v>11924</v>
      </c>
      <c r="H2957" s="1" t="s">
        <v>22</v>
      </c>
      <c r="I2957" s="1" t="n">
        <v>20240429164347</v>
      </c>
      <c r="J2957" s="3" t="s">
        <v>11925</v>
      </c>
      <c r="K2957" s="3" t="s">
        <v>11926</v>
      </c>
      <c r="L2957" s="3" t="s">
        <v>11927</v>
      </c>
      <c r="M2957" s="3" t="n">
        <v>752953</v>
      </c>
      <c r="N2957" s="3" t="s">
        <v>1128</v>
      </c>
      <c r="O2957" s="1" t="n">
        <v>736567</v>
      </c>
      <c r="P2957" s="1" t="n">
        <v>97.82</v>
      </c>
      <c r="Q2957" s="1" t="s">
        <v>20</v>
      </c>
      <c r="R2957" s="1" t="s">
        <v>27</v>
      </c>
      <c r="S2957" s="1" t="s">
        <v>28</v>
      </c>
      <c r="T2957" s="1" t="s">
        <v>29</v>
      </c>
    </row>
    <row r="2958" customFormat="false" ht="18.7" hidden="false" customHeight="true" outlineLevel="0" collapsed="false">
      <c r="A2958" s="1" t="n">
        <v>2957</v>
      </c>
      <c r="B2958" s="6" t="str">
        <f aca="false">HYPERLINK("https://mncourtfraud.com/file/MCRO_27-CR-22-25134_Finding of Incompetency and Order_2023-02-22_20240429164457.pdf","MCRO_27-CR-22-25134_Finding of Incompetency and Order_2023-02-22_20240429164457.pdf")</f>
        <v>MCRO_27-CR-22-25134_Finding of Incompetency and Order_2023-02-22_20240429164457.pdf</v>
      </c>
      <c r="C2958" s="1" t="n">
        <v>9</v>
      </c>
      <c r="D2958" s="1" t="n">
        <v>3</v>
      </c>
      <c r="E2958" s="1" t="n">
        <v>3</v>
      </c>
      <c r="F2958" s="3" t="s">
        <v>27</v>
      </c>
      <c r="G2958" s="3" t="s">
        <v>11928</v>
      </c>
      <c r="H2958" s="1" t="s">
        <v>22</v>
      </c>
      <c r="I2958" s="1" t="n">
        <v>20240429164457</v>
      </c>
      <c r="J2958" s="3" t="s">
        <v>11929</v>
      </c>
      <c r="K2958" s="3" t="s">
        <v>11930</v>
      </c>
      <c r="L2958" s="3" t="s">
        <v>11931</v>
      </c>
      <c r="M2958" s="3" t="n">
        <v>944795</v>
      </c>
      <c r="N2958" s="3" t="s">
        <v>5613</v>
      </c>
      <c r="O2958" s="1" t="n">
        <v>928409</v>
      </c>
      <c r="P2958" s="1" t="n">
        <v>98.27</v>
      </c>
      <c r="Q2958" s="1" t="s">
        <v>20</v>
      </c>
      <c r="R2958" s="1" t="s">
        <v>27</v>
      </c>
      <c r="S2958" s="1" t="s">
        <v>28</v>
      </c>
      <c r="T2958" s="1" t="s">
        <v>29</v>
      </c>
    </row>
    <row r="2959" customFormat="false" ht="18.7" hidden="false" customHeight="true" outlineLevel="0" collapsed="false">
      <c r="A2959" s="1" t="n">
        <v>2958</v>
      </c>
      <c r="B2959" s="6" t="str">
        <f aca="false">HYPERLINK("https://mncourtfraud.com/file/MCRO_27-CR-22-25134_Finding of Incompetency and Order_2024-03-05_20240429164453.pdf","MCRO_27-CR-22-25134_Finding of Incompetency and Order_2024-03-05_20240429164453.pdf")</f>
        <v>MCRO_27-CR-22-25134_Finding of Incompetency and Order_2024-03-05_20240429164453.pdf</v>
      </c>
      <c r="C2959" s="1" t="n">
        <v>5</v>
      </c>
      <c r="D2959" s="1" t="n">
        <v>1</v>
      </c>
      <c r="E2959" s="1" t="n">
        <v>1</v>
      </c>
      <c r="F2959" s="3" t="s">
        <v>20</v>
      </c>
      <c r="G2959" s="3" t="s">
        <v>11932</v>
      </c>
      <c r="H2959" s="1" t="s">
        <v>22</v>
      </c>
      <c r="I2959" s="1" t="n">
        <v>20240429164453</v>
      </c>
      <c r="J2959" s="3" t="s">
        <v>11933</v>
      </c>
      <c r="K2959" s="3" t="s">
        <v>11934</v>
      </c>
      <c r="L2959" s="3" t="s">
        <v>11935</v>
      </c>
      <c r="M2959" s="3" t="n">
        <v>854801</v>
      </c>
      <c r="N2959" s="3" t="s">
        <v>3673</v>
      </c>
      <c r="O2959" s="1" t="n">
        <v>838415</v>
      </c>
      <c r="P2959" s="1" t="n">
        <v>98.08</v>
      </c>
      <c r="Q2959" s="1" t="s">
        <v>20</v>
      </c>
      <c r="R2959" s="1" t="s">
        <v>27</v>
      </c>
      <c r="S2959" s="1" t="s">
        <v>28</v>
      </c>
      <c r="T2959" s="1" t="s">
        <v>29</v>
      </c>
    </row>
    <row r="2960" customFormat="false" ht="18.7" hidden="false" customHeight="true" outlineLevel="0" collapsed="false">
      <c r="A2960" s="1" t="n">
        <v>2959</v>
      </c>
      <c r="B2960" s="6" t="str">
        <f aca="false">HYPERLINK("https://mncourtfraud.com/file/MCRO_27-CR-22-25134_Notice of Remote Hearing with Instructions_2024-03-05_20240429164452.pdf","MCRO_27-CR-22-25134_Notice of Remote Hearing with Instructions_2024-03-05_20240429164452.pdf")</f>
        <v>MCRO_27-CR-22-25134_Notice of Remote Hearing with Instructions_2024-03-05_20240429164452.pdf</v>
      </c>
      <c r="C2960" s="1" t="n">
        <v>4</v>
      </c>
      <c r="D2960" s="1" t="n">
        <v>1</v>
      </c>
      <c r="E2960" s="1" t="n">
        <v>1</v>
      </c>
      <c r="F2960" s="3" t="s">
        <v>20</v>
      </c>
      <c r="G2960" s="3" t="s">
        <v>11936</v>
      </c>
      <c r="H2960" s="1" t="s">
        <v>22</v>
      </c>
      <c r="I2960" s="1" t="n">
        <v>20240429164452</v>
      </c>
      <c r="J2960" s="3" t="s">
        <v>11937</v>
      </c>
      <c r="K2960" s="3" t="s">
        <v>11938</v>
      </c>
      <c r="L2960" s="3" t="s">
        <v>11939</v>
      </c>
      <c r="M2960" s="3" t="n">
        <v>256297</v>
      </c>
      <c r="N2960" s="3" t="s">
        <v>74</v>
      </c>
      <c r="O2960" s="1" t="n">
        <v>239911</v>
      </c>
      <c r="P2960" s="1" t="n">
        <v>93.61</v>
      </c>
      <c r="Q2960" s="1" t="s">
        <v>20</v>
      </c>
      <c r="R2960" s="1" t="s">
        <v>27</v>
      </c>
      <c r="S2960" s="1" t="s">
        <v>28</v>
      </c>
      <c r="T2960" s="1" t="s">
        <v>29</v>
      </c>
    </row>
    <row r="2961" customFormat="false" ht="18.7" hidden="false" customHeight="true" outlineLevel="0" collapsed="false">
      <c r="A2961" s="1" t="n">
        <v>2960</v>
      </c>
      <c r="B2961" s="6" t="str">
        <f aca="false">HYPERLINK("https://mncourtfraud.com/file/MCRO_27-CR-22-25134_Order-Evaluation for Competency to Proceed (Rule 20.01)_2023-01-18_20240429164458.pdf","MCRO_27-CR-22-25134_Order-Evaluation for Competency to Proceed (Rule 20.01)_2023-01-18_20240429164458.pdf")</f>
        <v>MCRO_27-CR-22-25134_Order-Evaluation for Competency to Proceed (Rule 20.01)_2023-01-18_20240429164458.pdf</v>
      </c>
      <c r="C2961" s="1" t="n">
        <v>10</v>
      </c>
      <c r="D2961" s="1" t="n">
        <v>4</v>
      </c>
      <c r="E2961" s="1" t="n">
        <v>4</v>
      </c>
      <c r="F2961" s="3" t="s">
        <v>27</v>
      </c>
      <c r="G2961" s="3" t="s">
        <v>11940</v>
      </c>
      <c r="H2961" s="1" t="s">
        <v>22</v>
      </c>
      <c r="I2961" s="1" t="n">
        <v>20240429164458</v>
      </c>
      <c r="J2961" s="3" t="s">
        <v>11941</v>
      </c>
      <c r="K2961" s="3" t="s">
        <v>11942</v>
      </c>
      <c r="L2961" s="3" t="s">
        <v>11943</v>
      </c>
      <c r="M2961" s="3" t="n">
        <v>1176161</v>
      </c>
      <c r="N2961" s="3" t="s">
        <v>8347</v>
      </c>
      <c r="O2961" s="1" t="n">
        <v>1159775</v>
      </c>
      <c r="P2961" s="1" t="n">
        <v>98.61</v>
      </c>
      <c r="Q2961" s="1" t="s">
        <v>20</v>
      </c>
      <c r="R2961" s="1" t="s">
        <v>27</v>
      </c>
      <c r="S2961" s="1" t="s">
        <v>28</v>
      </c>
      <c r="T2961" s="1" t="s">
        <v>29</v>
      </c>
    </row>
    <row r="2962" customFormat="false" ht="18.7" hidden="false" customHeight="true" outlineLevel="0" collapsed="false">
      <c r="A2962" s="1" t="n">
        <v>2961</v>
      </c>
      <c r="B2962" s="6" t="str">
        <f aca="false">HYPERLINK("https://mncourtfraud.com/file/MCRO_27-CR-22-25134_Order-Evaluation for Competency to Proceed (Rule 20.01)_2023-06-12_20240429164456.pdf","MCRO_27-CR-22-25134_Order-Evaluation for Competency to Proceed (Rule 20.01)_2023-06-12_20240429164456.pdf")</f>
        <v>MCRO_27-CR-22-25134_Order-Evaluation for Competency to Proceed (Rule 20.01)_2023-06-12_20240429164456.pdf</v>
      </c>
      <c r="C2962" s="1" t="n">
        <v>6</v>
      </c>
      <c r="D2962" s="1" t="n">
        <v>2</v>
      </c>
      <c r="E2962" s="1" t="n">
        <v>2</v>
      </c>
      <c r="F2962" s="3" t="s">
        <v>27</v>
      </c>
      <c r="G2962" s="3" t="s">
        <v>11944</v>
      </c>
      <c r="H2962" s="1" t="s">
        <v>22</v>
      </c>
      <c r="I2962" s="1" t="n">
        <v>20240429164456</v>
      </c>
      <c r="J2962" s="3" t="s">
        <v>11945</v>
      </c>
      <c r="K2962" s="3" t="s">
        <v>11946</v>
      </c>
      <c r="L2962" s="3" t="s">
        <v>11947</v>
      </c>
      <c r="M2962" s="3" t="n">
        <v>894082</v>
      </c>
      <c r="N2962" s="3" t="s">
        <v>810</v>
      </c>
      <c r="O2962" s="1" t="n">
        <v>877696</v>
      </c>
      <c r="P2962" s="1" t="n">
        <v>98.17</v>
      </c>
      <c r="Q2962" s="1" t="s">
        <v>20</v>
      </c>
      <c r="R2962" s="1" t="s">
        <v>27</v>
      </c>
      <c r="S2962" s="1" t="s">
        <v>28</v>
      </c>
      <c r="T2962" s="1" t="s">
        <v>29</v>
      </c>
    </row>
    <row r="2963" customFormat="false" ht="18.7" hidden="false" customHeight="true" outlineLevel="0" collapsed="false">
      <c r="A2963" s="1" t="n">
        <v>2962</v>
      </c>
      <c r="B2963" s="6" t="str">
        <f aca="false">HYPERLINK("https://mncourtfraud.com/file/MCRO_27-CR-22-25134_Order-Evaluation for Competency to Proceed (Rule 20.01)_2024-02-02_20240429164454.pdf","MCRO_27-CR-22-25134_Order-Evaluation for Competency to Proceed (Rule 20.01)_2024-02-02_20240429164454.pdf")</f>
        <v>MCRO_27-CR-22-25134_Order-Evaluation for Competency to Proceed (Rule 20.01)_2024-02-02_20240429164454.pdf</v>
      </c>
      <c r="C2963" s="1" t="n">
        <v>4</v>
      </c>
      <c r="D2963" s="1" t="n">
        <v>1</v>
      </c>
      <c r="E2963" s="1" t="n">
        <v>1</v>
      </c>
      <c r="F2963" s="3" t="s">
        <v>20</v>
      </c>
      <c r="G2963" s="3" t="s">
        <v>11948</v>
      </c>
      <c r="H2963" s="1" t="s">
        <v>22</v>
      </c>
      <c r="I2963" s="1" t="n">
        <v>20240429164454</v>
      </c>
      <c r="J2963" s="3" t="s">
        <v>11949</v>
      </c>
      <c r="K2963" s="3" t="s">
        <v>11950</v>
      </c>
      <c r="L2963" s="3" t="s">
        <v>11951</v>
      </c>
      <c r="M2963" s="3" t="n">
        <v>143680</v>
      </c>
      <c r="N2963" s="3" t="s">
        <v>1159</v>
      </c>
      <c r="O2963" s="1" t="n">
        <v>127294</v>
      </c>
      <c r="P2963" s="1" t="n">
        <v>88.6</v>
      </c>
      <c r="Q2963" s="1" t="s">
        <v>20</v>
      </c>
      <c r="R2963" s="1" t="s">
        <v>27</v>
      </c>
      <c r="S2963" s="1" t="s">
        <v>28</v>
      </c>
      <c r="T2963" s="1" t="s">
        <v>29</v>
      </c>
    </row>
    <row r="2964" customFormat="false" ht="18.7" hidden="false" customHeight="true" outlineLevel="0" collapsed="false">
      <c r="A2964" s="1" t="n">
        <v>2963</v>
      </c>
      <c r="B2964" s="6" t="str">
        <f aca="false">HYPERLINK("https://mncourtfraud.com/file/MCRO_27-CR-22-25134_Request for Disclosure_2022-12-21_20240429164459.pdf","MCRO_27-CR-22-25134_Request for Disclosure_2022-12-21_20240429164459.pdf")</f>
        <v>MCRO_27-CR-22-25134_Request for Disclosure_2022-12-21_20240429164459.pdf</v>
      </c>
      <c r="C2964" s="1" t="n">
        <v>3</v>
      </c>
      <c r="D2964" s="1" t="n">
        <v>1</v>
      </c>
      <c r="E2964" s="1" t="n">
        <v>1</v>
      </c>
      <c r="F2964" s="3" t="s">
        <v>20</v>
      </c>
      <c r="G2964" s="3" t="s">
        <v>11952</v>
      </c>
      <c r="H2964" s="1" t="s">
        <v>22</v>
      </c>
      <c r="I2964" s="1" t="n">
        <v>20240429164459</v>
      </c>
      <c r="J2964" s="3" t="s">
        <v>11953</v>
      </c>
      <c r="K2964" s="3" t="s">
        <v>11954</v>
      </c>
      <c r="L2964" s="3" t="s">
        <v>11955</v>
      </c>
      <c r="M2964" s="3" t="n">
        <v>409945</v>
      </c>
      <c r="N2964" s="3" t="s">
        <v>5847</v>
      </c>
      <c r="O2964" s="1" t="n">
        <v>393559</v>
      </c>
      <c r="P2964" s="1" t="n">
        <v>96</v>
      </c>
      <c r="Q2964" s="1" t="s">
        <v>20</v>
      </c>
      <c r="R2964" s="1" t="s">
        <v>27</v>
      </c>
      <c r="S2964" s="1" t="s">
        <v>28</v>
      </c>
      <c r="T2964" s="1" t="s">
        <v>29</v>
      </c>
    </row>
    <row r="2965" customFormat="false" ht="18.7" hidden="false" customHeight="true" outlineLevel="0" collapsed="false">
      <c r="A2965" s="1" t="n">
        <v>2964</v>
      </c>
      <c r="B2965" s="6" t="str">
        <f aca="false">HYPERLINK("https://mncourtfraud.com/file/MCRO_27-CR-22-25134_Returned Mail_2024-03-11_20240429164451.pdf","MCRO_27-CR-22-25134_Returned Mail_2024-03-11_20240429164451.pdf")</f>
        <v>MCRO_27-CR-22-25134_Returned Mail_2024-03-11_20240429164451.pdf</v>
      </c>
      <c r="C2965" s="1" t="n">
        <v>4</v>
      </c>
      <c r="D2965" s="1" t="n">
        <v>1</v>
      </c>
      <c r="E2965" s="1" t="n">
        <v>1</v>
      </c>
      <c r="F2965" s="3" t="s">
        <v>20</v>
      </c>
      <c r="G2965" s="3" t="s">
        <v>11956</v>
      </c>
      <c r="H2965" s="1" t="s">
        <v>22</v>
      </c>
      <c r="I2965" s="1" t="n">
        <v>20240429164451</v>
      </c>
      <c r="J2965" s="3" t="s">
        <v>11957</v>
      </c>
      <c r="K2965" s="3" t="s">
        <v>11958</v>
      </c>
      <c r="L2965" s="3" t="s">
        <v>11959</v>
      </c>
      <c r="M2965" s="3" t="n">
        <v>88647</v>
      </c>
      <c r="N2965" s="3" t="s">
        <v>435</v>
      </c>
      <c r="O2965" s="1" t="n">
        <v>72261</v>
      </c>
      <c r="P2965" s="1" t="n">
        <v>81.52</v>
      </c>
      <c r="Q2965" s="1" t="s">
        <v>20</v>
      </c>
      <c r="R2965" s="1" t="s">
        <v>27</v>
      </c>
      <c r="S2965" s="1" t="s">
        <v>28</v>
      </c>
      <c r="T2965" s="1" t="s">
        <v>29</v>
      </c>
    </row>
    <row r="2966" customFormat="false" ht="18.7" hidden="false" customHeight="true" outlineLevel="0" collapsed="false">
      <c r="A2966" s="1" t="n">
        <v>2965</v>
      </c>
      <c r="B2966" s="6" t="str">
        <f aca="false">HYPERLINK("https://mncourtfraud.com/file/MCRO_27-CR-22-25151_Demand or Request for Discovery_2022-12-21_20240429164608.pdf","MCRO_27-CR-22-25151_Demand or Request for Discovery_2022-12-21_20240429164608.pdf")</f>
        <v>MCRO_27-CR-22-25151_Demand or Request for Discovery_2022-12-21_20240429164608.pdf</v>
      </c>
      <c r="C2966" s="1" t="n">
        <v>3</v>
      </c>
      <c r="D2966" s="1" t="n">
        <v>1</v>
      </c>
      <c r="E2966" s="1" t="n">
        <v>1</v>
      </c>
      <c r="F2966" s="3" t="s">
        <v>20</v>
      </c>
      <c r="G2966" s="3" t="s">
        <v>11960</v>
      </c>
      <c r="H2966" s="1" t="s">
        <v>22</v>
      </c>
      <c r="I2966" s="1" t="n">
        <v>20240429164608</v>
      </c>
      <c r="J2966" s="3" t="s">
        <v>11961</v>
      </c>
      <c r="K2966" s="3" t="s">
        <v>11962</v>
      </c>
      <c r="L2966" s="3" t="s">
        <v>11963</v>
      </c>
      <c r="M2966" s="3" t="n">
        <v>409938</v>
      </c>
      <c r="N2966" s="3" t="s">
        <v>5847</v>
      </c>
      <c r="O2966" s="1" t="n">
        <v>393552</v>
      </c>
      <c r="P2966" s="1" t="n">
        <v>96</v>
      </c>
      <c r="Q2966" s="1" t="s">
        <v>20</v>
      </c>
      <c r="R2966" s="1" t="s">
        <v>27</v>
      </c>
      <c r="S2966" s="1" t="s">
        <v>28</v>
      </c>
      <c r="T2966" s="1" t="s">
        <v>29</v>
      </c>
    </row>
    <row r="2967" customFormat="false" ht="18.7" hidden="false" customHeight="true" outlineLevel="0" collapsed="false">
      <c r="A2967" s="1" t="n">
        <v>2966</v>
      </c>
      <c r="B2967" s="6" t="str">
        <f aca="false">HYPERLINK("https://mncourtfraud.com/file/MCRO_27-CR-22-25151_E-filed Comp-Order for Detention_2022-12-16_20240429164611.pdf","MCRO_27-CR-22-25151_E-filed Comp-Order for Detention_2022-12-16_20240429164611.pdf")</f>
        <v>MCRO_27-CR-22-25151_E-filed Comp-Order for Detention_2022-12-16_20240429164611.pdf</v>
      </c>
      <c r="C2967" s="1" t="n">
        <v>5</v>
      </c>
      <c r="D2967" s="1" t="n">
        <v>2</v>
      </c>
      <c r="E2967" s="1" t="n">
        <v>2</v>
      </c>
      <c r="F2967" s="3" t="s">
        <v>20</v>
      </c>
      <c r="G2967" s="3" t="s">
        <v>11964</v>
      </c>
      <c r="H2967" s="1" t="s">
        <v>22</v>
      </c>
      <c r="I2967" s="1" t="n">
        <v>20240429164611</v>
      </c>
      <c r="J2967" s="3" t="s">
        <v>11965</v>
      </c>
      <c r="K2967" s="3" t="s">
        <v>11966</v>
      </c>
      <c r="L2967" s="3" t="s">
        <v>11967</v>
      </c>
      <c r="M2967" s="3" t="n">
        <v>449180</v>
      </c>
      <c r="N2967" s="3" t="s">
        <v>11968</v>
      </c>
      <c r="O2967" s="1" t="n">
        <v>432794</v>
      </c>
      <c r="P2967" s="1" t="n">
        <v>96.35</v>
      </c>
      <c r="Q2967" s="1" t="s">
        <v>20</v>
      </c>
      <c r="R2967" s="1" t="s">
        <v>27</v>
      </c>
      <c r="S2967" s="1" t="s">
        <v>28</v>
      </c>
      <c r="T2967" s="1" t="s">
        <v>29</v>
      </c>
    </row>
    <row r="2968" customFormat="false" ht="18.7" hidden="false" customHeight="true" outlineLevel="0" collapsed="false">
      <c r="A2968" s="1" t="n">
        <v>2967</v>
      </c>
      <c r="B2968" s="6" t="str">
        <f aca="false">HYPERLINK("https://mncourtfraud.com/file/MCRO_27-CR-22-25151_Finding of Incompetency and Order_2023-12-05_20240429164605.pdf","MCRO_27-CR-22-25151_Finding of Incompetency and Order_2023-12-05_20240429164605.pdf")</f>
        <v>MCRO_27-CR-22-25151_Finding of Incompetency and Order_2023-12-05_20240429164605.pdf</v>
      </c>
      <c r="C2968" s="1" t="n">
        <v>5</v>
      </c>
      <c r="D2968" s="1" t="n">
        <v>1</v>
      </c>
      <c r="E2968" s="1" t="n">
        <v>1</v>
      </c>
      <c r="F2968" s="3" t="s">
        <v>20</v>
      </c>
      <c r="G2968" s="3" t="s">
        <v>11969</v>
      </c>
      <c r="H2968" s="1" t="s">
        <v>22</v>
      </c>
      <c r="I2968" s="1" t="n">
        <v>20240429164605</v>
      </c>
      <c r="J2968" s="3" t="s">
        <v>11970</v>
      </c>
      <c r="K2968" s="3" t="s">
        <v>11971</v>
      </c>
      <c r="L2968" s="3" t="s">
        <v>11972</v>
      </c>
      <c r="M2968" s="3" t="n">
        <v>804814</v>
      </c>
      <c r="N2968" s="3" t="s">
        <v>1205</v>
      </c>
      <c r="O2968" s="1" t="n">
        <v>788428</v>
      </c>
      <c r="P2968" s="1" t="n">
        <v>97.96</v>
      </c>
      <c r="Q2968" s="1" t="s">
        <v>20</v>
      </c>
      <c r="R2968" s="1" t="s">
        <v>27</v>
      </c>
      <c r="S2968" s="1" t="s">
        <v>28</v>
      </c>
      <c r="T2968" s="1" t="s">
        <v>29</v>
      </c>
    </row>
    <row r="2969" customFormat="false" ht="18.7" hidden="false" customHeight="true" outlineLevel="0" collapsed="false">
      <c r="A2969" s="1" t="n">
        <v>2968</v>
      </c>
      <c r="B2969" s="6" t="str">
        <f aca="false">HYPERLINK("https://mncourtfraud.com/file/MCRO_27-CR-22-25151_Notice of Hearing_2022-12-16_20240429164609.pdf","MCRO_27-CR-22-25151_Notice of Hearing_2022-12-16_20240429164609.pdf")</f>
        <v>MCRO_27-CR-22-25151_Notice of Hearing_2022-12-16_20240429164609.pdf</v>
      </c>
      <c r="C2969" s="1" t="n">
        <v>4</v>
      </c>
      <c r="D2969" s="1" t="n">
        <v>1</v>
      </c>
      <c r="E2969" s="1" t="n">
        <v>1</v>
      </c>
      <c r="F2969" s="3" t="s">
        <v>20</v>
      </c>
      <c r="G2969" s="3" t="s">
        <v>11973</v>
      </c>
      <c r="H2969" s="1" t="s">
        <v>22</v>
      </c>
      <c r="I2969" s="1" t="n">
        <v>20240429164609</v>
      </c>
      <c r="J2969" s="3" t="s">
        <v>11974</v>
      </c>
      <c r="K2969" s="3" t="s">
        <v>11975</v>
      </c>
      <c r="L2969" s="3" t="s">
        <v>11976</v>
      </c>
      <c r="M2969" s="3" t="n">
        <v>98427</v>
      </c>
      <c r="N2969" s="3" t="s">
        <v>435</v>
      </c>
      <c r="O2969" s="1" t="n">
        <v>82041</v>
      </c>
      <c r="P2969" s="1" t="n">
        <v>83.35</v>
      </c>
      <c r="Q2969" s="1" t="s">
        <v>20</v>
      </c>
      <c r="R2969" s="1" t="s">
        <v>27</v>
      </c>
      <c r="S2969" s="1" t="s">
        <v>28</v>
      </c>
      <c r="T2969" s="1" t="s">
        <v>29</v>
      </c>
    </row>
    <row r="2970" customFormat="false" ht="18.7" hidden="false" customHeight="true" outlineLevel="0" collapsed="false">
      <c r="A2970" s="1" t="n">
        <v>2969</v>
      </c>
      <c r="B2970" s="6" t="str">
        <f aca="false">HYPERLINK("https://mncourtfraud.com/file/MCRO_27-CR-22-25151_Notice of Remote Hearing with Instructions_2023-11-28_20240429164606.pdf","MCRO_27-CR-22-25151_Notice of Remote Hearing with Instructions_2023-11-28_20240429164606.pdf")</f>
        <v>MCRO_27-CR-22-25151_Notice of Remote Hearing with Instructions_2023-11-28_20240429164606.pdf</v>
      </c>
      <c r="C2970" s="1" t="n">
        <v>5</v>
      </c>
      <c r="D2970" s="1" t="n">
        <v>1</v>
      </c>
      <c r="E2970" s="1" t="n">
        <v>1</v>
      </c>
      <c r="F2970" s="3" t="s">
        <v>20</v>
      </c>
      <c r="G2970" s="3" t="s">
        <v>11977</v>
      </c>
      <c r="H2970" s="1" t="s">
        <v>22</v>
      </c>
      <c r="I2970" s="1" t="n">
        <v>20240429164606</v>
      </c>
      <c r="J2970" s="3" t="s">
        <v>11978</v>
      </c>
      <c r="K2970" s="3" t="s">
        <v>11979</v>
      </c>
      <c r="L2970" s="3" t="s">
        <v>11980</v>
      </c>
      <c r="M2970" s="3" t="n">
        <v>843969</v>
      </c>
      <c r="N2970" s="3" t="s">
        <v>3164</v>
      </c>
      <c r="O2970" s="1" t="n">
        <v>827583</v>
      </c>
      <c r="P2970" s="1" t="n">
        <v>98.06</v>
      </c>
      <c r="Q2970" s="1" t="s">
        <v>20</v>
      </c>
      <c r="R2970" s="1" t="s">
        <v>27</v>
      </c>
      <c r="S2970" s="1" t="s">
        <v>28</v>
      </c>
      <c r="T2970" s="1" t="s">
        <v>29</v>
      </c>
    </row>
    <row r="2971" customFormat="false" ht="18.7" hidden="false" customHeight="true" outlineLevel="0" collapsed="false">
      <c r="A2971" s="1" t="n">
        <v>2970</v>
      </c>
      <c r="B2971" s="6" t="str">
        <f aca="false">HYPERLINK("https://mncourtfraud.com/file/MCRO_27-CR-22-25151_Notice of Remote Hearing with Instructions_2023-12-05_20240429164604.pdf","MCRO_27-CR-22-25151_Notice of Remote Hearing with Instructions_2023-12-05_20240429164604.pdf")</f>
        <v>MCRO_27-CR-22-25151_Notice of Remote Hearing with Instructions_2023-12-05_20240429164604.pdf</v>
      </c>
      <c r="C2971" s="1" t="n">
        <v>5</v>
      </c>
      <c r="D2971" s="1" t="n">
        <v>1</v>
      </c>
      <c r="E2971" s="1" t="n">
        <v>1</v>
      </c>
      <c r="F2971" s="3" t="s">
        <v>20</v>
      </c>
      <c r="G2971" s="3" t="s">
        <v>11981</v>
      </c>
      <c r="H2971" s="1" t="s">
        <v>22</v>
      </c>
      <c r="I2971" s="1" t="n">
        <v>20240429164604</v>
      </c>
      <c r="J2971" s="3" t="s">
        <v>11982</v>
      </c>
      <c r="K2971" s="3" t="s">
        <v>11983</v>
      </c>
      <c r="L2971" s="3" t="s">
        <v>11984</v>
      </c>
      <c r="M2971" s="3" t="n">
        <v>843960</v>
      </c>
      <c r="N2971" s="3" t="s">
        <v>3164</v>
      </c>
      <c r="O2971" s="1" t="n">
        <v>827574</v>
      </c>
      <c r="P2971" s="1" t="n">
        <v>98.06</v>
      </c>
      <c r="Q2971" s="1" t="s">
        <v>20</v>
      </c>
      <c r="R2971" s="1" t="s">
        <v>27</v>
      </c>
      <c r="S2971" s="1" t="s">
        <v>28</v>
      </c>
      <c r="T2971" s="1" t="s">
        <v>29</v>
      </c>
    </row>
    <row r="2972" customFormat="false" ht="18.7" hidden="false" customHeight="true" outlineLevel="0" collapsed="false">
      <c r="A2972" s="1" t="n">
        <v>2971</v>
      </c>
      <c r="B2972" s="6" t="str">
        <f aca="false">HYPERLINK("https://mncourtfraud.com/file/MCRO_27-CR-22-25151_Notice of Remote Hearing with Instructions_2023-12-12_20240429164603.pdf","MCRO_27-CR-22-25151_Notice of Remote Hearing with Instructions_2023-12-12_20240429164603.pdf")</f>
        <v>MCRO_27-CR-22-25151_Notice of Remote Hearing with Instructions_2023-12-12_20240429164603.pdf</v>
      </c>
      <c r="C2972" s="1" t="n">
        <v>5</v>
      </c>
      <c r="D2972" s="1" t="n">
        <v>1</v>
      </c>
      <c r="E2972" s="1" t="n">
        <v>1</v>
      </c>
      <c r="F2972" s="3" t="s">
        <v>20</v>
      </c>
      <c r="G2972" s="3" t="s">
        <v>11985</v>
      </c>
      <c r="H2972" s="1" t="s">
        <v>22</v>
      </c>
      <c r="I2972" s="1" t="n">
        <v>20240429164603</v>
      </c>
      <c r="J2972" s="3" t="s">
        <v>11986</v>
      </c>
      <c r="K2972" s="3" t="s">
        <v>11987</v>
      </c>
      <c r="L2972" s="3" t="s">
        <v>11988</v>
      </c>
      <c r="M2972" s="3" t="n">
        <v>843973</v>
      </c>
      <c r="N2972" s="3" t="s">
        <v>3164</v>
      </c>
      <c r="O2972" s="1" t="n">
        <v>827587</v>
      </c>
      <c r="P2972" s="1" t="n">
        <v>98.06</v>
      </c>
      <c r="Q2972" s="1" t="s">
        <v>20</v>
      </c>
      <c r="R2972" s="1" t="s">
        <v>27</v>
      </c>
      <c r="S2972" s="1" t="s">
        <v>28</v>
      </c>
      <c r="T2972" s="1" t="s">
        <v>29</v>
      </c>
    </row>
    <row r="2973" customFormat="false" ht="18.7" hidden="false" customHeight="true" outlineLevel="0" collapsed="false">
      <c r="A2973" s="1" t="n">
        <v>2972</v>
      </c>
      <c r="B2973" s="6" t="str">
        <f aca="false">HYPERLINK("https://mncourtfraud.com/file/MCRO_27-CR-22-25151_Order-Evaluation for Competency to Proceed (Rule 20.01)_2023-10-18_20240429164607.pdf","MCRO_27-CR-22-25151_Order-Evaluation for Competency to Proceed (Rule 20.01)_2023-10-18_20240429164607.pdf")</f>
        <v>MCRO_27-CR-22-25151_Order-Evaluation for Competency to Proceed (Rule 20.01)_2023-10-18_20240429164607.pdf</v>
      </c>
      <c r="C2973" s="1" t="n">
        <v>5</v>
      </c>
      <c r="D2973" s="1" t="n">
        <v>5</v>
      </c>
      <c r="E2973" s="1" t="n">
        <v>5</v>
      </c>
      <c r="F2973" s="3" t="s">
        <v>20</v>
      </c>
      <c r="G2973" s="3" t="s">
        <v>11989</v>
      </c>
      <c r="H2973" s="1" t="s">
        <v>22</v>
      </c>
      <c r="I2973" s="1" t="n">
        <v>20240429164607</v>
      </c>
      <c r="J2973" s="3" t="s">
        <v>11990</v>
      </c>
      <c r="K2973" s="3" t="s">
        <v>11991</v>
      </c>
      <c r="L2973" s="3" t="s">
        <v>11992</v>
      </c>
      <c r="M2973" s="3" t="n">
        <v>303222</v>
      </c>
      <c r="N2973" s="3" t="s">
        <v>481</v>
      </c>
      <c r="O2973" s="1" t="n">
        <v>286836</v>
      </c>
      <c r="P2973" s="1" t="n">
        <v>94.6</v>
      </c>
      <c r="Q2973" s="1" t="s">
        <v>20</v>
      </c>
      <c r="R2973" s="1" t="s">
        <v>27</v>
      </c>
      <c r="S2973" s="1" t="s">
        <v>28</v>
      </c>
      <c r="T2973" s="1" t="s">
        <v>29</v>
      </c>
    </row>
    <row r="2974" customFormat="false" ht="18.7" hidden="false" customHeight="true" outlineLevel="0" collapsed="false">
      <c r="A2974" s="1" t="n">
        <v>2973</v>
      </c>
      <c r="B2974" s="6" t="str">
        <f aca="false">HYPERLINK("https://mncourtfraud.com/file/MCRO_27-CR-22-25151_Order-Evaluation for Competency to Proceed (Rule 20.01)_2024-04-04_20240429164602.pdf","MCRO_27-CR-22-25151_Order-Evaluation for Competency to Proceed (Rule 20.01)_2024-04-04_20240429164602.pdf")</f>
        <v>MCRO_27-CR-22-25151_Order-Evaluation for Competency to Proceed (Rule 20.01)_2024-04-04_20240429164602.pdf</v>
      </c>
      <c r="C2974" s="1" t="n">
        <v>4</v>
      </c>
      <c r="D2974" s="1" t="n">
        <v>1</v>
      </c>
      <c r="E2974" s="1" t="n">
        <v>1</v>
      </c>
      <c r="F2974" s="3" t="s">
        <v>20</v>
      </c>
      <c r="G2974" s="3" t="s">
        <v>11993</v>
      </c>
      <c r="H2974" s="1" t="s">
        <v>22</v>
      </c>
      <c r="I2974" s="1" t="n">
        <v>20240429164602</v>
      </c>
      <c r="J2974" s="3" t="s">
        <v>11994</v>
      </c>
      <c r="K2974" s="3" t="s">
        <v>11995</v>
      </c>
      <c r="L2974" s="3" t="s">
        <v>11996</v>
      </c>
      <c r="M2974" s="3" t="n">
        <v>213613</v>
      </c>
      <c r="N2974" s="3" t="s">
        <v>3198</v>
      </c>
      <c r="O2974" s="1" t="n">
        <v>197227</v>
      </c>
      <c r="P2974" s="1" t="n">
        <v>92.33</v>
      </c>
      <c r="Q2974" s="1" t="s">
        <v>20</v>
      </c>
      <c r="R2974" s="1" t="s">
        <v>27</v>
      </c>
      <c r="S2974" s="1" t="s">
        <v>28</v>
      </c>
      <c r="T2974" s="1" t="s">
        <v>29</v>
      </c>
    </row>
    <row r="2975" customFormat="false" ht="18.7" hidden="false" customHeight="true" outlineLevel="0" collapsed="false">
      <c r="A2975" s="1" t="n">
        <v>2974</v>
      </c>
      <c r="B2975" s="6" t="str">
        <f aca="false">HYPERLINK("https://mncourtfraud.com/file/MCRO_27-CR-22-3377_Demand or Request for Discovery_2022-03-01_20240429031134.pdf","MCRO_27-CR-22-3377_Demand or Request for Discovery_2022-03-01_20240429031134.pdf")</f>
        <v>MCRO_27-CR-22-3377_Demand or Request for Discovery_2022-03-01_20240429031134.pdf</v>
      </c>
      <c r="C2975" s="1" t="n">
        <v>3</v>
      </c>
      <c r="D2975" s="1" t="n">
        <v>1</v>
      </c>
      <c r="E2975" s="1" t="n">
        <v>1</v>
      </c>
      <c r="F2975" s="3" t="s">
        <v>20</v>
      </c>
      <c r="G2975" s="3" t="s">
        <v>11997</v>
      </c>
      <c r="H2975" s="1" t="s">
        <v>22</v>
      </c>
      <c r="I2975" s="1" t="n">
        <v>20240429031134</v>
      </c>
      <c r="J2975" s="3" t="s">
        <v>11998</v>
      </c>
      <c r="K2975" s="3" t="s">
        <v>11999</v>
      </c>
      <c r="L2975" s="3" t="s">
        <v>12000</v>
      </c>
      <c r="M2975" s="3" t="n">
        <v>303584</v>
      </c>
      <c r="N2975" s="3" t="s">
        <v>5917</v>
      </c>
      <c r="O2975" s="1" t="n">
        <v>287198</v>
      </c>
      <c r="P2975" s="1" t="n">
        <v>94.6</v>
      </c>
      <c r="Q2975" s="1" t="s">
        <v>20</v>
      </c>
      <c r="R2975" s="1" t="s">
        <v>27</v>
      </c>
      <c r="S2975" s="1" t="s">
        <v>28</v>
      </c>
      <c r="T2975" s="1" t="s">
        <v>29</v>
      </c>
    </row>
    <row r="2976" customFormat="false" ht="18.7" hidden="false" customHeight="true" outlineLevel="0" collapsed="false">
      <c r="A2976" s="1" t="n">
        <v>2975</v>
      </c>
      <c r="B2976" s="6" t="str">
        <f aca="false">HYPERLINK("https://mncourtfraud.com/file/MCRO_27-CR-22-3377_E-filed Comp-Order for Detention_2022-02-22_20240429031136.pdf","MCRO_27-CR-22-3377_E-filed Comp-Order for Detention_2022-02-22_20240429031136.pdf")</f>
        <v>MCRO_27-CR-22-3377_E-filed Comp-Order for Detention_2022-02-22_20240429031136.pdf</v>
      </c>
      <c r="C2976" s="1" t="n">
        <v>4</v>
      </c>
      <c r="D2976" s="1" t="n">
        <v>2</v>
      </c>
      <c r="E2976" s="1" t="n">
        <v>2</v>
      </c>
      <c r="F2976" s="3" t="s">
        <v>20</v>
      </c>
      <c r="G2976" s="3" t="s">
        <v>12001</v>
      </c>
      <c r="H2976" s="1" t="s">
        <v>22</v>
      </c>
      <c r="I2976" s="1" t="n">
        <v>20240429031136</v>
      </c>
      <c r="J2976" s="3" t="s">
        <v>12002</v>
      </c>
      <c r="K2976" s="3" t="s">
        <v>12003</v>
      </c>
      <c r="L2976" s="3" t="s">
        <v>12004</v>
      </c>
      <c r="M2976" s="3" t="n">
        <v>495210</v>
      </c>
      <c r="N2976" s="3" t="s">
        <v>4568</v>
      </c>
      <c r="O2976" s="1" t="n">
        <v>478824</v>
      </c>
      <c r="P2976" s="1" t="n">
        <v>96.69</v>
      </c>
      <c r="Q2976" s="1" t="s">
        <v>20</v>
      </c>
      <c r="R2976" s="1" t="s">
        <v>27</v>
      </c>
      <c r="S2976" s="1" t="s">
        <v>28</v>
      </c>
      <c r="T2976" s="1" t="s">
        <v>29</v>
      </c>
    </row>
    <row r="2977" customFormat="false" ht="18.7" hidden="false" customHeight="true" outlineLevel="0" collapsed="false">
      <c r="A2977" s="1" t="n">
        <v>2976</v>
      </c>
      <c r="B2977" s="6" t="str">
        <f aca="false">HYPERLINK("https://mncourtfraud.com/file/MCRO_27-CR-22-3377_Finding of Incompetency and Order_2023-06-14_20240429031120.pdf","MCRO_27-CR-22-3377_Finding of Incompetency and Order_2023-06-14_20240429031120.pdf")</f>
        <v>MCRO_27-CR-22-3377_Finding of Incompetency and Order_2023-06-14_20240429031120.pdf</v>
      </c>
      <c r="C2977" s="1" t="n">
        <v>7</v>
      </c>
      <c r="D2977" s="1" t="n">
        <v>2</v>
      </c>
      <c r="E2977" s="1" t="n">
        <v>2</v>
      </c>
      <c r="F2977" s="3" t="s">
        <v>27</v>
      </c>
      <c r="G2977" s="3" t="s">
        <v>12005</v>
      </c>
      <c r="H2977" s="1" t="s">
        <v>22</v>
      </c>
      <c r="I2977" s="1" t="n">
        <v>20240429031120</v>
      </c>
      <c r="J2977" s="3" t="s">
        <v>12006</v>
      </c>
      <c r="K2977" s="3" t="s">
        <v>12007</v>
      </c>
      <c r="L2977" s="3" t="s">
        <v>12008</v>
      </c>
      <c r="M2977" s="3" t="n">
        <v>859788</v>
      </c>
      <c r="N2977" s="3" t="s">
        <v>69</v>
      </c>
      <c r="O2977" s="1" t="n">
        <v>843402</v>
      </c>
      <c r="P2977" s="1" t="n">
        <v>98.09</v>
      </c>
      <c r="Q2977" s="1" t="s">
        <v>20</v>
      </c>
      <c r="R2977" s="1" t="s">
        <v>27</v>
      </c>
      <c r="S2977" s="1" t="s">
        <v>28</v>
      </c>
      <c r="T2977" s="1" t="s">
        <v>29</v>
      </c>
    </row>
    <row r="2978" customFormat="false" ht="18.7" hidden="false" customHeight="true" outlineLevel="0" collapsed="false">
      <c r="A2978" s="1" t="n">
        <v>2977</v>
      </c>
      <c r="B2978" s="6" t="str">
        <f aca="false">HYPERLINK("https://mncourtfraud.com/file/MCRO_27-CR-22-3377_Findings and Order_2022-05-10_20240429031132.pdf","MCRO_27-CR-22-3377_Findings and Order_2022-05-10_20240429031132.pdf")</f>
        <v>MCRO_27-CR-22-3377_Findings and Order_2022-05-10_20240429031132.pdf</v>
      </c>
      <c r="C2978" s="1" t="n">
        <v>4</v>
      </c>
      <c r="D2978" s="1" t="n">
        <v>2</v>
      </c>
      <c r="E2978" s="1" t="n">
        <v>2</v>
      </c>
      <c r="F2978" s="3" t="s">
        <v>20</v>
      </c>
      <c r="G2978" s="3" t="s">
        <v>12009</v>
      </c>
      <c r="H2978" s="1" t="s">
        <v>22</v>
      </c>
      <c r="I2978" s="1" t="n">
        <v>20240429031132</v>
      </c>
      <c r="J2978" s="3" t="s">
        <v>12010</v>
      </c>
      <c r="K2978" s="3" t="s">
        <v>12011</v>
      </c>
      <c r="L2978" s="3" t="s">
        <v>12012</v>
      </c>
      <c r="M2978" s="3" t="n">
        <v>338628</v>
      </c>
      <c r="N2978" s="3" t="s">
        <v>4122</v>
      </c>
      <c r="O2978" s="1" t="n">
        <v>322242</v>
      </c>
      <c r="P2978" s="1" t="n">
        <v>95.16</v>
      </c>
      <c r="Q2978" s="1" t="s">
        <v>20</v>
      </c>
      <c r="R2978" s="1" t="s">
        <v>27</v>
      </c>
      <c r="S2978" s="1" t="s">
        <v>28</v>
      </c>
      <c r="T2978" s="1" t="s">
        <v>29</v>
      </c>
    </row>
    <row r="2979" customFormat="false" ht="18.7" hidden="false" customHeight="true" outlineLevel="0" collapsed="false">
      <c r="A2979" s="1" t="n">
        <v>2978</v>
      </c>
      <c r="B2979" s="6" t="str">
        <f aca="false">HYPERLINK("https://mncourtfraud.com/file/MCRO_27-CR-22-3377_Notice of Appearance_2022-11-22_20240429031128.pdf","MCRO_27-CR-22-3377_Notice of Appearance_2022-11-22_20240429031128.pdf")</f>
        <v>MCRO_27-CR-22-3377_Notice of Appearance_2022-11-22_20240429031128.pdf</v>
      </c>
      <c r="C2979" s="1" t="n">
        <v>4</v>
      </c>
      <c r="D2979" s="1" t="n">
        <v>1</v>
      </c>
      <c r="E2979" s="1" t="n">
        <v>1</v>
      </c>
      <c r="F2979" s="3" t="s">
        <v>20</v>
      </c>
      <c r="G2979" s="3" t="s">
        <v>12013</v>
      </c>
      <c r="H2979" s="1" t="s">
        <v>22</v>
      </c>
      <c r="I2979" s="1" t="n">
        <v>20240429031128</v>
      </c>
      <c r="J2979" s="3" t="s">
        <v>12014</v>
      </c>
      <c r="K2979" s="3" t="s">
        <v>12015</v>
      </c>
      <c r="L2979" s="3" t="s">
        <v>12016</v>
      </c>
      <c r="M2979" s="3" t="n">
        <v>631914</v>
      </c>
      <c r="N2979" s="3" t="s">
        <v>3269</v>
      </c>
      <c r="O2979" s="1" t="n">
        <v>615528</v>
      </c>
      <c r="P2979" s="1" t="n">
        <v>97.41</v>
      </c>
      <c r="Q2979" s="1" t="s">
        <v>20</v>
      </c>
      <c r="R2979" s="1" t="s">
        <v>27</v>
      </c>
      <c r="S2979" s="1" t="s">
        <v>28</v>
      </c>
      <c r="T2979" s="1" t="s">
        <v>29</v>
      </c>
    </row>
    <row r="2980" customFormat="false" ht="18.7" hidden="false" customHeight="true" outlineLevel="0" collapsed="false">
      <c r="A2980" s="1" t="n">
        <v>2979</v>
      </c>
      <c r="B2980" s="6" t="str">
        <f aca="false">HYPERLINK("https://mncourtfraud.com/file/MCRO_27-CR-22-3377_Notice of Case Reassignment_2022-04-29_20240429031133.pdf","MCRO_27-CR-22-3377_Notice of Case Reassignment_2022-04-29_20240429031133.pdf")</f>
        <v>MCRO_27-CR-22-3377_Notice of Case Reassignment_2022-04-29_20240429031133.pdf</v>
      </c>
      <c r="C2980" s="1" t="n">
        <v>4</v>
      </c>
      <c r="D2980" s="1" t="n">
        <v>1</v>
      </c>
      <c r="E2980" s="1" t="n">
        <v>1</v>
      </c>
      <c r="F2980" s="3" t="s">
        <v>20</v>
      </c>
      <c r="G2980" s="3" t="s">
        <v>12017</v>
      </c>
      <c r="H2980" s="1" t="s">
        <v>22</v>
      </c>
      <c r="I2980" s="1" t="n">
        <v>20240429031133</v>
      </c>
      <c r="J2980" s="3" t="s">
        <v>12018</v>
      </c>
      <c r="K2980" s="3" t="s">
        <v>12019</v>
      </c>
      <c r="L2980" s="3" t="s">
        <v>12020</v>
      </c>
      <c r="M2980" s="3" t="n">
        <v>93077</v>
      </c>
      <c r="N2980" s="3" t="s">
        <v>456</v>
      </c>
      <c r="O2980" s="1" t="n">
        <v>76691</v>
      </c>
      <c r="P2980" s="1" t="n">
        <v>82.4</v>
      </c>
      <c r="Q2980" s="1" t="s">
        <v>20</v>
      </c>
      <c r="R2980" s="1" t="s">
        <v>27</v>
      </c>
      <c r="S2980" s="1" t="s">
        <v>28</v>
      </c>
      <c r="T2980" s="1" t="s">
        <v>29</v>
      </c>
    </row>
    <row r="2981" customFormat="false" ht="18.7" hidden="false" customHeight="true" outlineLevel="0" collapsed="false">
      <c r="A2981" s="1" t="n">
        <v>2980</v>
      </c>
      <c r="B2981" s="6" t="str">
        <f aca="false">HYPERLINK("https://mncourtfraud.com/file/MCRO_27-CR-22-3377_Notice of Case Reassignment_2022-12-16_20240429031127.pdf","MCRO_27-CR-22-3377_Notice of Case Reassignment_2022-12-16_20240429031127.pdf")</f>
        <v>MCRO_27-CR-22-3377_Notice of Case Reassignment_2022-12-16_20240429031127.pdf</v>
      </c>
      <c r="C2981" s="1" t="n">
        <v>4</v>
      </c>
      <c r="D2981" s="1" t="n">
        <v>1</v>
      </c>
      <c r="E2981" s="1" t="n">
        <v>1</v>
      </c>
      <c r="F2981" s="3" t="s">
        <v>20</v>
      </c>
      <c r="G2981" s="3" t="s">
        <v>12021</v>
      </c>
      <c r="H2981" s="1" t="s">
        <v>22</v>
      </c>
      <c r="I2981" s="1" t="n">
        <v>20240429031127</v>
      </c>
      <c r="J2981" s="3" t="s">
        <v>12022</v>
      </c>
      <c r="K2981" s="3" t="s">
        <v>12023</v>
      </c>
      <c r="L2981" s="3" t="s">
        <v>12024</v>
      </c>
      <c r="M2981" s="3" t="n">
        <v>300625</v>
      </c>
      <c r="N2981" s="3" t="s">
        <v>158</v>
      </c>
      <c r="O2981" s="1" t="n">
        <v>284239</v>
      </c>
      <c r="P2981" s="1" t="n">
        <v>94.55</v>
      </c>
      <c r="Q2981" s="1" t="s">
        <v>20</v>
      </c>
      <c r="R2981" s="1" t="s">
        <v>27</v>
      </c>
      <c r="S2981" s="1" t="s">
        <v>28</v>
      </c>
      <c r="T2981" s="1" t="s">
        <v>29</v>
      </c>
    </row>
    <row r="2982" customFormat="false" ht="18.7" hidden="false" customHeight="true" outlineLevel="0" collapsed="false">
      <c r="A2982" s="1" t="n">
        <v>2981</v>
      </c>
      <c r="B2982" s="6" t="str">
        <f aca="false">HYPERLINK("https://mncourtfraud.com/file/MCRO_27-CR-22-3377_Notice of Case Reassignment_2023-12-22_20240429031118.pdf","MCRO_27-CR-22-3377_Notice of Case Reassignment_2023-12-22_20240429031118.pdf")</f>
        <v>MCRO_27-CR-22-3377_Notice of Case Reassignment_2023-12-22_20240429031118.pdf</v>
      </c>
      <c r="C2982" s="1" t="n">
        <v>4</v>
      </c>
      <c r="D2982" s="1" t="n">
        <v>1</v>
      </c>
      <c r="E2982" s="1" t="n">
        <v>1</v>
      </c>
      <c r="F2982" s="3" t="s">
        <v>20</v>
      </c>
      <c r="G2982" s="3" t="s">
        <v>12025</v>
      </c>
      <c r="H2982" s="1" t="s">
        <v>22</v>
      </c>
      <c r="I2982" s="1" t="n">
        <v>20240429031118</v>
      </c>
      <c r="J2982" s="3" t="s">
        <v>12026</v>
      </c>
      <c r="K2982" s="3" t="s">
        <v>12027</v>
      </c>
      <c r="L2982" s="3" t="s">
        <v>12028</v>
      </c>
      <c r="M2982" s="3" t="n">
        <v>310121</v>
      </c>
      <c r="N2982" s="3" t="s">
        <v>158</v>
      </c>
      <c r="O2982" s="1" t="n">
        <v>293735</v>
      </c>
      <c r="P2982" s="1" t="n">
        <v>94.72</v>
      </c>
      <c r="Q2982" s="1" t="s">
        <v>20</v>
      </c>
      <c r="R2982" s="1" t="s">
        <v>27</v>
      </c>
      <c r="S2982" s="1" t="s">
        <v>28</v>
      </c>
      <c r="T2982" s="1" t="s">
        <v>29</v>
      </c>
    </row>
    <row r="2983" customFormat="false" ht="18.7" hidden="false" customHeight="true" outlineLevel="0" collapsed="false">
      <c r="A2983" s="1" t="n">
        <v>2982</v>
      </c>
      <c r="B2983" s="6" t="str">
        <f aca="false">HYPERLINK("https://mncourtfraud.com/file/MCRO_27-CR-22-3377_Notice of Case Reassignment_2024-04-01_20240429031117.pdf","MCRO_27-CR-22-3377_Notice of Case Reassignment_2024-04-01_20240429031117.pdf")</f>
        <v>MCRO_27-CR-22-3377_Notice of Case Reassignment_2024-04-01_20240429031117.pdf</v>
      </c>
      <c r="C2983" s="1" t="n">
        <v>4</v>
      </c>
      <c r="D2983" s="1" t="n">
        <v>1</v>
      </c>
      <c r="E2983" s="1" t="n">
        <v>1</v>
      </c>
      <c r="F2983" s="3" t="s">
        <v>20</v>
      </c>
      <c r="G2983" s="3" t="s">
        <v>12029</v>
      </c>
      <c r="H2983" s="1" t="s">
        <v>22</v>
      </c>
      <c r="I2983" s="1" t="n">
        <v>20240429031117</v>
      </c>
      <c r="J2983" s="3" t="s">
        <v>12030</v>
      </c>
      <c r="K2983" s="3" t="s">
        <v>12031</v>
      </c>
      <c r="L2983" s="3" t="s">
        <v>12032</v>
      </c>
      <c r="M2983" s="3" t="n">
        <v>348692</v>
      </c>
      <c r="N2983" s="3" t="s">
        <v>158</v>
      </c>
      <c r="O2983" s="1" t="n">
        <v>332306</v>
      </c>
      <c r="P2983" s="1" t="n">
        <v>95.3</v>
      </c>
      <c r="Q2983" s="1" t="s">
        <v>20</v>
      </c>
      <c r="R2983" s="1" t="s">
        <v>27</v>
      </c>
      <c r="S2983" s="1" t="s">
        <v>28</v>
      </c>
      <c r="T2983" s="1" t="s">
        <v>29</v>
      </c>
    </row>
    <row r="2984" customFormat="false" ht="18.7" hidden="false" customHeight="true" outlineLevel="0" collapsed="false">
      <c r="A2984" s="1" t="n">
        <v>2983</v>
      </c>
      <c r="B2984" s="6" t="str">
        <f aca="false">HYPERLINK("https://mncourtfraud.com/file/MCRO_27-CR-22-3377_Notice of Hearing_2023-04-21_20240429031122.pdf","MCRO_27-CR-22-3377_Notice of Hearing_2023-04-21_20240429031122.pdf")</f>
        <v>MCRO_27-CR-22-3377_Notice of Hearing_2023-04-21_20240429031122.pdf</v>
      </c>
      <c r="C2984" s="1" t="n">
        <v>4</v>
      </c>
      <c r="D2984" s="1" t="n">
        <v>1</v>
      </c>
      <c r="E2984" s="1" t="n">
        <v>1</v>
      </c>
      <c r="F2984" s="3" t="s">
        <v>20</v>
      </c>
      <c r="G2984" s="3" t="s">
        <v>12033</v>
      </c>
      <c r="H2984" s="1" t="s">
        <v>22</v>
      </c>
      <c r="I2984" s="1" t="n">
        <v>20240429031122</v>
      </c>
      <c r="J2984" s="3" t="s">
        <v>12034</v>
      </c>
      <c r="K2984" s="3" t="s">
        <v>12035</v>
      </c>
      <c r="L2984" s="3" t="s">
        <v>12036</v>
      </c>
      <c r="M2984" s="3" t="n">
        <v>869705</v>
      </c>
      <c r="N2984" s="3" t="s">
        <v>1128</v>
      </c>
      <c r="O2984" s="1" t="n">
        <v>853319</v>
      </c>
      <c r="P2984" s="1" t="n">
        <v>98.12</v>
      </c>
      <c r="Q2984" s="1" t="s">
        <v>20</v>
      </c>
      <c r="R2984" s="1" t="s">
        <v>27</v>
      </c>
      <c r="S2984" s="1" t="s">
        <v>28</v>
      </c>
      <c r="T2984" s="1" t="s">
        <v>29</v>
      </c>
    </row>
    <row r="2985" customFormat="false" ht="18.7" hidden="false" customHeight="true" outlineLevel="0" collapsed="false">
      <c r="A2985" s="1" t="n">
        <v>2984</v>
      </c>
      <c r="B2985" s="6" t="str">
        <f aca="false">HYPERLINK("https://mncourtfraud.com/file/MCRO_27-CR-22-3377_Notice of Remote Hearing with Instructions_2023-01-25_20240429031126.pdf","MCRO_27-CR-22-3377_Notice of Remote Hearing with Instructions_2023-01-25_20240429031126.pdf")</f>
        <v>MCRO_27-CR-22-3377_Notice of Remote Hearing with Instructions_2023-01-25_20240429031126.pdf</v>
      </c>
      <c r="C2985" s="1" t="n">
        <v>4</v>
      </c>
      <c r="D2985" s="1" t="n">
        <v>1</v>
      </c>
      <c r="E2985" s="1" t="n">
        <v>1</v>
      </c>
      <c r="F2985" s="3" t="s">
        <v>20</v>
      </c>
      <c r="G2985" s="3" t="s">
        <v>12037</v>
      </c>
      <c r="H2985" s="1" t="s">
        <v>22</v>
      </c>
      <c r="I2985" s="1" t="n">
        <v>20240429031126</v>
      </c>
      <c r="J2985" s="3" t="s">
        <v>12038</v>
      </c>
      <c r="K2985" s="3" t="s">
        <v>12039</v>
      </c>
      <c r="L2985" s="3" t="s">
        <v>11587</v>
      </c>
      <c r="M2985" s="3" t="n">
        <v>262470</v>
      </c>
      <c r="N2985" s="3" t="s">
        <v>936</v>
      </c>
      <c r="O2985" s="1" t="n">
        <v>246084</v>
      </c>
      <c r="P2985" s="1" t="n">
        <v>93.76</v>
      </c>
      <c r="Q2985" s="1" t="s">
        <v>20</v>
      </c>
      <c r="R2985" s="1" t="s">
        <v>27</v>
      </c>
      <c r="S2985" s="1" t="s">
        <v>28</v>
      </c>
      <c r="T2985" s="1" t="s">
        <v>29</v>
      </c>
    </row>
    <row r="2986" customFormat="false" ht="18.7" hidden="false" customHeight="true" outlineLevel="0" collapsed="false">
      <c r="A2986" s="1" t="n">
        <v>2985</v>
      </c>
      <c r="B2986" s="6" t="str">
        <f aca="false">HYPERLINK("https://mncourtfraud.com/file/MCRO_27-CR-22-3377_Notice of Remote Hearing with Instructions_2023-06-13_20240429031121.pdf","MCRO_27-CR-22-3377_Notice of Remote Hearing with Instructions_2023-06-13_20240429031121.pdf")</f>
        <v>MCRO_27-CR-22-3377_Notice of Remote Hearing with Instructions_2023-06-13_20240429031121.pdf</v>
      </c>
      <c r="C2986" s="1" t="n">
        <v>5</v>
      </c>
      <c r="D2986" s="1" t="n">
        <v>1</v>
      </c>
      <c r="E2986" s="1" t="n">
        <v>1</v>
      </c>
      <c r="F2986" s="3" t="s">
        <v>20</v>
      </c>
      <c r="G2986" s="3" t="s">
        <v>12040</v>
      </c>
      <c r="H2986" s="1" t="s">
        <v>22</v>
      </c>
      <c r="I2986" s="1" t="n">
        <v>20240429031121</v>
      </c>
      <c r="J2986" s="3" t="s">
        <v>12041</v>
      </c>
      <c r="K2986" s="3" t="s">
        <v>12042</v>
      </c>
      <c r="L2986" s="3" t="s">
        <v>12043</v>
      </c>
      <c r="M2986" s="3" t="n">
        <v>845059</v>
      </c>
      <c r="N2986" s="3" t="s">
        <v>510</v>
      </c>
      <c r="O2986" s="1" t="n">
        <v>828673</v>
      </c>
      <c r="P2986" s="1" t="n">
        <v>98.06</v>
      </c>
      <c r="Q2986" s="1" t="s">
        <v>20</v>
      </c>
      <c r="R2986" s="1" t="s">
        <v>27</v>
      </c>
      <c r="S2986" s="1" t="s">
        <v>28</v>
      </c>
      <c r="T2986" s="1" t="s">
        <v>29</v>
      </c>
    </row>
    <row r="2987" customFormat="false" ht="18.7" hidden="false" customHeight="true" outlineLevel="0" collapsed="false">
      <c r="A2987" s="1" t="n">
        <v>2986</v>
      </c>
      <c r="B2987" s="6" t="str">
        <f aca="false">HYPERLINK("https://mncourtfraud.com/file/MCRO_27-CR-22-3377_Order-Evaluation for Competency to Proceed (Rule 20.01)_2022-08-30_20240429031130.pdf","MCRO_27-CR-22-3377_Order-Evaluation for Competency to Proceed (Rule 20.01)_2022-08-30_20240429031130.pdf")</f>
        <v>MCRO_27-CR-22-3377_Order-Evaluation for Competency to Proceed (Rule 20.01)_2022-08-30_20240429031130.pdf</v>
      </c>
      <c r="C2987" s="1" t="n">
        <v>5</v>
      </c>
      <c r="D2987" s="1" t="n">
        <v>1</v>
      </c>
      <c r="E2987" s="1" t="n">
        <v>1</v>
      </c>
      <c r="F2987" s="3" t="s">
        <v>20</v>
      </c>
      <c r="G2987" s="3" t="s">
        <v>12044</v>
      </c>
      <c r="H2987" s="1" t="s">
        <v>22</v>
      </c>
      <c r="I2987" s="1" t="n">
        <v>20240429031130</v>
      </c>
      <c r="J2987" s="3" t="s">
        <v>12045</v>
      </c>
      <c r="K2987" s="3" t="s">
        <v>12046</v>
      </c>
      <c r="L2987" s="3" t="s">
        <v>12047</v>
      </c>
      <c r="M2987" s="3" t="n">
        <v>818739</v>
      </c>
      <c r="N2987" s="3" t="s">
        <v>5856</v>
      </c>
      <c r="O2987" s="1" t="n">
        <v>802353</v>
      </c>
      <c r="P2987" s="1" t="n">
        <v>98</v>
      </c>
      <c r="Q2987" s="1" t="s">
        <v>20</v>
      </c>
      <c r="R2987" s="1" t="s">
        <v>27</v>
      </c>
      <c r="S2987" s="1" t="s">
        <v>28</v>
      </c>
      <c r="T2987" s="1" t="s">
        <v>29</v>
      </c>
    </row>
    <row r="2988" customFormat="false" ht="18.7" hidden="false" customHeight="true" outlineLevel="0" collapsed="false">
      <c r="A2988" s="1" t="n">
        <v>2987</v>
      </c>
      <c r="B2988" s="6" t="str">
        <f aca="false">HYPERLINK("https://mncourtfraud.com/file/MCRO_27-CR-22-3377_Order-Evaluation for Competency to Proceed (Rule 20.01)_2023-04-21_20240429031124.pdf","MCRO_27-CR-22-3377_Order-Evaluation for Competency to Proceed (Rule 20.01)_2023-04-21_20240429031124.pdf")</f>
        <v>MCRO_27-CR-22-3377_Order-Evaluation for Competency to Proceed (Rule 20.01)_2023-04-21_20240429031124.pdf</v>
      </c>
      <c r="C2988" s="1" t="n">
        <v>4</v>
      </c>
      <c r="D2988" s="1" t="n">
        <v>1</v>
      </c>
      <c r="E2988" s="1" t="n">
        <v>1</v>
      </c>
      <c r="F2988" s="3" t="s">
        <v>20</v>
      </c>
      <c r="G2988" s="3" t="s">
        <v>12048</v>
      </c>
      <c r="H2988" s="1" t="s">
        <v>22</v>
      </c>
      <c r="I2988" s="1" t="n">
        <v>20240429031124</v>
      </c>
      <c r="J2988" s="3" t="s">
        <v>12049</v>
      </c>
      <c r="K2988" s="3" t="s">
        <v>12050</v>
      </c>
      <c r="L2988" s="3" t="s">
        <v>12051</v>
      </c>
      <c r="M2988" s="3" t="n">
        <v>1097766</v>
      </c>
      <c r="N2988" s="3" t="s">
        <v>1128</v>
      </c>
      <c r="O2988" s="1" t="n">
        <v>1081380</v>
      </c>
      <c r="P2988" s="1" t="n">
        <v>98.51</v>
      </c>
      <c r="Q2988" s="1" t="s">
        <v>20</v>
      </c>
      <c r="R2988" s="1" t="s">
        <v>27</v>
      </c>
      <c r="S2988" s="1" t="s">
        <v>28</v>
      </c>
      <c r="T2988" s="1" t="s">
        <v>29</v>
      </c>
    </row>
    <row r="2989" customFormat="false" ht="18.7" hidden="false" customHeight="true" outlineLevel="0" collapsed="false">
      <c r="A2989" s="1" t="n">
        <v>2988</v>
      </c>
      <c r="B2989" s="6" t="str">
        <f aca="false">HYPERLINK("https://mncourtfraud.com/file/MCRO_27-CR-22-3377_Order-Evaluation for Competency to Proceed (Rule 20.01)_2023-10-03_20240429031119.pdf","MCRO_27-CR-22-3377_Order-Evaluation for Competency to Proceed (Rule 20.01)_2023-10-03_20240429031119.pdf")</f>
        <v>MCRO_27-CR-22-3377_Order-Evaluation for Competency to Proceed (Rule 20.01)_2023-10-03_20240429031119.pdf</v>
      </c>
      <c r="C2989" s="1" t="n">
        <v>6</v>
      </c>
      <c r="D2989" s="1" t="n">
        <v>2</v>
      </c>
      <c r="E2989" s="1" t="n">
        <v>2</v>
      </c>
      <c r="F2989" s="3" t="s">
        <v>27</v>
      </c>
      <c r="G2989" s="3" t="s">
        <v>12052</v>
      </c>
      <c r="H2989" s="1" t="s">
        <v>22</v>
      </c>
      <c r="I2989" s="1" t="n">
        <v>20240429031119</v>
      </c>
      <c r="J2989" s="3" t="s">
        <v>12053</v>
      </c>
      <c r="K2989" s="3" t="s">
        <v>12054</v>
      </c>
      <c r="L2989" s="3" t="s">
        <v>12055</v>
      </c>
      <c r="M2989" s="3" t="n">
        <v>871938</v>
      </c>
      <c r="N2989" s="3" t="s">
        <v>554</v>
      </c>
      <c r="O2989" s="1" t="n">
        <v>855552</v>
      </c>
      <c r="P2989" s="1" t="n">
        <v>98.12</v>
      </c>
      <c r="Q2989" s="1" t="s">
        <v>20</v>
      </c>
      <c r="R2989" s="1" t="s">
        <v>27</v>
      </c>
      <c r="S2989" s="1" t="s">
        <v>28</v>
      </c>
      <c r="T2989" s="1" t="s">
        <v>29</v>
      </c>
    </row>
    <row r="2990" customFormat="false" ht="18.7" hidden="false" customHeight="true" outlineLevel="0" collapsed="false">
      <c r="A2990" s="1" t="n">
        <v>2989</v>
      </c>
      <c r="B2990" s="6" t="str">
        <f aca="false">HYPERLINK("https://mncourtfraud.com/file/MCRO_27-CR-22-3377_Order for Conditional Release_2022-02-23_20240429031135.pdf","MCRO_27-CR-22-3377_Order for Conditional Release_2022-02-23_20240429031135.pdf")</f>
        <v>MCRO_27-CR-22-3377_Order for Conditional Release_2022-02-23_20240429031135.pdf</v>
      </c>
      <c r="C2990" s="1" t="n">
        <v>4</v>
      </c>
      <c r="D2990" s="1" t="n">
        <v>54</v>
      </c>
      <c r="E2990" s="1" t="n">
        <v>2</v>
      </c>
      <c r="F2990" s="3" t="s">
        <v>20</v>
      </c>
      <c r="G2990" s="3" t="s">
        <v>12056</v>
      </c>
      <c r="H2990" s="1" t="s">
        <v>22</v>
      </c>
      <c r="I2990" s="1" t="n">
        <v>20240429031135</v>
      </c>
      <c r="J2990" s="3" t="s">
        <v>12057</v>
      </c>
      <c r="K2990" s="3" t="s">
        <v>12058</v>
      </c>
      <c r="L2990" s="3" t="s">
        <v>12059</v>
      </c>
      <c r="M2990" s="3" t="n">
        <v>315117</v>
      </c>
      <c r="N2990" s="3" t="s">
        <v>12060</v>
      </c>
      <c r="O2990" s="1" t="n">
        <v>298731</v>
      </c>
      <c r="P2990" s="1" t="n">
        <v>94.8</v>
      </c>
      <c r="Q2990" s="1" t="s">
        <v>20</v>
      </c>
      <c r="R2990" s="1" t="s">
        <v>27</v>
      </c>
      <c r="S2990" s="1" t="s">
        <v>28</v>
      </c>
      <c r="T2990" s="1" t="s">
        <v>29</v>
      </c>
    </row>
    <row r="2991" customFormat="false" ht="18.7" hidden="false" customHeight="true" outlineLevel="0" collapsed="false">
      <c r="A2991" s="1" t="n">
        <v>2990</v>
      </c>
      <c r="B2991" s="6" t="str">
        <f aca="false">HYPERLINK("https://mncourtfraud.com/file/MCRO_27-CR-22-3377_Order for Conditional Release_2022-05-31_20240429031131.pdf","MCRO_27-CR-22-3377_Order for Conditional Release_2022-05-31_20240429031131.pdf")</f>
        <v>MCRO_27-CR-22-3377_Order for Conditional Release_2022-05-31_20240429031131.pdf</v>
      </c>
      <c r="C2991" s="1" t="n">
        <v>4</v>
      </c>
      <c r="D2991" s="1" t="n">
        <v>1</v>
      </c>
      <c r="E2991" s="1" t="n">
        <v>1</v>
      </c>
      <c r="F2991" s="3" t="s">
        <v>20</v>
      </c>
      <c r="G2991" s="3" t="s">
        <v>12061</v>
      </c>
      <c r="H2991" s="1" t="s">
        <v>22</v>
      </c>
      <c r="I2991" s="1" t="n">
        <v>20240429031131</v>
      </c>
      <c r="J2991" s="3" t="s">
        <v>12062</v>
      </c>
      <c r="K2991" s="3" t="s">
        <v>12063</v>
      </c>
      <c r="L2991" s="3" t="s">
        <v>12064</v>
      </c>
      <c r="M2991" s="3" t="n">
        <v>206160</v>
      </c>
      <c r="N2991" s="3" t="s">
        <v>6571</v>
      </c>
      <c r="O2991" s="1" t="n">
        <v>189774</v>
      </c>
      <c r="P2991" s="1" t="n">
        <v>92.05</v>
      </c>
      <c r="Q2991" s="1" t="s">
        <v>20</v>
      </c>
      <c r="R2991" s="1" t="s">
        <v>27</v>
      </c>
      <c r="S2991" s="1" t="s">
        <v>28</v>
      </c>
      <c r="T2991" s="1" t="s">
        <v>29</v>
      </c>
    </row>
    <row r="2992" customFormat="false" ht="18.7" hidden="false" customHeight="true" outlineLevel="0" collapsed="false">
      <c r="A2992" s="1" t="n">
        <v>2991</v>
      </c>
      <c r="B2992" s="6" t="str">
        <f aca="false">HYPERLINK("https://mncourtfraud.com/file/MCRO_27-CR-22-3377_Order for Conditional Release_2023-04-21_20240429031123.pdf","MCRO_27-CR-22-3377_Order for Conditional Release_2023-04-21_20240429031123.pdf")</f>
        <v>MCRO_27-CR-22-3377_Order for Conditional Release_2023-04-21_20240429031123.pdf</v>
      </c>
      <c r="C2992" s="1" t="n">
        <v>4</v>
      </c>
      <c r="D2992" s="1" t="n">
        <v>1</v>
      </c>
      <c r="E2992" s="1" t="n">
        <v>1</v>
      </c>
      <c r="F2992" s="3" t="s">
        <v>20</v>
      </c>
      <c r="G2992" s="3" t="s">
        <v>12065</v>
      </c>
      <c r="H2992" s="1" t="s">
        <v>22</v>
      </c>
      <c r="I2992" s="1" t="n">
        <v>20240429031123</v>
      </c>
      <c r="J2992" s="3" t="s">
        <v>12066</v>
      </c>
      <c r="K2992" s="3" t="s">
        <v>12067</v>
      </c>
      <c r="L2992" s="3" t="s">
        <v>12068</v>
      </c>
      <c r="M2992" s="3" t="n">
        <v>803001</v>
      </c>
      <c r="N2992" s="3" t="s">
        <v>158</v>
      </c>
      <c r="O2992" s="1" t="n">
        <v>786615</v>
      </c>
      <c r="P2992" s="1" t="n">
        <v>97.96</v>
      </c>
      <c r="Q2992" s="1" t="s">
        <v>20</v>
      </c>
      <c r="R2992" s="1" t="s">
        <v>27</v>
      </c>
      <c r="S2992" s="1" t="s">
        <v>28</v>
      </c>
      <c r="T2992" s="1" t="s">
        <v>29</v>
      </c>
    </row>
    <row r="2993" customFormat="false" ht="18.7" hidden="false" customHeight="true" outlineLevel="0" collapsed="false">
      <c r="A2993" s="1" t="n">
        <v>2992</v>
      </c>
      <c r="B2993" s="6" t="str">
        <f aca="false">HYPERLINK("https://mncourtfraud.com/file/MCRO_27-CR-22-3377_Returned Mail_2023-04-17_20240429031125.pdf","MCRO_27-CR-22-3377_Returned Mail_2023-04-17_20240429031125.pdf")</f>
        <v>MCRO_27-CR-22-3377_Returned Mail_2023-04-17_20240429031125.pdf</v>
      </c>
      <c r="C2993" s="1" t="n">
        <v>4</v>
      </c>
      <c r="D2993" s="1" t="n">
        <v>1</v>
      </c>
      <c r="E2993" s="1" t="n">
        <v>1</v>
      </c>
      <c r="F2993" s="3" t="s">
        <v>20</v>
      </c>
      <c r="G2993" s="3" t="s">
        <v>12069</v>
      </c>
      <c r="H2993" s="1" t="s">
        <v>22</v>
      </c>
      <c r="I2993" s="1" t="n">
        <v>20240429031125</v>
      </c>
      <c r="J2993" s="3" t="s">
        <v>12070</v>
      </c>
      <c r="K2993" s="3" t="s">
        <v>12071</v>
      </c>
      <c r="L2993" s="3" t="s">
        <v>12072</v>
      </c>
      <c r="M2993" s="3" t="n">
        <v>286451</v>
      </c>
      <c r="N2993" s="3" t="s">
        <v>158</v>
      </c>
      <c r="O2993" s="1" t="n">
        <v>270065</v>
      </c>
      <c r="P2993" s="1" t="n">
        <v>94.28</v>
      </c>
      <c r="Q2993" s="1" t="s">
        <v>20</v>
      </c>
      <c r="R2993" s="1" t="s">
        <v>27</v>
      </c>
      <c r="S2993" s="1" t="s">
        <v>28</v>
      </c>
      <c r="T2993" s="1" t="s">
        <v>29</v>
      </c>
    </row>
    <row r="2994" customFormat="false" ht="18.7" hidden="false" customHeight="true" outlineLevel="0" collapsed="false">
      <c r="A2994" s="1" t="n">
        <v>2993</v>
      </c>
      <c r="B2994" s="6" t="str">
        <f aca="false">HYPERLINK("https://mncourtfraud.com/file/MCRO_27-CR-22-3553_Amended Criminal Complaint_2022-03-17_20240429032055.pdf","MCRO_27-CR-22-3553_Amended Criminal Complaint_2022-03-17_20240429032055.pdf")</f>
        <v>MCRO_27-CR-22-3553_Amended Criminal Complaint_2022-03-17_20240429032055.pdf</v>
      </c>
      <c r="C2994" s="1" t="n">
        <v>4</v>
      </c>
      <c r="D2994" s="1" t="n">
        <v>1</v>
      </c>
      <c r="E2994" s="1" t="n">
        <v>1</v>
      </c>
      <c r="F2994" s="3" t="s">
        <v>20</v>
      </c>
      <c r="G2994" s="3" t="s">
        <v>12073</v>
      </c>
      <c r="H2994" s="1" t="s">
        <v>22</v>
      </c>
      <c r="I2994" s="1" t="n">
        <v>20240429032055</v>
      </c>
      <c r="J2994" s="3" t="s">
        <v>12074</v>
      </c>
      <c r="K2994" s="3" t="s">
        <v>12075</v>
      </c>
      <c r="L2994" s="3" t="s">
        <v>12076</v>
      </c>
      <c r="M2994" s="3" t="n">
        <v>969192</v>
      </c>
      <c r="N2994" s="3" t="s">
        <v>6293</v>
      </c>
      <c r="O2994" s="1" t="n">
        <v>952806</v>
      </c>
      <c r="P2994" s="1" t="n">
        <v>98.31</v>
      </c>
      <c r="Q2994" s="1" t="s">
        <v>20</v>
      </c>
      <c r="R2994" s="1" t="s">
        <v>27</v>
      </c>
      <c r="S2994" s="1" t="s">
        <v>28</v>
      </c>
      <c r="T2994" s="1" t="s">
        <v>29</v>
      </c>
    </row>
    <row r="2995" customFormat="false" ht="18.7" hidden="false" customHeight="true" outlineLevel="0" collapsed="false">
      <c r="A2995" s="1" t="n">
        <v>2994</v>
      </c>
      <c r="B2995" s="6" t="str">
        <f aca="false">HYPERLINK("https://mncourtfraud.com/file/MCRO_27-CR-22-3553_Assignment of Bail_2022-03-03_20240429032057.pdf","MCRO_27-CR-22-3553_Assignment of Bail_2022-03-03_20240429032057.pdf")</f>
        <v>MCRO_27-CR-22-3553_Assignment of Bail_2022-03-03_20240429032057.pdf</v>
      </c>
      <c r="C2995" s="1" t="n">
        <v>3</v>
      </c>
      <c r="D2995" s="1" t="n">
        <v>1</v>
      </c>
      <c r="E2995" s="1" t="n">
        <v>1</v>
      </c>
      <c r="F2995" s="3" t="s">
        <v>20</v>
      </c>
      <c r="G2995" s="3" t="s">
        <v>12077</v>
      </c>
      <c r="H2995" s="1" t="s">
        <v>22</v>
      </c>
      <c r="I2995" s="1" t="n">
        <v>20240429032057</v>
      </c>
      <c r="J2995" s="3" t="s">
        <v>12078</v>
      </c>
      <c r="K2995" s="3" t="s">
        <v>12079</v>
      </c>
      <c r="L2995" s="3" t="s">
        <v>12080</v>
      </c>
      <c r="M2995" s="3" t="n">
        <v>471098</v>
      </c>
      <c r="N2995" s="3" t="s">
        <v>2459</v>
      </c>
      <c r="O2995" s="1" t="n">
        <v>454712</v>
      </c>
      <c r="P2995" s="1" t="n">
        <v>96.52</v>
      </c>
      <c r="Q2995" s="1" t="s">
        <v>20</v>
      </c>
      <c r="R2995" s="1" t="s">
        <v>27</v>
      </c>
      <c r="S2995" s="1" t="s">
        <v>28</v>
      </c>
      <c r="T2995" s="1" t="s">
        <v>29</v>
      </c>
    </row>
    <row r="2996" customFormat="false" ht="18.7" hidden="false" customHeight="true" outlineLevel="0" collapsed="false">
      <c r="A2996" s="1" t="n">
        <v>2995</v>
      </c>
      <c r="B2996" s="6" t="str">
        <f aca="false">HYPERLINK("https://mncourtfraud.com/file/MCRO_27-CR-22-3553_Demand or Request for Discovery_2022-03-09_20240429032056.pdf","MCRO_27-CR-22-3553_Demand or Request for Discovery_2022-03-09_20240429032056.pdf")</f>
        <v>MCRO_27-CR-22-3553_Demand or Request for Discovery_2022-03-09_20240429032056.pdf</v>
      </c>
      <c r="C2996" s="1" t="n">
        <v>3</v>
      </c>
      <c r="D2996" s="1" t="n">
        <v>1</v>
      </c>
      <c r="E2996" s="1" t="n">
        <v>1</v>
      </c>
      <c r="F2996" s="3" t="s">
        <v>20</v>
      </c>
      <c r="G2996" s="3" t="s">
        <v>12081</v>
      </c>
      <c r="H2996" s="1" t="s">
        <v>22</v>
      </c>
      <c r="I2996" s="1" t="n">
        <v>20240429032056</v>
      </c>
      <c r="J2996" s="3" t="s">
        <v>12082</v>
      </c>
      <c r="K2996" s="3" t="s">
        <v>12083</v>
      </c>
      <c r="L2996" s="3" t="s">
        <v>12084</v>
      </c>
      <c r="M2996" s="3" t="n">
        <v>373609</v>
      </c>
      <c r="N2996" s="3" t="s">
        <v>7385</v>
      </c>
      <c r="O2996" s="1" t="n">
        <v>357223</v>
      </c>
      <c r="P2996" s="1" t="n">
        <v>95.61</v>
      </c>
      <c r="Q2996" s="1" t="s">
        <v>20</v>
      </c>
      <c r="R2996" s="1" t="s">
        <v>27</v>
      </c>
      <c r="S2996" s="1" t="s">
        <v>28</v>
      </c>
      <c r="T2996" s="1" t="s">
        <v>29</v>
      </c>
    </row>
    <row r="2997" customFormat="false" ht="18.7" hidden="false" customHeight="true" outlineLevel="0" collapsed="false">
      <c r="A2997" s="1" t="n">
        <v>2996</v>
      </c>
      <c r="B2997" s="6" t="str">
        <f aca="false">HYPERLINK("https://mncourtfraud.com/file/MCRO_27-CR-22-3553_E-filed Comp-Order for Detention_2022-02-24_20240429032058.pdf","MCRO_27-CR-22-3553_E-filed Comp-Order for Detention_2022-02-24_20240429032058.pdf")</f>
        <v>MCRO_27-CR-22-3553_E-filed Comp-Order for Detention_2022-02-24_20240429032058.pdf</v>
      </c>
      <c r="C2997" s="1" t="n">
        <v>4</v>
      </c>
      <c r="D2997" s="1" t="n">
        <v>2</v>
      </c>
      <c r="E2997" s="1" t="n">
        <v>2</v>
      </c>
      <c r="F2997" s="3" t="s">
        <v>20</v>
      </c>
      <c r="G2997" s="3" t="s">
        <v>12085</v>
      </c>
      <c r="H2997" s="1" t="s">
        <v>22</v>
      </c>
      <c r="I2997" s="1" t="n">
        <v>20240429032058</v>
      </c>
      <c r="J2997" s="3" t="s">
        <v>12086</v>
      </c>
      <c r="K2997" s="3" t="s">
        <v>12087</v>
      </c>
      <c r="L2997" s="3" t="s">
        <v>12088</v>
      </c>
      <c r="M2997" s="3" t="n">
        <v>514930</v>
      </c>
      <c r="N2997" s="3" t="s">
        <v>12089</v>
      </c>
      <c r="O2997" s="1" t="n">
        <v>498544</v>
      </c>
      <c r="P2997" s="1" t="n">
        <v>96.82</v>
      </c>
      <c r="Q2997" s="1" t="s">
        <v>20</v>
      </c>
      <c r="R2997" s="1" t="s">
        <v>27</v>
      </c>
      <c r="S2997" s="1" t="s">
        <v>28</v>
      </c>
      <c r="T2997" s="1" t="s">
        <v>29</v>
      </c>
    </row>
    <row r="2998" customFormat="false" ht="18.7" hidden="false" customHeight="true" outlineLevel="0" collapsed="false">
      <c r="A2998" s="1" t="n">
        <v>2997</v>
      </c>
      <c r="B2998" s="6" t="str">
        <f aca="false">HYPERLINK("https://mncourtfraud.com/file/MCRO_27-CR-22-3553_Finding of Incompetency and Order_2023-05-24_20240429032047.pdf","MCRO_27-CR-22-3553_Finding of Incompetency and Order_2023-05-24_20240429032047.pdf")</f>
        <v>MCRO_27-CR-22-3553_Finding of Incompetency and Order_2023-05-24_20240429032047.pdf</v>
      </c>
      <c r="C2998" s="1" t="n">
        <v>9</v>
      </c>
      <c r="D2998" s="1" t="n">
        <v>3</v>
      </c>
      <c r="E2998" s="1" t="n">
        <v>3</v>
      </c>
      <c r="F2998" s="3" t="s">
        <v>27</v>
      </c>
      <c r="G2998" s="3" t="s">
        <v>12090</v>
      </c>
      <c r="H2998" s="1" t="s">
        <v>22</v>
      </c>
      <c r="I2998" s="1" t="n">
        <v>20240429032047</v>
      </c>
      <c r="J2998" s="3" t="s">
        <v>12091</v>
      </c>
      <c r="K2998" s="3" t="s">
        <v>12092</v>
      </c>
      <c r="L2998" s="3" t="s">
        <v>12093</v>
      </c>
      <c r="M2998" s="3" t="n">
        <v>963407</v>
      </c>
      <c r="N2998" s="3" t="s">
        <v>1019</v>
      </c>
      <c r="O2998" s="1" t="n">
        <v>947021</v>
      </c>
      <c r="P2998" s="1" t="n">
        <v>98.3</v>
      </c>
      <c r="Q2998" s="1" t="s">
        <v>20</v>
      </c>
      <c r="R2998" s="1" t="s">
        <v>27</v>
      </c>
      <c r="S2998" s="1" t="s">
        <v>28</v>
      </c>
      <c r="T2998" s="1" t="s">
        <v>29</v>
      </c>
    </row>
    <row r="2999" customFormat="false" ht="18.7" hidden="false" customHeight="true" outlineLevel="0" collapsed="false">
      <c r="A2999" s="1" t="n">
        <v>2998</v>
      </c>
      <c r="B2999" s="6" t="str">
        <f aca="false">HYPERLINK("https://mncourtfraud.com/file/MCRO_27-CR-22-3553_Memorandum_2022-04-25_20240429032052.pdf","MCRO_27-CR-22-3553_Memorandum_2022-04-25_20240429032052.pdf")</f>
        <v>MCRO_27-CR-22-3553_Memorandum_2022-04-25_20240429032052.pdf</v>
      </c>
      <c r="C2999" s="1" t="n">
        <v>3</v>
      </c>
      <c r="D2999" s="1" t="n">
        <v>1</v>
      </c>
      <c r="E2999" s="1" t="n">
        <v>1</v>
      </c>
      <c r="F2999" s="3" t="s">
        <v>20</v>
      </c>
      <c r="G2999" s="3" t="s">
        <v>12094</v>
      </c>
      <c r="H2999" s="1" t="s">
        <v>22</v>
      </c>
      <c r="I2999" s="1" t="n">
        <v>20240429032052</v>
      </c>
      <c r="J2999" s="3" t="s">
        <v>12095</v>
      </c>
      <c r="K2999" s="3" t="s">
        <v>12096</v>
      </c>
      <c r="L2999" s="3" t="s">
        <v>12097</v>
      </c>
      <c r="M2999" s="3" t="n">
        <v>262515</v>
      </c>
      <c r="N2999" s="3" t="s">
        <v>1128</v>
      </c>
      <c r="O2999" s="1" t="n">
        <v>246129</v>
      </c>
      <c r="P2999" s="1" t="n">
        <v>93.76</v>
      </c>
      <c r="Q2999" s="1" t="s">
        <v>20</v>
      </c>
      <c r="R2999" s="1" t="s">
        <v>27</v>
      </c>
      <c r="S2999" s="1" t="s">
        <v>28</v>
      </c>
      <c r="T2999" s="1" t="s">
        <v>29</v>
      </c>
    </row>
    <row r="3000" customFormat="false" ht="18.7" hidden="false" customHeight="true" outlineLevel="0" collapsed="false">
      <c r="A3000" s="1" t="n">
        <v>2999</v>
      </c>
      <c r="B3000" s="6" t="str">
        <f aca="false">HYPERLINK("https://mncourtfraud.com/file/MCRO_27-CR-22-3553_Memorandum_2022-04-26_20240429032051.pdf","MCRO_27-CR-22-3553_Memorandum_2022-04-26_20240429032051.pdf")</f>
        <v>MCRO_27-CR-22-3553_Memorandum_2022-04-26_20240429032051.pdf</v>
      </c>
      <c r="C3000" s="1" t="n">
        <v>3</v>
      </c>
      <c r="D3000" s="1" t="n">
        <v>1</v>
      </c>
      <c r="E3000" s="1" t="n">
        <v>1</v>
      </c>
      <c r="F3000" s="3" t="s">
        <v>20</v>
      </c>
      <c r="G3000" s="3" t="s">
        <v>12098</v>
      </c>
      <c r="H3000" s="1" t="s">
        <v>22</v>
      </c>
      <c r="I3000" s="1" t="n">
        <v>20240429032051</v>
      </c>
      <c r="J3000" s="3" t="s">
        <v>12099</v>
      </c>
      <c r="K3000" s="3" t="s">
        <v>12100</v>
      </c>
      <c r="L3000" s="3" t="s">
        <v>12101</v>
      </c>
      <c r="M3000" s="3" t="n">
        <v>487525</v>
      </c>
      <c r="N3000" s="3" t="s">
        <v>8593</v>
      </c>
      <c r="O3000" s="1" t="n">
        <v>471139</v>
      </c>
      <c r="P3000" s="1" t="n">
        <v>96.64</v>
      </c>
      <c r="Q3000" s="1" t="s">
        <v>20</v>
      </c>
      <c r="R3000" s="1" t="s">
        <v>27</v>
      </c>
      <c r="S3000" s="1" t="s">
        <v>28</v>
      </c>
      <c r="T3000" s="1" t="s">
        <v>29</v>
      </c>
    </row>
    <row r="3001" customFormat="false" ht="18.7" hidden="false" customHeight="true" outlineLevel="0" collapsed="false">
      <c r="A3001" s="1" t="n">
        <v>3000</v>
      </c>
      <c r="B3001" s="6" t="str">
        <f aca="false">HYPERLINK("https://mncourtfraud.com/file/MCRO_27-CR-22-3553_Memorandum_2022-04-27_20240429032050.pdf","MCRO_27-CR-22-3553_Memorandum_2022-04-27_20240429032050.pdf")</f>
        <v>MCRO_27-CR-22-3553_Memorandum_2022-04-27_20240429032050.pdf</v>
      </c>
      <c r="C3001" s="1" t="n">
        <v>3</v>
      </c>
      <c r="D3001" s="1" t="n">
        <v>1</v>
      </c>
      <c r="E3001" s="1" t="n">
        <v>1</v>
      </c>
      <c r="F3001" s="3" t="s">
        <v>20</v>
      </c>
      <c r="G3001" s="3" t="s">
        <v>12102</v>
      </c>
      <c r="H3001" s="1" t="s">
        <v>22</v>
      </c>
      <c r="I3001" s="1" t="n">
        <v>20240429032050</v>
      </c>
      <c r="J3001" s="3" t="s">
        <v>12103</v>
      </c>
      <c r="K3001" s="3" t="s">
        <v>12104</v>
      </c>
      <c r="L3001" s="3" t="s">
        <v>12105</v>
      </c>
      <c r="M3001" s="3" t="n">
        <v>425587</v>
      </c>
      <c r="N3001" s="3" t="s">
        <v>2768</v>
      </c>
      <c r="O3001" s="1" t="n">
        <v>409201</v>
      </c>
      <c r="P3001" s="1" t="n">
        <v>96.15</v>
      </c>
      <c r="Q3001" s="1" t="s">
        <v>20</v>
      </c>
      <c r="R3001" s="1" t="s">
        <v>27</v>
      </c>
      <c r="S3001" s="1" t="s">
        <v>28</v>
      </c>
      <c r="T3001" s="1" t="s">
        <v>29</v>
      </c>
    </row>
    <row r="3002" customFormat="false" ht="18.7" hidden="false" customHeight="true" outlineLevel="0" collapsed="false">
      <c r="A3002" s="1" t="n">
        <v>3001</v>
      </c>
      <c r="B3002" s="6" t="str">
        <f aca="false">HYPERLINK("https://mncourtfraud.com/file/MCRO_27-CR-22-3553_Notice of Case Reassignment_2022-04-01_20240429032054.pdf","MCRO_27-CR-22-3553_Notice of Case Reassignment_2022-04-01_20240429032054.pdf")</f>
        <v>MCRO_27-CR-22-3553_Notice of Case Reassignment_2022-04-01_20240429032054.pdf</v>
      </c>
      <c r="C3002" s="1" t="n">
        <v>4</v>
      </c>
      <c r="D3002" s="1" t="n">
        <v>1</v>
      </c>
      <c r="E3002" s="1" t="n">
        <v>1</v>
      </c>
      <c r="F3002" s="3" t="s">
        <v>20</v>
      </c>
      <c r="G3002" s="3" t="s">
        <v>12106</v>
      </c>
      <c r="H3002" s="1" t="s">
        <v>22</v>
      </c>
      <c r="I3002" s="1" t="n">
        <v>20240429032054</v>
      </c>
      <c r="J3002" s="3" t="s">
        <v>12107</v>
      </c>
      <c r="K3002" s="3" t="s">
        <v>12108</v>
      </c>
      <c r="L3002" s="3" t="s">
        <v>12109</v>
      </c>
      <c r="M3002" s="3" t="n">
        <v>97285</v>
      </c>
      <c r="N3002" s="3" t="s">
        <v>456</v>
      </c>
      <c r="O3002" s="1" t="n">
        <v>80899</v>
      </c>
      <c r="P3002" s="1" t="n">
        <v>83.16</v>
      </c>
      <c r="Q3002" s="1" t="s">
        <v>20</v>
      </c>
      <c r="R3002" s="1" t="s">
        <v>27</v>
      </c>
      <c r="S3002" s="1" t="s">
        <v>28</v>
      </c>
      <c r="T3002" s="1" t="s">
        <v>29</v>
      </c>
    </row>
    <row r="3003" customFormat="false" ht="18.7" hidden="false" customHeight="true" outlineLevel="0" collapsed="false">
      <c r="A3003" s="1" t="n">
        <v>3002</v>
      </c>
      <c r="B3003" s="6" t="str">
        <f aca="false">HYPERLINK("https://mncourtfraud.com/file/MCRO_27-CR-22-3553_Notice of Case Reassignment_2023-11-03_20240429032043.pdf","MCRO_27-CR-22-3553_Notice of Case Reassignment_2023-11-03_20240429032043.pdf")</f>
        <v>MCRO_27-CR-22-3553_Notice of Case Reassignment_2023-11-03_20240429032043.pdf</v>
      </c>
      <c r="C3003" s="1" t="n">
        <v>4</v>
      </c>
      <c r="D3003" s="1" t="n">
        <v>1</v>
      </c>
      <c r="E3003" s="1" t="n">
        <v>1</v>
      </c>
      <c r="F3003" s="3" t="s">
        <v>20</v>
      </c>
      <c r="G3003" s="3" t="s">
        <v>12110</v>
      </c>
      <c r="H3003" s="1" t="s">
        <v>22</v>
      </c>
      <c r="I3003" s="1" t="n">
        <v>20240429032043</v>
      </c>
      <c r="J3003" s="3" t="s">
        <v>12111</v>
      </c>
      <c r="K3003" s="3" t="s">
        <v>12112</v>
      </c>
      <c r="L3003" s="3" t="s">
        <v>12113</v>
      </c>
      <c r="M3003" s="3" t="n">
        <v>295435</v>
      </c>
      <c r="N3003" s="3" t="s">
        <v>158</v>
      </c>
      <c r="O3003" s="1" t="n">
        <v>279049</v>
      </c>
      <c r="P3003" s="1" t="n">
        <v>94.45</v>
      </c>
      <c r="Q3003" s="1" t="s">
        <v>20</v>
      </c>
      <c r="R3003" s="1" t="s">
        <v>27</v>
      </c>
      <c r="S3003" s="1" t="s">
        <v>28</v>
      </c>
      <c r="T3003" s="1" t="s">
        <v>29</v>
      </c>
    </row>
    <row r="3004" customFormat="false" ht="18.7" hidden="false" customHeight="true" outlineLevel="0" collapsed="false">
      <c r="A3004" s="1" t="n">
        <v>3003</v>
      </c>
      <c r="B3004" s="6" t="str">
        <f aca="false">HYPERLINK("https://mncourtfraud.com/file/MCRO_27-CR-22-3553_Notice of Intent to Prosecute_2024-01-24_20240429032041.pdf","MCRO_27-CR-22-3553_Notice of Intent to Prosecute_2024-01-24_20240429032041.pdf")</f>
        <v>MCRO_27-CR-22-3553_Notice of Intent to Prosecute_2024-01-24_20240429032041.pdf</v>
      </c>
      <c r="C3004" s="1" t="n">
        <v>3</v>
      </c>
      <c r="D3004" s="1" t="n">
        <v>1</v>
      </c>
      <c r="E3004" s="1" t="n">
        <v>1</v>
      </c>
      <c r="F3004" s="3" t="s">
        <v>20</v>
      </c>
      <c r="G3004" s="3" t="s">
        <v>12114</v>
      </c>
      <c r="H3004" s="1" t="s">
        <v>22</v>
      </c>
      <c r="I3004" s="1" t="n">
        <v>20240429032041</v>
      </c>
      <c r="J3004" s="3" t="s">
        <v>12115</v>
      </c>
      <c r="K3004" s="3" t="s">
        <v>12116</v>
      </c>
      <c r="L3004" s="3" t="s">
        <v>12117</v>
      </c>
      <c r="M3004" s="3" t="n">
        <v>116981</v>
      </c>
      <c r="N3004" s="3" t="s">
        <v>3225</v>
      </c>
      <c r="O3004" s="1" t="n">
        <v>100595</v>
      </c>
      <c r="P3004" s="1" t="n">
        <v>85.99</v>
      </c>
      <c r="Q3004" s="1" t="s">
        <v>20</v>
      </c>
      <c r="R3004" s="1" t="s">
        <v>27</v>
      </c>
      <c r="S3004" s="1" t="s">
        <v>28</v>
      </c>
      <c r="T3004" s="1" t="s">
        <v>29</v>
      </c>
    </row>
    <row r="3005" customFormat="false" ht="18.7" hidden="false" customHeight="true" outlineLevel="0" collapsed="false">
      <c r="A3005" s="1" t="n">
        <v>3004</v>
      </c>
      <c r="B3005" s="6" t="str">
        <f aca="false">HYPERLINK("https://mncourtfraud.com/file/MCRO_27-CR-22-3553_Notice of Remote Hearing with Instructions_2023-11-21_20240429032042.pdf","MCRO_27-CR-22-3553_Notice of Remote Hearing with Instructions_2023-11-21_20240429032042.pdf")</f>
        <v>MCRO_27-CR-22-3553_Notice of Remote Hearing with Instructions_2023-11-21_20240429032042.pdf</v>
      </c>
      <c r="C3005" s="1" t="n">
        <v>5</v>
      </c>
      <c r="D3005" s="1" t="n">
        <v>1</v>
      </c>
      <c r="E3005" s="1" t="n">
        <v>1</v>
      </c>
      <c r="F3005" s="3" t="s">
        <v>20</v>
      </c>
      <c r="G3005" s="3" t="s">
        <v>12118</v>
      </c>
      <c r="H3005" s="1" t="s">
        <v>22</v>
      </c>
      <c r="I3005" s="1" t="n">
        <v>20240429032042</v>
      </c>
      <c r="J3005" s="3" t="s">
        <v>12119</v>
      </c>
      <c r="K3005" s="3" t="s">
        <v>12120</v>
      </c>
      <c r="L3005" s="3" t="s">
        <v>1077</v>
      </c>
      <c r="M3005" s="3" t="n">
        <v>859491</v>
      </c>
      <c r="N3005" s="3" t="s">
        <v>1009</v>
      </c>
      <c r="O3005" s="1" t="n">
        <v>843105</v>
      </c>
      <c r="P3005" s="1" t="n">
        <v>98.09</v>
      </c>
      <c r="Q3005" s="1" t="s">
        <v>20</v>
      </c>
      <c r="R3005" s="1" t="s">
        <v>27</v>
      </c>
      <c r="S3005" s="1" t="s">
        <v>28</v>
      </c>
      <c r="T3005" s="1" t="s">
        <v>29</v>
      </c>
    </row>
    <row r="3006" customFormat="false" ht="18.7" hidden="false" customHeight="true" outlineLevel="0" collapsed="false">
      <c r="A3006" s="1" t="n">
        <v>3005</v>
      </c>
      <c r="B3006" s="6" t="str">
        <f aca="false">HYPERLINK("https://mncourtfraud.com/file/MCRO_27-CR-22-3553_Notice of Remote Hearing with Instructions_2024-01-25_20240429032040.pdf","MCRO_27-CR-22-3553_Notice of Remote Hearing with Instructions_2024-01-25_20240429032040.pdf")</f>
        <v>MCRO_27-CR-22-3553_Notice of Remote Hearing with Instructions_2024-01-25_20240429032040.pdf</v>
      </c>
      <c r="C3006" s="1" t="n">
        <v>5</v>
      </c>
      <c r="D3006" s="1" t="n">
        <v>1</v>
      </c>
      <c r="E3006" s="1" t="n">
        <v>1</v>
      </c>
      <c r="F3006" s="3" t="s">
        <v>20</v>
      </c>
      <c r="G3006" s="3" t="s">
        <v>12121</v>
      </c>
      <c r="H3006" s="1" t="s">
        <v>22</v>
      </c>
      <c r="I3006" s="1" t="n">
        <v>20240429032040</v>
      </c>
      <c r="J3006" s="3" t="s">
        <v>12122</v>
      </c>
      <c r="K3006" s="3" t="s">
        <v>12123</v>
      </c>
      <c r="L3006" s="3" t="s">
        <v>12124</v>
      </c>
      <c r="M3006" s="3" t="n">
        <v>844511</v>
      </c>
      <c r="N3006" s="3" t="s">
        <v>510</v>
      </c>
      <c r="O3006" s="1" t="n">
        <v>828125</v>
      </c>
      <c r="P3006" s="1" t="n">
        <v>98.06</v>
      </c>
      <c r="Q3006" s="1" t="s">
        <v>20</v>
      </c>
      <c r="R3006" s="1" t="s">
        <v>27</v>
      </c>
      <c r="S3006" s="1" t="s">
        <v>28</v>
      </c>
      <c r="T3006" s="1" t="s">
        <v>29</v>
      </c>
    </row>
    <row r="3007" customFormat="false" ht="18.7" hidden="false" customHeight="true" outlineLevel="0" collapsed="false">
      <c r="A3007" s="1" t="n">
        <v>3006</v>
      </c>
      <c r="B3007" s="6" t="str">
        <f aca="false">HYPERLINK("https://mncourtfraud.com/file/MCRO_27-CR-22-3553_Order Denying Motion_2022-05-16_20240429032049.pdf","MCRO_27-CR-22-3553_Order Denying Motion_2022-05-16_20240429032049.pdf")</f>
        <v>MCRO_27-CR-22-3553_Order Denying Motion_2022-05-16_20240429032049.pdf</v>
      </c>
      <c r="C3007" s="1" t="n">
        <v>3</v>
      </c>
      <c r="D3007" s="1" t="n">
        <v>1</v>
      </c>
      <c r="E3007" s="1" t="n">
        <v>1</v>
      </c>
      <c r="F3007" s="3" t="s">
        <v>20</v>
      </c>
      <c r="G3007" s="3" t="s">
        <v>12125</v>
      </c>
      <c r="H3007" s="1" t="s">
        <v>22</v>
      </c>
      <c r="I3007" s="1" t="n">
        <v>20240429032049</v>
      </c>
      <c r="J3007" s="3" t="s">
        <v>12126</v>
      </c>
      <c r="K3007" s="3" t="s">
        <v>12127</v>
      </c>
      <c r="L3007" s="3" t="s">
        <v>12128</v>
      </c>
      <c r="M3007" s="3" t="n">
        <v>305995</v>
      </c>
      <c r="N3007" s="3" t="s">
        <v>10542</v>
      </c>
      <c r="O3007" s="1" t="n">
        <v>289609</v>
      </c>
      <c r="P3007" s="1" t="n">
        <v>94.65</v>
      </c>
      <c r="Q3007" s="1" t="s">
        <v>20</v>
      </c>
      <c r="R3007" s="1" t="s">
        <v>27</v>
      </c>
      <c r="S3007" s="1" t="s">
        <v>28</v>
      </c>
      <c r="T3007" s="1" t="s">
        <v>29</v>
      </c>
    </row>
    <row r="3008" customFormat="false" ht="18.7" hidden="false" customHeight="true" outlineLevel="0" collapsed="false">
      <c r="A3008" s="1" t="n">
        <v>3007</v>
      </c>
      <c r="B3008" s="6" t="str">
        <f aca="false">HYPERLINK("https://mncourtfraud.com/file/MCRO_27-CR-22-3553_Order-Evaluation for Competency to Proceed (Rule 20.01)_2023-04-20_20240429032047.pdf","MCRO_27-CR-22-3553_Order-Evaluation for Competency to Proceed (Rule 20.01)_2023-04-20_20240429032047.pdf")</f>
        <v>MCRO_27-CR-22-3553_Order-Evaluation for Competency to Proceed (Rule 20.01)_2023-04-20_20240429032047.pdf</v>
      </c>
      <c r="C3008" s="1" t="n">
        <v>4</v>
      </c>
      <c r="D3008" s="1" t="n">
        <v>1</v>
      </c>
      <c r="E3008" s="1" t="n">
        <v>1</v>
      </c>
      <c r="F3008" s="3" t="s">
        <v>20</v>
      </c>
      <c r="G3008" s="3" t="s">
        <v>12129</v>
      </c>
      <c r="H3008" s="1" t="s">
        <v>22</v>
      </c>
      <c r="I3008" s="1" t="n">
        <v>20240429032047</v>
      </c>
      <c r="J3008" s="3" t="s">
        <v>12130</v>
      </c>
      <c r="K3008" s="3" t="s">
        <v>12131</v>
      </c>
      <c r="L3008" s="3" t="s">
        <v>12132</v>
      </c>
      <c r="M3008" s="3" t="n">
        <v>133187</v>
      </c>
      <c r="N3008" s="3" t="s">
        <v>1086</v>
      </c>
      <c r="O3008" s="1" t="n">
        <v>116801</v>
      </c>
      <c r="P3008" s="1" t="n">
        <v>87.7</v>
      </c>
      <c r="Q3008" s="1" t="s">
        <v>20</v>
      </c>
      <c r="R3008" s="1" t="s">
        <v>27</v>
      </c>
      <c r="S3008" s="1" t="s">
        <v>28</v>
      </c>
      <c r="T3008" s="1" t="s">
        <v>29</v>
      </c>
    </row>
    <row r="3009" customFormat="false" ht="18.7" hidden="false" customHeight="true" outlineLevel="0" collapsed="false">
      <c r="A3009" s="1" t="n">
        <v>3008</v>
      </c>
      <c r="B3009" s="6" t="str">
        <f aca="false">HYPERLINK("https://mncourtfraud.com/file/MCRO_27-CR-22-3553_Order-Evaluation for Competency to Proceed (Rule 20.01)_2023-09-11_20240429032044.pdf","MCRO_27-CR-22-3553_Order-Evaluation for Competency to Proceed (Rule 20.01)_2023-09-11_20240429032044.pdf")</f>
        <v>MCRO_27-CR-22-3553_Order-Evaluation for Competency to Proceed (Rule 20.01)_2023-09-11_20240429032044.pdf</v>
      </c>
      <c r="C3009" s="1" t="n">
        <v>5</v>
      </c>
      <c r="D3009" s="1" t="n">
        <v>1</v>
      </c>
      <c r="E3009" s="1" t="n">
        <v>1</v>
      </c>
      <c r="F3009" s="3" t="s">
        <v>20</v>
      </c>
      <c r="G3009" s="3" t="s">
        <v>12133</v>
      </c>
      <c r="H3009" s="1" t="s">
        <v>22</v>
      </c>
      <c r="I3009" s="1" t="n">
        <v>20240429032044</v>
      </c>
      <c r="J3009" s="3" t="s">
        <v>12134</v>
      </c>
      <c r="K3009" s="3" t="s">
        <v>12135</v>
      </c>
      <c r="L3009" s="3" t="s">
        <v>12136</v>
      </c>
      <c r="M3009" s="3" t="n">
        <v>760850</v>
      </c>
      <c r="N3009" s="3" t="s">
        <v>1091</v>
      </c>
      <c r="O3009" s="1" t="n">
        <v>744464</v>
      </c>
      <c r="P3009" s="1" t="n">
        <v>97.85</v>
      </c>
      <c r="Q3009" s="1" t="s">
        <v>20</v>
      </c>
      <c r="R3009" s="1" t="s">
        <v>27</v>
      </c>
      <c r="S3009" s="1" t="s">
        <v>28</v>
      </c>
      <c r="T3009" s="1" t="s">
        <v>29</v>
      </c>
    </row>
    <row r="3010" customFormat="false" ht="18.7" hidden="false" customHeight="true" outlineLevel="0" collapsed="false">
      <c r="A3010" s="1" t="n">
        <v>3009</v>
      </c>
      <c r="B3010" s="6" t="str">
        <f aca="false">HYPERLINK("https://mncourtfraud.com/file/MCRO_27-CR-22-3553_Proposed Order or Document_2023-08-03_20240429032045.pdf","MCRO_27-CR-22-3553_Proposed Order or Document_2023-08-03_20240429032045.pdf")</f>
        <v>MCRO_27-CR-22-3553_Proposed Order or Document_2023-08-03_20240429032045.pdf</v>
      </c>
      <c r="C3010" s="1" t="n">
        <v>3</v>
      </c>
      <c r="D3010" s="1" t="n">
        <v>1</v>
      </c>
      <c r="E3010" s="1" t="n">
        <v>1</v>
      </c>
      <c r="F3010" s="3" t="s">
        <v>20</v>
      </c>
      <c r="G3010" s="3" t="s">
        <v>12137</v>
      </c>
      <c r="H3010" s="1" t="s">
        <v>22</v>
      </c>
      <c r="I3010" s="1" t="n">
        <v>20240429032045</v>
      </c>
      <c r="J3010" s="3" t="s">
        <v>12138</v>
      </c>
      <c r="K3010" s="3" t="s">
        <v>12139</v>
      </c>
      <c r="L3010" s="3" t="s">
        <v>12140</v>
      </c>
      <c r="M3010" s="3" t="n">
        <v>179774</v>
      </c>
      <c r="N3010" s="3" t="s">
        <v>1115</v>
      </c>
      <c r="O3010" s="1" t="n">
        <v>163388</v>
      </c>
      <c r="P3010" s="1" t="n">
        <v>90.89</v>
      </c>
      <c r="Q3010" s="1" t="s">
        <v>20</v>
      </c>
      <c r="R3010" s="1" t="s">
        <v>27</v>
      </c>
      <c r="S3010" s="1" t="s">
        <v>28</v>
      </c>
      <c r="T3010" s="1" t="s">
        <v>29</v>
      </c>
    </row>
    <row r="3011" customFormat="false" ht="18.7" hidden="false" customHeight="true" outlineLevel="0" collapsed="false">
      <c r="A3011" s="1" t="n">
        <v>3010</v>
      </c>
      <c r="B3011" s="6" t="str">
        <f aca="false">HYPERLINK("https://mncourtfraud.com/file/MCRO_27-CR-22-3553_Returned Mail_2022-04-06_20240429032053.pdf","MCRO_27-CR-22-3553_Returned Mail_2022-04-06_20240429032053.pdf")</f>
        <v>MCRO_27-CR-22-3553_Returned Mail_2022-04-06_20240429032053.pdf</v>
      </c>
      <c r="C3011" s="1" t="n">
        <v>4</v>
      </c>
      <c r="D3011" s="1" t="n">
        <v>1</v>
      </c>
      <c r="E3011" s="1" t="n">
        <v>1</v>
      </c>
      <c r="F3011" s="3" t="s">
        <v>20</v>
      </c>
      <c r="G3011" s="3" t="s">
        <v>12141</v>
      </c>
      <c r="H3011" s="1" t="s">
        <v>22</v>
      </c>
      <c r="I3011" s="1" t="n">
        <v>20240429032053</v>
      </c>
      <c r="J3011" s="3" t="s">
        <v>12142</v>
      </c>
      <c r="K3011" s="3" t="s">
        <v>12143</v>
      </c>
      <c r="L3011" s="3" t="s">
        <v>12144</v>
      </c>
      <c r="M3011" s="3" t="n">
        <v>76665</v>
      </c>
      <c r="N3011" s="3" t="s">
        <v>1307</v>
      </c>
      <c r="O3011" s="1" t="n">
        <v>60279</v>
      </c>
      <c r="P3011" s="1" t="n">
        <v>78.63</v>
      </c>
      <c r="Q3011" s="1" t="s">
        <v>20</v>
      </c>
      <c r="R3011" s="1" t="s">
        <v>27</v>
      </c>
      <c r="S3011" s="1" t="s">
        <v>28</v>
      </c>
      <c r="T3011" s="1" t="s">
        <v>29</v>
      </c>
    </row>
    <row r="3012" customFormat="false" ht="18.7" hidden="false" customHeight="true" outlineLevel="0" collapsed="false">
      <c r="A3012" s="1" t="n">
        <v>3011</v>
      </c>
      <c r="B3012" s="6" t="str">
        <f aca="false">HYPERLINK("https://mncourtfraud.com/file/MCRO_27-CR-22-3553_Returned Mail_2024-02-09_20240429032039.pdf","MCRO_27-CR-22-3553_Returned Mail_2024-02-09_20240429032039.pdf")</f>
        <v>MCRO_27-CR-22-3553_Returned Mail_2024-02-09_20240429032039.pdf</v>
      </c>
      <c r="C3012" s="1" t="n">
        <v>4</v>
      </c>
      <c r="D3012" s="1" t="n">
        <v>1</v>
      </c>
      <c r="E3012" s="1" t="n">
        <v>1</v>
      </c>
      <c r="F3012" s="3" t="s">
        <v>20</v>
      </c>
      <c r="G3012" s="3" t="s">
        <v>12145</v>
      </c>
      <c r="H3012" s="1" t="s">
        <v>22</v>
      </c>
      <c r="I3012" s="1" t="n">
        <v>20240429032039</v>
      </c>
      <c r="J3012" s="3" t="s">
        <v>12146</v>
      </c>
      <c r="K3012" s="3" t="s">
        <v>12147</v>
      </c>
      <c r="L3012" s="3" t="s">
        <v>12148</v>
      </c>
      <c r="M3012" s="3" t="n">
        <v>861985</v>
      </c>
      <c r="N3012" s="3" t="s">
        <v>1128</v>
      </c>
      <c r="O3012" s="1" t="n">
        <v>845599</v>
      </c>
      <c r="P3012" s="1" t="n">
        <v>98.1</v>
      </c>
      <c r="Q3012" s="1" t="s">
        <v>20</v>
      </c>
      <c r="R3012" s="1" t="s">
        <v>27</v>
      </c>
      <c r="S3012" s="1" t="s">
        <v>28</v>
      </c>
      <c r="T3012" s="1" t="s">
        <v>29</v>
      </c>
    </row>
    <row r="3013" customFormat="false" ht="18.7" hidden="false" customHeight="true" outlineLevel="0" collapsed="false">
      <c r="A3013" s="1" t="n">
        <v>3012</v>
      </c>
      <c r="B3013" s="6" t="str">
        <f aca="false">HYPERLINK("https://mncourtfraud.com/file/MCRO_27-CR-22-3570_Other Document_2023-12-26_20240429034542.pdf","MCRO_27-CR-22-3570_Other Document_2023-12-26_20240429034542.pdf")</f>
        <v>MCRO_27-CR-22-3570_Other Document_2023-12-26_20240429034542.pdf</v>
      </c>
      <c r="C3013" s="1" t="n">
        <v>4</v>
      </c>
      <c r="D3013" s="1" t="n">
        <v>1</v>
      </c>
      <c r="E3013" s="1" t="n">
        <v>1</v>
      </c>
      <c r="F3013" s="3" t="s">
        <v>20</v>
      </c>
      <c r="G3013" s="3" t="s">
        <v>12149</v>
      </c>
      <c r="H3013" s="1" t="s">
        <v>22</v>
      </c>
      <c r="I3013" s="1" t="n">
        <v>20240429034542</v>
      </c>
      <c r="J3013" s="3" t="s">
        <v>12150</v>
      </c>
      <c r="K3013" s="3" t="s">
        <v>12151</v>
      </c>
      <c r="L3013" s="3" t="s">
        <v>11517</v>
      </c>
      <c r="M3013" s="3" t="n">
        <v>753102</v>
      </c>
      <c r="N3013" s="3" t="s">
        <v>1086</v>
      </c>
      <c r="O3013" s="1" t="n">
        <v>736716</v>
      </c>
      <c r="P3013" s="1" t="n">
        <v>97.82</v>
      </c>
      <c r="Q3013" s="1" t="s">
        <v>20</v>
      </c>
      <c r="R3013" s="1" t="s">
        <v>27</v>
      </c>
      <c r="S3013" s="1" t="s">
        <v>28</v>
      </c>
      <c r="T3013" s="1" t="s">
        <v>29</v>
      </c>
    </row>
    <row r="3014" customFormat="false" ht="18.7" hidden="false" customHeight="true" outlineLevel="0" collapsed="false">
      <c r="A3014" s="1" t="n">
        <v>3013</v>
      </c>
      <c r="B3014" s="6" t="str">
        <f aca="false">HYPERLINK("https://mncourtfraud.com/file/MCRO_27-CR-22-3570_Other Document_2023-12-26_20240429034544.pdf","MCRO_27-CR-22-3570_Other Document_2023-12-26_20240429034544.pdf")</f>
        <v>MCRO_27-CR-22-3570_Other Document_2023-12-26_20240429034544.pdf</v>
      </c>
      <c r="C3014" s="1" t="n">
        <v>4</v>
      </c>
      <c r="D3014" s="1" t="n">
        <v>1</v>
      </c>
      <c r="E3014" s="1" t="n">
        <v>1</v>
      </c>
      <c r="F3014" s="3" t="s">
        <v>20</v>
      </c>
      <c r="G3014" s="3" t="s">
        <v>12152</v>
      </c>
      <c r="H3014" s="1" t="s">
        <v>22</v>
      </c>
      <c r="I3014" s="1" t="n">
        <v>20240429034544</v>
      </c>
      <c r="J3014" s="3" t="s">
        <v>12153</v>
      </c>
      <c r="K3014" s="3" t="s">
        <v>12154</v>
      </c>
      <c r="L3014" s="3" t="s">
        <v>11521</v>
      </c>
      <c r="M3014" s="3" t="n">
        <v>684781</v>
      </c>
      <c r="N3014" s="3" t="s">
        <v>736</v>
      </c>
      <c r="O3014" s="1" t="n">
        <v>668395</v>
      </c>
      <c r="P3014" s="1" t="n">
        <v>97.61</v>
      </c>
      <c r="Q3014" s="1" t="s">
        <v>20</v>
      </c>
      <c r="R3014" s="1" t="s">
        <v>27</v>
      </c>
      <c r="S3014" s="1" t="s">
        <v>28</v>
      </c>
      <c r="T3014" s="1" t="s">
        <v>29</v>
      </c>
    </row>
    <row r="3015" customFormat="false" ht="18.7" hidden="false" customHeight="true" outlineLevel="0" collapsed="false">
      <c r="A3015" s="1" t="n">
        <v>3014</v>
      </c>
      <c r="B3015" s="6" t="str">
        <f aca="false">HYPERLINK("https://mncourtfraud.com/file/MCRO_27-CR-22-3570_Other Document_2023-12-26_20240429034547.pdf","MCRO_27-CR-22-3570_Other Document_2023-12-26_20240429034547.pdf")</f>
        <v>MCRO_27-CR-22-3570_Other Document_2023-12-26_20240429034547.pdf</v>
      </c>
      <c r="C3015" s="1" t="n">
        <v>4</v>
      </c>
      <c r="D3015" s="1" t="n">
        <v>1</v>
      </c>
      <c r="E3015" s="1" t="n">
        <v>1</v>
      </c>
      <c r="F3015" s="3" t="s">
        <v>20</v>
      </c>
      <c r="G3015" s="3" t="s">
        <v>12155</v>
      </c>
      <c r="H3015" s="1" t="s">
        <v>22</v>
      </c>
      <c r="I3015" s="1" t="n">
        <v>20240429034547</v>
      </c>
      <c r="J3015" s="3" t="s">
        <v>12156</v>
      </c>
      <c r="K3015" s="3" t="s">
        <v>12157</v>
      </c>
      <c r="L3015" s="3" t="s">
        <v>12158</v>
      </c>
      <c r="M3015" s="3" t="n">
        <v>684986</v>
      </c>
      <c r="N3015" s="3" t="s">
        <v>486</v>
      </c>
      <c r="O3015" s="1" t="n">
        <v>668600</v>
      </c>
      <c r="P3015" s="1" t="n">
        <v>97.61</v>
      </c>
      <c r="Q3015" s="1" t="s">
        <v>20</v>
      </c>
      <c r="R3015" s="1" t="s">
        <v>27</v>
      </c>
      <c r="S3015" s="1" t="s">
        <v>28</v>
      </c>
      <c r="T3015" s="1" t="s">
        <v>29</v>
      </c>
    </row>
    <row r="3016" customFormat="false" ht="18.7" hidden="false" customHeight="true" outlineLevel="0" collapsed="false">
      <c r="A3016" s="1" t="n">
        <v>3015</v>
      </c>
      <c r="B3016" s="6" t="str">
        <f aca="false">HYPERLINK("https://mncourtfraud.com/file/MCRO_27-CR-22-3570_Other Document_2023-12-26_20240429034549.pdf","MCRO_27-CR-22-3570_Other Document_2023-12-26_20240429034549.pdf")</f>
        <v>MCRO_27-CR-22-3570_Other Document_2023-12-26_20240429034549.pdf</v>
      </c>
      <c r="C3016" s="1" t="n">
        <v>4</v>
      </c>
      <c r="D3016" s="1" t="n">
        <v>1</v>
      </c>
      <c r="E3016" s="1" t="n">
        <v>1</v>
      </c>
      <c r="F3016" s="3" t="s">
        <v>20</v>
      </c>
      <c r="G3016" s="3" t="s">
        <v>12159</v>
      </c>
      <c r="H3016" s="1" t="s">
        <v>22</v>
      </c>
      <c r="I3016" s="1" t="n">
        <v>20240429034549</v>
      </c>
      <c r="J3016" s="3" t="s">
        <v>12160</v>
      </c>
      <c r="K3016" s="3" t="s">
        <v>12161</v>
      </c>
      <c r="L3016" s="3" t="s">
        <v>11529</v>
      </c>
      <c r="M3016" s="3" t="n">
        <v>745753</v>
      </c>
      <c r="N3016" s="3" t="s">
        <v>11530</v>
      </c>
      <c r="O3016" s="1" t="n">
        <v>729367</v>
      </c>
      <c r="P3016" s="1" t="n">
        <v>97.8</v>
      </c>
      <c r="Q3016" s="1" t="s">
        <v>20</v>
      </c>
      <c r="R3016" s="1" t="s">
        <v>27</v>
      </c>
      <c r="S3016" s="1" t="s">
        <v>28</v>
      </c>
      <c r="T3016" s="1" t="s">
        <v>29</v>
      </c>
    </row>
    <row r="3017" customFormat="false" ht="18.7" hidden="false" customHeight="true" outlineLevel="0" collapsed="false">
      <c r="A3017" s="1" t="n">
        <v>3016</v>
      </c>
      <c r="B3017" s="6" t="str">
        <f aca="false">HYPERLINK("https://mncourtfraud.com/file/MCRO_27-CR-22-3570_Amended Order_2023-12-22_20240429034551.pdf","MCRO_27-CR-22-3570_Amended Order_2023-12-22_20240429034551.pdf")</f>
        <v>MCRO_27-CR-22-3570_Amended Order_2023-12-22_20240429034551.pdf</v>
      </c>
      <c r="C3017" s="1" t="n">
        <v>4</v>
      </c>
      <c r="D3017" s="1" t="n">
        <v>1</v>
      </c>
      <c r="E3017" s="1" t="n">
        <v>1</v>
      </c>
      <c r="F3017" s="3" t="s">
        <v>20</v>
      </c>
      <c r="G3017" s="3" t="s">
        <v>12162</v>
      </c>
      <c r="H3017" s="1" t="s">
        <v>22</v>
      </c>
      <c r="I3017" s="1" t="n">
        <v>20240429034551</v>
      </c>
      <c r="J3017" s="3" t="s">
        <v>12163</v>
      </c>
      <c r="K3017" s="3" t="s">
        <v>12164</v>
      </c>
      <c r="L3017" s="3" t="s">
        <v>12165</v>
      </c>
      <c r="M3017" s="3" t="n">
        <v>769393</v>
      </c>
      <c r="N3017" s="3" t="s">
        <v>588</v>
      </c>
      <c r="O3017" s="1" t="n">
        <v>753007</v>
      </c>
      <c r="P3017" s="1" t="n">
        <v>97.87</v>
      </c>
      <c r="Q3017" s="1" t="s">
        <v>20</v>
      </c>
      <c r="R3017" s="1" t="s">
        <v>27</v>
      </c>
      <c r="S3017" s="1" t="s">
        <v>28</v>
      </c>
      <c r="T3017" s="1" t="s">
        <v>29</v>
      </c>
    </row>
    <row r="3018" customFormat="false" ht="18.7" hidden="false" customHeight="true" outlineLevel="0" collapsed="false">
      <c r="A3018" s="1" t="n">
        <v>3017</v>
      </c>
      <c r="B3018" s="6" t="str">
        <f aca="false">HYPERLINK("https://mncourtfraud.com/file/MCRO_27-CR-22-3570_Sentencing Order_2023-12-14_20240429034553.pdf","MCRO_27-CR-22-3570_Sentencing Order_2023-12-14_20240429034553.pdf")</f>
        <v>MCRO_27-CR-22-3570_Sentencing Order_2023-12-14_20240429034553.pdf</v>
      </c>
      <c r="C3018" s="1" t="n">
        <v>4</v>
      </c>
      <c r="D3018" s="1" t="n">
        <v>1</v>
      </c>
      <c r="E3018" s="1" t="n">
        <v>1</v>
      </c>
      <c r="F3018" s="3" t="s">
        <v>20</v>
      </c>
      <c r="G3018" s="3" t="s">
        <v>12166</v>
      </c>
      <c r="H3018" s="1" t="s">
        <v>22</v>
      </c>
      <c r="I3018" s="1" t="n">
        <v>20240429034553</v>
      </c>
      <c r="J3018" s="3" t="s">
        <v>12167</v>
      </c>
      <c r="K3018" s="3" t="s">
        <v>12168</v>
      </c>
      <c r="L3018" s="3" t="s">
        <v>12169</v>
      </c>
      <c r="M3018" s="3" t="n">
        <v>301380</v>
      </c>
      <c r="N3018" s="3" t="s">
        <v>12170</v>
      </c>
      <c r="O3018" s="1" t="n">
        <v>284994</v>
      </c>
      <c r="P3018" s="1" t="n">
        <v>94.56</v>
      </c>
      <c r="Q3018" s="1" t="s">
        <v>20</v>
      </c>
      <c r="R3018" s="1" t="s">
        <v>27</v>
      </c>
      <c r="S3018" s="1" t="s">
        <v>28</v>
      </c>
      <c r="T3018" s="1" t="s">
        <v>29</v>
      </c>
    </row>
    <row r="3019" customFormat="false" ht="18.7" hidden="false" customHeight="true" outlineLevel="0" collapsed="false">
      <c r="A3019" s="1" t="n">
        <v>3018</v>
      </c>
      <c r="B3019" s="6" t="str">
        <f aca="false">HYPERLINK("https://mncourtfraud.com/file/MCRO_27-CR-22-3570_Probation Referral Notification_2023-12-14_20240429034555.pdf","MCRO_27-CR-22-3570_Probation Referral Notification_2023-12-14_20240429034555.pdf")</f>
        <v>MCRO_27-CR-22-3570_Probation Referral Notification_2023-12-14_20240429034555.pdf</v>
      </c>
      <c r="C3019" s="1" t="n">
        <v>4</v>
      </c>
      <c r="D3019" s="1" t="n">
        <v>1</v>
      </c>
      <c r="E3019" s="1" t="n">
        <v>1</v>
      </c>
      <c r="F3019" s="3" t="s">
        <v>20</v>
      </c>
      <c r="G3019" s="3" t="s">
        <v>12171</v>
      </c>
      <c r="H3019" s="1" t="s">
        <v>22</v>
      </c>
      <c r="I3019" s="1" t="n">
        <v>20240429034555</v>
      </c>
      <c r="J3019" s="3" t="s">
        <v>12172</v>
      </c>
      <c r="K3019" s="3" t="s">
        <v>12173</v>
      </c>
      <c r="L3019" s="3" t="s">
        <v>12174</v>
      </c>
      <c r="M3019" s="3" t="n">
        <v>97608</v>
      </c>
      <c r="N3019" s="3" t="s">
        <v>3269</v>
      </c>
      <c r="O3019" s="1" t="n">
        <v>81222</v>
      </c>
      <c r="P3019" s="1" t="n">
        <v>83.21</v>
      </c>
      <c r="Q3019" s="1" t="s">
        <v>20</v>
      </c>
      <c r="R3019" s="1" t="s">
        <v>27</v>
      </c>
      <c r="S3019" s="1" t="s">
        <v>28</v>
      </c>
      <c r="T3019" s="1" t="s">
        <v>29</v>
      </c>
    </row>
    <row r="3020" customFormat="false" ht="18.7" hidden="false" customHeight="true" outlineLevel="0" collapsed="false">
      <c r="A3020" s="1" t="n">
        <v>3019</v>
      </c>
      <c r="B3020" s="6" t="str">
        <f aca="false">HYPERLINK("https://mncourtfraud.com/file/MCRO_27-CR-22-3570_Order-Other_2023-12-14_20240429034557.pdf","MCRO_27-CR-22-3570_Order-Other_2023-12-14_20240429034557.pdf")</f>
        <v>MCRO_27-CR-22-3570_Order-Other_2023-12-14_20240429034557.pdf</v>
      </c>
      <c r="C3020" s="1" t="n">
        <v>4</v>
      </c>
      <c r="D3020" s="1" t="n">
        <v>1</v>
      </c>
      <c r="E3020" s="1" t="n">
        <v>1</v>
      </c>
      <c r="F3020" s="3" t="s">
        <v>20</v>
      </c>
      <c r="G3020" s="3" t="s">
        <v>12175</v>
      </c>
      <c r="H3020" s="1" t="s">
        <v>22</v>
      </c>
      <c r="I3020" s="1" t="n">
        <v>20240429034557</v>
      </c>
      <c r="J3020" s="3" t="s">
        <v>12176</v>
      </c>
      <c r="K3020" s="3" t="s">
        <v>12177</v>
      </c>
      <c r="L3020" s="3" t="s">
        <v>12178</v>
      </c>
      <c r="M3020" s="3" t="n">
        <v>255172</v>
      </c>
      <c r="N3020" s="3" t="s">
        <v>1128</v>
      </c>
      <c r="O3020" s="1" t="n">
        <v>238786</v>
      </c>
      <c r="P3020" s="1" t="n">
        <v>93.58</v>
      </c>
      <c r="Q3020" s="1" t="s">
        <v>20</v>
      </c>
      <c r="R3020" s="1" t="s">
        <v>27</v>
      </c>
      <c r="S3020" s="1" t="s">
        <v>28</v>
      </c>
      <c r="T3020" s="1" t="s">
        <v>29</v>
      </c>
    </row>
    <row r="3021" customFormat="false" ht="18.7" hidden="false" customHeight="true" outlineLevel="0" collapsed="false">
      <c r="A3021" s="1" t="n">
        <v>3020</v>
      </c>
      <c r="B3021" s="6" t="str">
        <f aca="false">HYPERLINK("https://mncourtfraud.com/file/MCRO_27-CR-22-3570_Cash Bond Ordered Refunded_2023-12-14_20240429034559.pdf","MCRO_27-CR-22-3570_Cash Bond Ordered Refunded_2023-12-14_20240429034559.pdf")</f>
        <v>MCRO_27-CR-22-3570_Cash Bond Ordered Refunded_2023-12-14_20240429034559.pdf</v>
      </c>
      <c r="C3021" s="1" t="n">
        <v>4</v>
      </c>
      <c r="D3021" s="1" t="n">
        <v>1</v>
      </c>
      <c r="E3021" s="1" t="n">
        <v>1</v>
      </c>
      <c r="F3021" s="3" t="s">
        <v>20</v>
      </c>
      <c r="G3021" s="3" t="s">
        <v>12179</v>
      </c>
      <c r="H3021" s="1" t="s">
        <v>22</v>
      </c>
      <c r="I3021" s="1" t="n">
        <v>20240429034559</v>
      </c>
      <c r="J3021" s="3" t="s">
        <v>12180</v>
      </c>
      <c r="K3021" s="3" t="s">
        <v>12181</v>
      </c>
      <c r="L3021" s="3" t="s">
        <v>12182</v>
      </c>
      <c r="M3021" s="3" t="n">
        <v>78091</v>
      </c>
      <c r="N3021" s="3" t="s">
        <v>3269</v>
      </c>
      <c r="O3021" s="1" t="n">
        <v>61705</v>
      </c>
      <c r="P3021" s="1" t="n">
        <v>79.02</v>
      </c>
      <c r="Q3021" s="1" t="s">
        <v>20</v>
      </c>
      <c r="R3021" s="1" t="s">
        <v>27</v>
      </c>
      <c r="S3021" s="1" t="s">
        <v>28</v>
      </c>
      <c r="T3021" s="1" t="s">
        <v>29</v>
      </c>
    </row>
    <row r="3022" customFormat="false" ht="18.7" hidden="false" customHeight="true" outlineLevel="0" collapsed="false">
      <c r="A3022" s="1" t="n">
        <v>3021</v>
      </c>
      <c r="B3022" s="6" t="str">
        <f aca="false">HYPERLINK("https://mncourtfraud.com/file/MCRO_27-CR-22-3570_Petition to Enter Guilty Plea_2023-12-07_20240429034601.pdf","MCRO_27-CR-22-3570_Petition to Enter Guilty Plea_2023-12-07_20240429034601.pdf")</f>
        <v>MCRO_27-CR-22-3570_Petition to Enter Guilty Plea_2023-12-07_20240429034601.pdf</v>
      </c>
      <c r="C3022" s="1" t="n">
        <v>4</v>
      </c>
      <c r="D3022" s="1" t="n">
        <v>1</v>
      </c>
      <c r="E3022" s="1" t="n">
        <v>1</v>
      </c>
      <c r="F3022" s="3" t="s">
        <v>20</v>
      </c>
      <c r="G3022" s="3" t="s">
        <v>12183</v>
      </c>
      <c r="H3022" s="1" t="s">
        <v>22</v>
      </c>
      <c r="I3022" s="1" t="n">
        <v>20240429034601</v>
      </c>
      <c r="J3022" s="3" t="s">
        <v>12184</v>
      </c>
      <c r="K3022" s="3" t="s">
        <v>12185</v>
      </c>
      <c r="L3022" s="3" t="s">
        <v>12186</v>
      </c>
      <c r="M3022" s="3" t="n">
        <v>371453</v>
      </c>
      <c r="N3022" s="3" t="s">
        <v>11530</v>
      </c>
      <c r="O3022" s="1" t="n">
        <v>355067</v>
      </c>
      <c r="P3022" s="1" t="n">
        <v>95.59</v>
      </c>
      <c r="Q3022" s="1" t="s">
        <v>20</v>
      </c>
      <c r="R3022" s="1" t="s">
        <v>27</v>
      </c>
      <c r="S3022" s="1" t="s">
        <v>28</v>
      </c>
      <c r="T3022" s="1" t="s">
        <v>29</v>
      </c>
    </row>
    <row r="3023" customFormat="false" ht="18.7" hidden="false" customHeight="true" outlineLevel="0" collapsed="false">
      <c r="A3023" s="1" t="n">
        <v>3022</v>
      </c>
      <c r="B3023" s="6" t="str">
        <f aca="false">HYPERLINK("https://mncourtfraud.com/file/MCRO_27-CR-22-3570_Notice of Hearing_2023-11-09_20240429034603.pdf","MCRO_27-CR-22-3570_Notice of Hearing_2023-11-09_20240429034603.pdf")</f>
        <v>MCRO_27-CR-22-3570_Notice of Hearing_2023-11-09_20240429034603.pdf</v>
      </c>
      <c r="C3023" s="1" t="n">
        <v>4</v>
      </c>
      <c r="D3023" s="1" t="n">
        <v>1</v>
      </c>
      <c r="E3023" s="1" t="n">
        <v>1</v>
      </c>
      <c r="F3023" s="3" t="s">
        <v>20</v>
      </c>
      <c r="G3023" s="3" t="s">
        <v>12187</v>
      </c>
      <c r="H3023" s="1" t="s">
        <v>22</v>
      </c>
      <c r="I3023" s="1" t="n">
        <v>20240429034603</v>
      </c>
      <c r="J3023" s="3" t="s">
        <v>12188</v>
      </c>
      <c r="K3023" s="3" t="s">
        <v>12189</v>
      </c>
      <c r="L3023" s="3" t="s">
        <v>11477</v>
      </c>
      <c r="M3023" s="3" t="n">
        <v>89405</v>
      </c>
      <c r="N3023" s="3" t="s">
        <v>3269</v>
      </c>
      <c r="O3023" s="1" t="n">
        <v>73019</v>
      </c>
      <c r="P3023" s="1" t="n">
        <v>81.67</v>
      </c>
      <c r="Q3023" s="1" t="s">
        <v>20</v>
      </c>
      <c r="R3023" s="1" t="s">
        <v>27</v>
      </c>
      <c r="S3023" s="1" t="s">
        <v>28</v>
      </c>
      <c r="T3023" s="1" t="s">
        <v>29</v>
      </c>
    </row>
    <row r="3024" customFormat="false" ht="18.7" hidden="false" customHeight="true" outlineLevel="0" collapsed="false">
      <c r="A3024" s="1" t="n">
        <v>3023</v>
      </c>
      <c r="B3024" s="6" t="str">
        <f aca="false">HYPERLINK("https://mncourtfraud.com/file/MCRO_27-CR-22-3570_Notice of Case Reassignment_2023-11-03_20240429034605.pdf","MCRO_27-CR-22-3570_Notice of Case Reassignment_2023-11-03_20240429034605.pdf")</f>
        <v>MCRO_27-CR-22-3570_Notice of Case Reassignment_2023-11-03_20240429034605.pdf</v>
      </c>
      <c r="C3024" s="1" t="n">
        <v>3</v>
      </c>
      <c r="D3024" s="1" t="n">
        <v>1</v>
      </c>
      <c r="E3024" s="1" t="n">
        <v>1</v>
      </c>
      <c r="F3024" s="3" t="s">
        <v>20</v>
      </c>
      <c r="G3024" s="3" t="s">
        <v>12190</v>
      </c>
      <c r="H3024" s="1" t="s">
        <v>22</v>
      </c>
      <c r="I3024" s="1" t="n">
        <v>20240429034605</v>
      </c>
      <c r="J3024" s="3" t="s">
        <v>12191</v>
      </c>
      <c r="K3024" s="3" t="s">
        <v>12192</v>
      </c>
      <c r="L3024" s="3" t="s">
        <v>5507</v>
      </c>
      <c r="M3024" s="3" t="n">
        <v>114468</v>
      </c>
      <c r="N3024" s="3" t="s">
        <v>128</v>
      </c>
      <c r="O3024" s="1" t="n">
        <v>98082</v>
      </c>
      <c r="P3024" s="1" t="n">
        <v>85.69</v>
      </c>
      <c r="Q3024" s="1" t="s">
        <v>20</v>
      </c>
      <c r="R3024" s="1" t="s">
        <v>27</v>
      </c>
      <c r="S3024" s="1" t="s">
        <v>28</v>
      </c>
      <c r="T3024" s="1" t="s">
        <v>29</v>
      </c>
    </row>
    <row r="3025" customFormat="false" ht="18.7" hidden="false" customHeight="true" outlineLevel="0" collapsed="false">
      <c r="A3025" s="1" t="n">
        <v>3024</v>
      </c>
      <c r="B3025" s="6" t="str">
        <f aca="false">HYPERLINK("https://mncourtfraud.com/file/MCRO_27-CR-22-3570_Notice of Hearing_2023-08-14_20240429034607.pdf","MCRO_27-CR-22-3570_Notice of Hearing_2023-08-14_20240429034607.pdf")</f>
        <v>MCRO_27-CR-22-3570_Notice of Hearing_2023-08-14_20240429034607.pdf</v>
      </c>
      <c r="C3025" s="1" t="n">
        <v>4</v>
      </c>
      <c r="D3025" s="1" t="n">
        <v>1</v>
      </c>
      <c r="E3025" s="1" t="n">
        <v>1</v>
      </c>
      <c r="F3025" s="3" t="s">
        <v>20</v>
      </c>
      <c r="G3025" s="3" t="s">
        <v>12193</v>
      </c>
      <c r="H3025" s="1" t="s">
        <v>22</v>
      </c>
      <c r="I3025" s="1" t="n">
        <v>20240429034607</v>
      </c>
      <c r="J3025" s="3" t="s">
        <v>12194</v>
      </c>
      <c r="K3025" s="3" t="s">
        <v>12195</v>
      </c>
      <c r="L3025" s="3" t="s">
        <v>12196</v>
      </c>
      <c r="M3025" s="3" t="n">
        <v>90382</v>
      </c>
      <c r="N3025" s="3" t="s">
        <v>3269</v>
      </c>
      <c r="O3025" s="1" t="n">
        <v>73996</v>
      </c>
      <c r="P3025" s="1" t="n">
        <v>81.87</v>
      </c>
      <c r="Q3025" s="1" t="s">
        <v>20</v>
      </c>
      <c r="R3025" s="1" t="s">
        <v>27</v>
      </c>
      <c r="S3025" s="1" t="s">
        <v>28</v>
      </c>
      <c r="T3025" s="1" t="s">
        <v>29</v>
      </c>
    </row>
    <row r="3026" customFormat="false" ht="18.7" hidden="false" customHeight="true" outlineLevel="0" collapsed="false">
      <c r="A3026" s="1" t="n">
        <v>3025</v>
      </c>
      <c r="B3026" s="6" t="str">
        <f aca="false">HYPERLINK("https://mncourtfraud.com/file/MCRO_27-CR-22-3570_Notice of Remote Hearing with Instructions_2023-07-18_20240429034609.pdf","MCRO_27-CR-22-3570_Notice of Remote Hearing with Instructions_2023-07-18_20240429034609.pdf")</f>
        <v>MCRO_27-CR-22-3570_Notice of Remote Hearing with Instructions_2023-07-18_20240429034609.pdf</v>
      </c>
      <c r="C3026" s="1" t="n">
        <v>5</v>
      </c>
      <c r="D3026" s="1" t="n">
        <v>1</v>
      </c>
      <c r="E3026" s="1" t="n">
        <v>1</v>
      </c>
      <c r="F3026" s="3" t="s">
        <v>20</v>
      </c>
      <c r="G3026" s="3" t="s">
        <v>12197</v>
      </c>
      <c r="H3026" s="1" t="s">
        <v>22</v>
      </c>
      <c r="I3026" s="1" t="n">
        <v>20240429034609</v>
      </c>
      <c r="J3026" s="3" t="s">
        <v>12198</v>
      </c>
      <c r="K3026" s="3" t="s">
        <v>12199</v>
      </c>
      <c r="L3026" s="3" t="s">
        <v>12200</v>
      </c>
      <c r="M3026" s="3" t="n">
        <v>841062</v>
      </c>
      <c r="N3026" s="3" t="s">
        <v>510</v>
      </c>
      <c r="O3026" s="1" t="n">
        <v>824676</v>
      </c>
      <c r="P3026" s="1" t="n">
        <v>98.05</v>
      </c>
      <c r="Q3026" s="1" t="s">
        <v>20</v>
      </c>
      <c r="R3026" s="1" t="s">
        <v>27</v>
      </c>
      <c r="S3026" s="1" t="s">
        <v>28</v>
      </c>
      <c r="T3026" s="1" t="s">
        <v>29</v>
      </c>
    </row>
    <row r="3027" customFormat="false" ht="18.7" hidden="false" customHeight="true" outlineLevel="0" collapsed="false">
      <c r="A3027" s="1" t="n">
        <v>3026</v>
      </c>
      <c r="B3027" s="6" t="str">
        <f aca="false">HYPERLINK("https://mncourtfraud.com/file/MCRO_27-CR-22-3570_Order-Other_2023-07-13_20240429034611.pdf","MCRO_27-CR-22-3570_Order-Other_2023-07-13_20240429034611.pdf")</f>
        <v>MCRO_27-CR-22-3570_Order-Other_2023-07-13_20240429034611.pdf</v>
      </c>
      <c r="C3027" s="1" t="n">
        <v>7</v>
      </c>
      <c r="D3027" s="1" t="n">
        <v>5</v>
      </c>
      <c r="E3027" s="1" t="n">
        <v>5</v>
      </c>
      <c r="F3027" s="3" t="s">
        <v>20</v>
      </c>
      <c r="G3027" s="3" t="s">
        <v>12201</v>
      </c>
      <c r="H3027" s="1" t="s">
        <v>22</v>
      </c>
      <c r="I3027" s="1" t="n">
        <v>20240429034611</v>
      </c>
      <c r="J3027" s="3" t="s">
        <v>12202</v>
      </c>
      <c r="K3027" s="3" t="s">
        <v>12203</v>
      </c>
      <c r="L3027" s="3" t="s">
        <v>12204</v>
      </c>
      <c r="M3027" s="3" t="n">
        <v>329159</v>
      </c>
      <c r="N3027" s="3" t="s">
        <v>1316</v>
      </c>
      <c r="O3027" s="1" t="n">
        <v>312773</v>
      </c>
      <c r="P3027" s="1" t="n">
        <v>95.02</v>
      </c>
      <c r="Q3027" s="1" t="s">
        <v>20</v>
      </c>
      <c r="R3027" s="1" t="s">
        <v>27</v>
      </c>
      <c r="S3027" s="1" t="s">
        <v>28</v>
      </c>
      <c r="T3027" s="1" t="s">
        <v>29</v>
      </c>
    </row>
    <row r="3028" customFormat="false" ht="18.7" hidden="false" customHeight="true" outlineLevel="0" collapsed="false">
      <c r="A3028" s="1" t="n">
        <v>3027</v>
      </c>
      <c r="B3028" s="6" t="str">
        <f aca="false">HYPERLINK("https://mncourtfraud.com/file/MCRO_27-CR-22-3570_Proposed Order or Document_2023-07-12_20240429034613.pdf","MCRO_27-CR-22-3570_Proposed Order or Document_2023-07-12_20240429034613.pdf")</f>
        <v>MCRO_27-CR-22-3570_Proposed Order or Document_2023-07-12_20240429034613.pdf</v>
      </c>
      <c r="C3028" s="1" t="n">
        <v>3</v>
      </c>
      <c r="D3028" s="1" t="n">
        <v>1</v>
      </c>
      <c r="E3028" s="1" t="n">
        <v>1</v>
      </c>
      <c r="F3028" s="3" t="s">
        <v>20</v>
      </c>
      <c r="G3028" s="3" t="s">
        <v>12205</v>
      </c>
      <c r="H3028" s="1" t="s">
        <v>22</v>
      </c>
      <c r="I3028" s="1" t="n">
        <v>20240429034613</v>
      </c>
      <c r="J3028" s="3" t="s">
        <v>12206</v>
      </c>
      <c r="K3028" s="3" t="s">
        <v>12207</v>
      </c>
      <c r="L3028" s="3" t="s">
        <v>12208</v>
      </c>
      <c r="M3028" s="3" t="n">
        <v>178387</v>
      </c>
      <c r="N3028" s="3" t="s">
        <v>1115</v>
      </c>
      <c r="O3028" s="1" t="n">
        <v>162001</v>
      </c>
      <c r="P3028" s="1" t="n">
        <v>90.81</v>
      </c>
      <c r="Q3028" s="1" t="s">
        <v>20</v>
      </c>
      <c r="R3028" s="1" t="s">
        <v>27</v>
      </c>
      <c r="S3028" s="1" t="s">
        <v>28</v>
      </c>
      <c r="T3028" s="1" t="s">
        <v>29</v>
      </c>
    </row>
    <row r="3029" customFormat="false" ht="18.7" hidden="false" customHeight="true" outlineLevel="0" collapsed="false">
      <c r="A3029" s="1" t="n">
        <v>3028</v>
      </c>
      <c r="B3029" s="6" t="str">
        <f aca="false">HYPERLINK("https://mncourtfraud.com/file/MCRO_27-CR-22-3570_Correspondence_2023-05-18_20240429034615.pdf","MCRO_27-CR-22-3570_Correspondence_2023-05-18_20240429034615.pdf")</f>
        <v>MCRO_27-CR-22-3570_Correspondence_2023-05-18_20240429034615.pdf</v>
      </c>
      <c r="C3029" s="1" t="n">
        <v>5</v>
      </c>
      <c r="D3029" s="1" t="n">
        <v>5</v>
      </c>
      <c r="E3029" s="1" t="n">
        <v>5</v>
      </c>
      <c r="F3029" s="3" t="s">
        <v>20</v>
      </c>
      <c r="G3029" s="3" t="s">
        <v>12209</v>
      </c>
      <c r="H3029" s="1" t="s">
        <v>22</v>
      </c>
      <c r="I3029" s="1" t="n">
        <v>20240429034615</v>
      </c>
      <c r="J3029" s="3" t="s">
        <v>12210</v>
      </c>
      <c r="K3029" s="3" t="s">
        <v>12211</v>
      </c>
      <c r="L3029" s="3" t="s">
        <v>12212</v>
      </c>
      <c r="M3029" s="3" t="n">
        <v>382046</v>
      </c>
      <c r="N3029" s="3" t="s">
        <v>4192</v>
      </c>
      <c r="O3029" s="1" t="n">
        <v>365660</v>
      </c>
      <c r="P3029" s="1" t="n">
        <v>95.71</v>
      </c>
      <c r="Q3029" s="1" t="s">
        <v>20</v>
      </c>
      <c r="R3029" s="1" t="s">
        <v>27</v>
      </c>
      <c r="S3029" s="1" t="s">
        <v>28</v>
      </c>
      <c r="T3029" s="1" t="s">
        <v>29</v>
      </c>
    </row>
    <row r="3030" customFormat="false" ht="18.7" hidden="false" customHeight="true" outlineLevel="0" collapsed="false">
      <c r="A3030" s="1" t="n">
        <v>3029</v>
      </c>
      <c r="B3030" s="6" t="str">
        <f aca="false">HYPERLINK("https://mncourtfraud.com/file/MCRO_27-CR-22-3570_Notice of Intent to Prosecute_2023-02-15_20240429034617.pdf","MCRO_27-CR-22-3570_Notice of Intent to Prosecute_2023-02-15_20240429034617.pdf")</f>
        <v>MCRO_27-CR-22-3570_Notice of Intent to Prosecute_2023-02-15_20240429034617.pdf</v>
      </c>
      <c r="C3030" s="1" t="n">
        <v>3</v>
      </c>
      <c r="D3030" s="1" t="n">
        <v>1</v>
      </c>
      <c r="E3030" s="1" t="n">
        <v>1</v>
      </c>
      <c r="F3030" s="3" t="s">
        <v>20</v>
      </c>
      <c r="G3030" s="3" t="s">
        <v>12213</v>
      </c>
      <c r="H3030" s="1" t="s">
        <v>22</v>
      </c>
      <c r="I3030" s="1" t="n">
        <v>20240429034617</v>
      </c>
      <c r="J3030" s="3" t="s">
        <v>12214</v>
      </c>
      <c r="K3030" s="3" t="s">
        <v>12215</v>
      </c>
      <c r="L3030" s="3" t="s">
        <v>12216</v>
      </c>
      <c r="M3030" s="3" t="n">
        <v>117928</v>
      </c>
      <c r="N3030" s="3" t="s">
        <v>736</v>
      </c>
      <c r="O3030" s="1" t="n">
        <v>101542</v>
      </c>
      <c r="P3030" s="1" t="n">
        <v>86.11</v>
      </c>
      <c r="Q3030" s="1" t="s">
        <v>20</v>
      </c>
      <c r="R3030" s="1" t="s">
        <v>27</v>
      </c>
      <c r="S3030" s="1" t="s">
        <v>28</v>
      </c>
      <c r="T3030" s="1" t="s">
        <v>29</v>
      </c>
    </row>
    <row r="3031" customFormat="false" ht="18.7" hidden="false" customHeight="true" outlineLevel="0" collapsed="false">
      <c r="A3031" s="1" t="n">
        <v>3030</v>
      </c>
      <c r="B3031" s="6" t="str">
        <f aca="false">HYPERLINK("https://mncourtfraud.com/file/MCRO_27-CR-22-3570_Finding of Incompetency and Order_2023-02-15_20240429034620.pdf","MCRO_27-CR-22-3570_Finding of Incompetency and Order_2023-02-15_20240429034620.pdf")</f>
        <v>MCRO_27-CR-22-3570_Finding of Incompetency and Order_2023-02-15_20240429034620.pdf</v>
      </c>
      <c r="C3031" s="1" t="n">
        <v>9</v>
      </c>
      <c r="D3031" s="1" t="n">
        <v>3</v>
      </c>
      <c r="E3031" s="1" t="n">
        <v>3</v>
      </c>
      <c r="F3031" s="3" t="s">
        <v>27</v>
      </c>
      <c r="G3031" s="3" t="s">
        <v>12217</v>
      </c>
      <c r="H3031" s="1" t="s">
        <v>22</v>
      </c>
      <c r="I3031" s="1" t="n">
        <v>20240429034620</v>
      </c>
      <c r="J3031" s="3" t="s">
        <v>12218</v>
      </c>
      <c r="K3031" s="3" t="s">
        <v>12219</v>
      </c>
      <c r="L3031" s="3" t="s">
        <v>12220</v>
      </c>
      <c r="M3031" s="3" t="n">
        <v>964361</v>
      </c>
      <c r="N3031" s="3" t="s">
        <v>5495</v>
      </c>
      <c r="O3031" s="1" t="n">
        <v>947975</v>
      </c>
      <c r="P3031" s="1" t="n">
        <v>98.3</v>
      </c>
      <c r="Q3031" s="1" t="s">
        <v>20</v>
      </c>
      <c r="R3031" s="1" t="s">
        <v>27</v>
      </c>
      <c r="S3031" s="1" t="s">
        <v>28</v>
      </c>
      <c r="T3031" s="1" t="s">
        <v>29</v>
      </c>
    </row>
    <row r="3032" customFormat="false" ht="18.7" hidden="false" customHeight="true" outlineLevel="0" collapsed="false">
      <c r="A3032" s="1" t="n">
        <v>3031</v>
      </c>
      <c r="B3032" s="6" t="str">
        <f aca="false">HYPERLINK("https://mncourtfraud.com/file/MCRO_27-CR-22-3570_Order Revoking Interim Conditions of Release_2022-09-16_20240429034622.pdf","MCRO_27-CR-22-3570_Order Revoking Interim Conditions of Release_2022-09-16_20240429034622.pdf")</f>
        <v>MCRO_27-CR-22-3570_Order Revoking Interim Conditions of Release_2022-09-16_20240429034622.pdf</v>
      </c>
      <c r="C3032" s="1" t="n">
        <v>5</v>
      </c>
      <c r="D3032" s="1" t="n">
        <v>4</v>
      </c>
      <c r="E3032" s="1" t="n">
        <v>4</v>
      </c>
      <c r="F3032" s="3" t="s">
        <v>20</v>
      </c>
      <c r="G3032" s="3" t="s">
        <v>12221</v>
      </c>
      <c r="H3032" s="1" t="s">
        <v>22</v>
      </c>
      <c r="I3032" s="1" t="n">
        <v>20240429034622</v>
      </c>
      <c r="J3032" s="3" t="s">
        <v>12222</v>
      </c>
      <c r="K3032" s="3" t="s">
        <v>12223</v>
      </c>
      <c r="L3032" s="3" t="s">
        <v>12224</v>
      </c>
      <c r="M3032" s="3" t="n">
        <v>394203</v>
      </c>
      <c r="N3032" s="3" t="s">
        <v>1145</v>
      </c>
      <c r="O3032" s="1" t="n">
        <v>377817</v>
      </c>
      <c r="P3032" s="1" t="n">
        <v>95.84</v>
      </c>
      <c r="Q3032" s="1" t="s">
        <v>20</v>
      </c>
      <c r="R3032" s="1" t="s">
        <v>27</v>
      </c>
      <c r="S3032" s="1" t="s">
        <v>28</v>
      </c>
      <c r="T3032" s="1" t="s">
        <v>29</v>
      </c>
    </row>
    <row r="3033" customFormat="false" ht="18.7" hidden="false" customHeight="true" outlineLevel="0" collapsed="false">
      <c r="A3033" s="1" t="n">
        <v>3032</v>
      </c>
      <c r="B3033" s="6" t="str">
        <f aca="false">HYPERLINK("https://mncourtfraud.com/file/MCRO_27-CR-22-3570_Proposed Order or Document_2022-09-16_20240429034624.pdf","MCRO_27-CR-22-3570_Proposed Order or Document_2022-09-16_20240429034624.pdf")</f>
        <v>MCRO_27-CR-22-3570_Proposed Order or Document_2022-09-16_20240429034624.pdf</v>
      </c>
      <c r="C3033" s="1" t="n">
        <v>4</v>
      </c>
      <c r="D3033" s="1" t="n">
        <v>1</v>
      </c>
      <c r="E3033" s="1" t="n">
        <v>1</v>
      </c>
      <c r="F3033" s="3" t="s">
        <v>20</v>
      </c>
      <c r="G3033" s="3" t="s">
        <v>12225</v>
      </c>
      <c r="H3033" s="1" t="s">
        <v>22</v>
      </c>
      <c r="I3033" s="1" t="n">
        <v>20240429034624</v>
      </c>
      <c r="J3033" s="3" t="s">
        <v>12226</v>
      </c>
      <c r="K3033" s="3" t="s">
        <v>12227</v>
      </c>
      <c r="L3033" s="3" t="s">
        <v>12228</v>
      </c>
      <c r="M3033" s="3" t="n">
        <v>211397</v>
      </c>
      <c r="N3033" s="3" t="s">
        <v>3929</v>
      </c>
      <c r="O3033" s="1" t="n">
        <v>195011</v>
      </c>
      <c r="P3033" s="1" t="n">
        <v>92.25</v>
      </c>
      <c r="Q3033" s="1" t="s">
        <v>20</v>
      </c>
      <c r="R3033" s="1" t="s">
        <v>27</v>
      </c>
      <c r="S3033" s="1" t="s">
        <v>28</v>
      </c>
      <c r="T3033" s="1" t="s">
        <v>29</v>
      </c>
    </row>
    <row r="3034" customFormat="false" ht="18.7" hidden="false" customHeight="true" outlineLevel="0" collapsed="false">
      <c r="A3034" s="1" t="n">
        <v>3033</v>
      </c>
      <c r="B3034" s="6" t="str">
        <f aca="false">HYPERLINK("https://mncourtfraud.com/file/MCRO_27-CR-22-3570_Order for Conditional Release_2022-09-06_20240429034626.pdf","MCRO_27-CR-22-3570_Order for Conditional Release_2022-09-06_20240429034626.pdf")</f>
        <v>MCRO_27-CR-22-3570_Order for Conditional Release_2022-09-06_20240429034626.pdf</v>
      </c>
      <c r="C3034" s="1" t="n">
        <v>4</v>
      </c>
      <c r="D3034" s="1" t="n">
        <v>1</v>
      </c>
      <c r="E3034" s="1" t="n">
        <v>1</v>
      </c>
      <c r="F3034" s="3" t="s">
        <v>20</v>
      </c>
      <c r="G3034" s="3" t="s">
        <v>12229</v>
      </c>
      <c r="H3034" s="1" t="s">
        <v>22</v>
      </c>
      <c r="I3034" s="1" t="n">
        <v>20240429034626</v>
      </c>
      <c r="J3034" s="3" t="s">
        <v>12230</v>
      </c>
      <c r="K3034" s="3" t="s">
        <v>12231</v>
      </c>
      <c r="L3034" s="3" t="s">
        <v>12232</v>
      </c>
      <c r="M3034" s="3" t="n">
        <v>140225</v>
      </c>
      <c r="N3034" s="3" t="s">
        <v>456</v>
      </c>
      <c r="O3034" s="1" t="n">
        <v>123839</v>
      </c>
      <c r="P3034" s="1" t="n">
        <v>88.31</v>
      </c>
      <c r="Q3034" s="1" t="s">
        <v>20</v>
      </c>
      <c r="R3034" s="1" t="s">
        <v>27</v>
      </c>
      <c r="S3034" s="1" t="s">
        <v>28</v>
      </c>
      <c r="T3034" s="1" t="s">
        <v>29</v>
      </c>
    </row>
    <row r="3035" customFormat="false" ht="18.7" hidden="false" customHeight="true" outlineLevel="0" collapsed="false">
      <c r="A3035" s="1" t="n">
        <v>3034</v>
      </c>
      <c r="B3035" s="6" t="str">
        <f aca="false">HYPERLINK("https://mncourtfraud.com/file/MCRO_27-CR-22-3570_Notice of Hearing_2022-09-06_20240429034628.pdf","MCRO_27-CR-22-3570_Notice of Hearing_2022-09-06_20240429034628.pdf")</f>
        <v>MCRO_27-CR-22-3570_Notice of Hearing_2022-09-06_20240429034628.pdf</v>
      </c>
      <c r="C3035" s="1" t="n">
        <v>4</v>
      </c>
      <c r="D3035" s="1" t="n">
        <v>1</v>
      </c>
      <c r="E3035" s="1" t="n">
        <v>1</v>
      </c>
      <c r="F3035" s="3" t="s">
        <v>20</v>
      </c>
      <c r="G3035" s="3" t="s">
        <v>12233</v>
      </c>
      <c r="H3035" s="1" t="s">
        <v>22</v>
      </c>
      <c r="I3035" s="1" t="n">
        <v>20240429034628</v>
      </c>
      <c r="J3035" s="3" t="s">
        <v>12234</v>
      </c>
      <c r="K3035" s="3" t="s">
        <v>12235</v>
      </c>
      <c r="L3035" s="3" t="s">
        <v>12236</v>
      </c>
      <c r="M3035" s="3" t="n">
        <v>108630</v>
      </c>
      <c r="N3035" s="3" t="s">
        <v>456</v>
      </c>
      <c r="O3035" s="1" t="n">
        <v>92244</v>
      </c>
      <c r="P3035" s="1" t="n">
        <v>84.92</v>
      </c>
      <c r="Q3035" s="1" t="s">
        <v>20</v>
      </c>
      <c r="R3035" s="1" t="s">
        <v>27</v>
      </c>
      <c r="S3035" s="1" t="s">
        <v>28</v>
      </c>
      <c r="T3035" s="1" t="s">
        <v>29</v>
      </c>
    </row>
    <row r="3036" customFormat="false" ht="18.7" hidden="false" customHeight="true" outlineLevel="0" collapsed="false">
      <c r="A3036" s="1" t="n">
        <v>3035</v>
      </c>
      <c r="B3036" s="6" t="str">
        <f aca="false">HYPERLINK("https://mncourtfraud.com/file/MCRO_27-CR-22-3570_Notice of Case Reassignment_2022-04-01_20240429034630.pdf","MCRO_27-CR-22-3570_Notice of Case Reassignment_2022-04-01_20240429034630.pdf")</f>
        <v>MCRO_27-CR-22-3570_Notice of Case Reassignment_2022-04-01_20240429034630.pdf</v>
      </c>
      <c r="C3036" s="1" t="n">
        <v>4</v>
      </c>
      <c r="D3036" s="1" t="n">
        <v>1</v>
      </c>
      <c r="E3036" s="1" t="n">
        <v>1</v>
      </c>
      <c r="F3036" s="3" t="s">
        <v>20</v>
      </c>
      <c r="G3036" s="3" t="s">
        <v>12237</v>
      </c>
      <c r="H3036" s="1" t="s">
        <v>22</v>
      </c>
      <c r="I3036" s="1" t="n">
        <v>20240429034630</v>
      </c>
      <c r="J3036" s="3" t="s">
        <v>12238</v>
      </c>
      <c r="K3036" s="3" t="s">
        <v>12239</v>
      </c>
      <c r="L3036" s="3" t="s">
        <v>12240</v>
      </c>
      <c r="M3036" s="3" t="n">
        <v>96962</v>
      </c>
      <c r="N3036" s="3" t="s">
        <v>456</v>
      </c>
      <c r="O3036" s="1" t="n">
        <v>80576</v>
      </c>
      <c r="P3036" s="1" t="n">
        <v>83.1</v>
      </c>
      <c r="Q3036" s="1" t="s">
        <v>20</v>
      </c>
      <c r="R3036" s="1" t="s">
        <v>27</v>
      </c>
      <c r="S3036" s="1" t="s">
        <v>28</v>
      </c>
      <c r="T3036" s="1" t="s">
        <v>29</v>
      </c>
    </row>
    <row r="3037" customFormat="false" ht="18.7" hidden="false" customHeight="true" outlineLevel="0" collapsed="false">
      <c r="A3037" s="1" t="n">
        <v>3036</v>
      </c>
      <c r="B3037" s="6" t="str">
        <f aca="false">HYPERLINK("https://mncourtfraud.com/file/MCRO_27-CR-22-3570_Assignment of Bail_2022-03-23_20240429034632.pdf","MCRO_27-CR-22-3570_Assignment of Bail_2022-03-23_20240429034632.pdf")</f>
        <v>MCRO_27-CR-22-3570_Assignment of Bail_2022-03-23_20240429034632.pdf</v>
      </c>
      <c r="C3037" s="1" t="n">
        <v>4</v>
      </c>
      <c r="D3037" s="1" t="n">
        <v>1</v>
      </c>
      <c r="E3037" s="1" t="n">
        <v>1</v>
      </c>
      <c r="F3037" s="3" t="s">
        <v>20</v>
      </c>
      <c r="G3037" s="3" t="s">
        <v>12241</v>
      </c>
      <c r="H3037" s="1" t="s">
        <v>22</v>
      </c>
      <c r="I3037" s="1" t="n">
        <v>20240429034632</v>
      </c>
      <c r="J3037" s="3" t="s">
        <v>12242</v>
      </c>
      <c r="K3037" s="3" t="s">
        <v>12243</v>
      </c>
      <c r="L3037" s="3" t="s">
        <v>12244</v>
      </c>
      <c r="M3037" s="3" t="n">
        <v>173017</v>
      </c>
      <c r="N3037" s="3" t="s">
        <v>1278</v>
      </c>
      <c r="O3037" s="1" t="n">
        <v>156631</v>
      </c>
      <c r="P3037" s="1" t="n">
        <v>90.53</v>
      </c>
      <c r="Q3037" s="1" t="s">
        <v>20</v>
      </c>
      <c r="R3037" s="1" t="s">
        <v>27</v>
      </c>
      <c r="S3037" s="1" t="s">
        <v>28</v>
      </c>
      <c r="T3037" s="1" t="s">
        <v>29</v>
      </c>
    </row>
    <row r="3038" customFormat="false" ht="18.7" hidden="false" customHeight="true" outlineLevel="0" collapsed="false">
      <c r="A3038" s="1" t="n">
        <v>3037</v>
      </c>
      <c r="B3038" s="6" t="str">
        <f aca="false">HYPERLINK("https://mncourtfraud.com/file/MCRO_27-CR-22-3570_Demand or Request for Discovery_2022-03-17_20240429034634.pdf","MCRO_27-CR-22-3570_Demand or Request for Discovery_2022-03-17_20240429034634.pdf")</f>
        <v>MCRO_27-CR-22-3570_Demand or Request for Discovery_2022-03-17_20240429034634.pdf</v>
      </c>
      <c r="C3038" s="1" t="n">
        <v>3</v>
      </c>
      <c r="D3038" s="1" t="n">
        <v>1</v>
      </c>
      <c r="E3038" s="1" t="n">
        <v>1</v>
      </c>
      <c r="F3038" s="3" t="s">
        <v>20</v>
      </c>
      <c r="G3038" s="3" t="s">
        <v>12245</v>
      </c>
      <c r="H3038" s="1" t="s">
        <v>22</v>
      </c>
      <c r="I3038" s="1" t="n">
        <v>20240429034634</v>
      </c>
      <c r="J3038" s="3" t="s">
        <v>12246</v>
      </c>
      <c r="K3038" s="3" t="s">
        <v>12247</v>
      </c>
      <c r="L3038" s="3" t="s">
        <v>12248</v>
      </c>
      <c r="M3038" s="3" t="n">
        <v>397998</v>
      </c>
      <c r="N3038" s="3" t="s">
        <v>8797</v>
      </c>
      <c r="O3038" s="1" t="n">
        <v>381612</v>
      </c>
      <c r="P3038" s="1" t="n">
        <v>95.88</v>
      </c>
      <c r="Q3038" s="1" t="s">
        <v>20</v>
      </c>
      <c r="R3038" s="1" t="s">
        <v>27</v>
      </c>
      <c r="S3038" s="1" t="s">
        <v>28</v>
      </c>
      <c r="T3038" s="1" t="s">
        <v>29</v>
      </c>
    </row>
    <row r="3039" customFormat="false" ht="18.7" hidden="false" customHeight="true" outlineLevel="0" collapsed="false">
      <c r="A3039" s="1" t="n">
        <v>3038</v>
      </c>
      <c r="B3039" s="6" t="str">
        <f aca="false">HYPERLINK("https://mncourtfraud.com/file/MCRO_27-CR-22-3570_Other Document_2022-02-25_20240429034636.pdf","MCRO_27-CR-22-3570_Other Document_2022-02-25_20240429034636.pdf")</f>
        <v>MCRO_27-CR-22-3570_Other Document_2022-02-25_20240429034636.pdf</v>
      </c>
      <c r="C3039" s="1" t="n">
        <v>4</v>
      </c>
      <c r="D3039" s="1" t="n">
        <v>1</v>
      </c>
      <c r="E3039" s="1" t="n">
        <v>1</v>
      </c>
      <c r="F3039" s="3" t="s">
        <v>20</v>
      </c>
      <c r="G3039" s="3" t="s">
        <v>12249</v>
      </c>
      <c r="H3039" s="1" t="s">
        <v>22</v>
      </c>
      <c r="I3039" s="1" t="n">
        <v>20240429034636</v>
      </c>
      <c r="J3039" s="3" t="s">
        <v>12250</v>
      </c>
      <c r="K3039" s="3" t="s">
        <v>12251</v>
      </c>
      <c r="L3039" s="3" t="s">
        <v>12252</v>
      </c>
      <c r="M3039" s="3" t="n">
        <v>107699</v>
      </c>
      <c r="N3039" s="3" t="s">
        <v>456</v>
      </c>
      <c r="O3039" s="1" t="n">
        <v>91313</v>
      </c>
      <c r="P3039" s="1" t="n">
        <v>84.79</v>
      </c>
      <c r="Q3039" s="1" t="s">
        <v>20</v>
      </c>
      <c r="R3039" s="1" t="s">
        <v>27</v>
      </c>
      <c r="S3039" s="1" t="s">
        <v>28</v>
      </c>
      <c r="T3039" s="1" t="s">
        <v>29</v>
      </c>
    </row>
    <row r="3040" customFormat="false" ht="18.7" hidden="false" customHeight="true" outlineLevel="0" collapsed="false">
      <c r="A3040" s="1" t="n">
        <v>3039</v>
      </c>
      <c r="B3040" s="6" t="str">
        <f aca="false">HYPERLINK("https://mncourtfraud.com/file/MCRO_27-CR-22-3570_E-filed Comp-Order for Detention_2022-02-24_20240429034638.pdf","MCRO_27-CR-22-3570_E-filed Comp-Order for Detention_2022-02-24_20240429034638.pdf")</f>
        <v>MCRO_27-CR-22-3570_E-filed Comp-Order for Detention_2022-02-24_20240429034638.pdf</v>
      </c>
      <c r="C3040" s="1" t="n">
        <v>4</v>
      </c>
      <c r="D3040" s="1" t="n">
        <v>2</v>
      </c>
      <c r="E3040" s="1" t="n">
        <v>2</v>
      </c>
      <c r="F3040" s="3" t="s">
        <v>20</v>
      </c>
      <c r="G3040" s="3" t="s">
        <v>12253</v>
      </c>
      <c r="H3040" s="1" t="s">
        <v>22</v>
      </c>
      <c r="I3040" s="1" t="n">
        <v>20240429034638</v>
      </c>
      <c r="J3040" s="3" t="s">
        <v>12254</v>
      </c>
      <c r="K3040" s="3" t="s">
        <v>12255</v>
      </c>
      <c r="L3040" s="3" t="s">
        <v>12256</v>
      </c>
      <c r="M3040" s="3" t="n">
        <v>495141</v>
      </c>
      <c r="N3040" s="3" t="s">
        <v>4568</v>
      </c>
      <c r="O3040" s="1" t="n">
        <v>478755</v>
      </c>
      <c r="P3040" s="1" t="n">
        <v>96.69</v>
      </c>
      <c r="Q3040" s="1" t="s">
        <v>20</v>
      </c>
      <c r="R3040" s="1" t="s">
        <v>27</v>
      </c>
      <c r="S3040" s="1" t="s">
        <v>28</v>
      </c>
      <c r="T3040" s="1" t="s">
        <v>29</v>
      </c>
    </row>
    <row r="3041" customFormat="false" ht="18.7" hidden="false" customHeight="true" outlineLevel="0" collapsed="false">
      <c r="A3041" s="1" t="n">
        <v>3040</v>
      </c>
      <c r="B3041" s="6" t="str">
        <f aca="false">HYPERLINK("https://mncourtfraud.com/file/MCRO_27-CR-22-4087_Assignment of Bail_2022-06-22_20240429035321.pdf","MCRO_27-CR-22-4087_Assignment of Bail_2022-06-22_20240429035321.pdf")</f>
        <v>MCRO_27-CR-22-4087_Assignment of Bail_2022-06-22_20240429035321.pdf</v>
      </c>
      <c r="C3041" s="1" t="n">
        <v>4</v>
      </c>
      <c r="D3041" s="1" t="n">
        <v>1</v>
      </c>
      <c r="E3041" s="1" t="n">
        <v>1</v>
      </c>
      <c r="F3041" s="3" t="s">
        <v>20</v>
      </c>
      <c r="G3041" s="3" t="s">
        <v>12257</v>
      </c>
      <c r="H3041" s="1" t="s">
        <v>22</v>
      </c>
      <c r="I3041" s="1" t="n">
        <v>20240429035321</v>
      </c>
      <c r="J3041" s="3" t="s">
        <v>12258</v>
      </c>
      <c r="K3041" s="3" t="s">
        <v>12259</v>
      </c>
      <c r="L3041" s="3" t="s">
        <v>12260</v>
      </c>
      <c r="M3041" s="3" t="n">
        <v>2789296</v>
      </c>
      <c r="N3041" s="3" t="s">
        <v>44</v>
      </c>
      <c r="O3041" s="1" t="n">
        <v>2772910</v>
      </c>
      <c r="P3041" s="1" t="n">
        <v>99.41</v>
      </c>
      <c r="Q3041" s="1" t="s">
        <v>20</v>
      </c>
      <c r="R3041" s="1" t="s">
        <v>27</v>
      </c>
      <c r="S3041" s="1" t="s">
        <v>28</v>
      </c>
      <c r="T3041" s="1" t="s">
        <v>29</v>
      </c>
    </row>
    <row r="3042" customFormat="false" ht="18.7" hidden="false" customHeight="true" outlineLevel="0" collapsed="false">
      <c r="A3042" s="1" t="n">
        <v>3041</v>
      </c>
      <c r="B3042" s="6" t="str">
        <f aca="false">HYPERLINK("https://mncourtfraud.com/file/MCRO_27-CR-22-4087_Demand or Request for Discovery_2022-03-10_20240429035327.pdf","MCRO_27-CR-22-4087_Demand or Request for Discovery_2022-03-10_20240429035327.pdf")</f>
        <v>MCRO_27-CR-22-4087_Demand or Request for Discovery_2022-03-10_20240429035327.pdf</v>
      </c>
      <c r="C3042" s="1" t="n">
        <v>3</v>
      </c>
      <c r="D3042" s="1" t="n">
        <v>1</v>
      </c>
      <c r="E3042" s="1" t="n">
        <v>1</v>
      </c>
      <c r="F3042" s="3" t="s">
        <v>20</v>
      </c>
      <c r="G3042" s="3" t="s">
        <v>12261</v>
      </c>
      <c r="H3042" s="1" t="s">
        <v>22</v>
      </c>
      <c r="I3042" s="1" t="n">
        <v>20240429035327</v>
      </c>
      <c r="J3042" s="3" t="s">
        <v>12262</v>
      </c>
      <c r="K3042" s="3" t="s">
        <v>12263</v>
      </c>
      <c r="L3042" s="3" t="s">
        <v>12264</v>
      </c>
      <c r="M3042" s="3" t="n">
        <v>484990</v>
      </c>
      <c r="N3042" s="3" t="s">
        <v>12265</v>
      </c>
      <c r="O3042" s="1" t="n">
        <v>468604</v>
      </c>
      <c r="P3042" s="1" t="n">
        <v>96.62</v>
      </c>
      <c r="Q3042" s="1" t="s">
        <v>20</v>
      </c>
      <c r="R3042" s="1" t="s">
        <v>27</v>
      </c>
      <c r="S3042" s="1" t="s">
        <v>28</v>
      </c>
      <c r="T3042" s="1" t="s">
        <v>29</v>
      </c>
    </row>
    <row r="3043" customFormat="false" ht="18.7" hidden="false" customHeight="true" outlineLevel="0" collapsed="false">
      <c r="A3043" s="1" t="n">
        <v>3042</v>
      </c>
      <c r="B3043" s="6" t="str">
        <f aca="false">HYPERLINK("https://mncourtfraud.com/file/MCRO_27-CR-22-4087_E-filed Comp-Warrant_2022-03-04_20240429035331.pdf","MCRO_27-CR-22-4087_E-filed Comp-Warrant_2022-03-04_20240429035331.pdf")</f>
        <v>MCRO_27-CR-22-4087_E-filed Comp-Warrant_2022-03-04_20240429035331.pdf</v>
      </c>
      <c r="C3043" s="1" t="n">
        <v>4</v>
      </c>
      <c r="D3043" s="1" t="n">
        <v>2</v>
      </c>
      <c r="E3043" s="1" t="n">
        <v>2</v>
      </c>
      <c r="F3043" s="3" t="s">
        <v>20</v>
      </c>
      <c r="G3043" s="3" t="s">
        <v>12266</v>
      </c>
      <c r="H3043" s="1" t="s">
        <v>22</v>
      </c>
      <c r="I3043" s="1" t="n">
        <v>20240429035331</v>
      </c>
      <c r="J3043" s="3" t="s">
        <v>12267</v>
      </c>
      <c r="K3043" s="3" t="s">
        <v>12268</v>
      </c>
      <c r="L3043" s="3" t="s">
        <v>12269</v>
      </c>
      <c r="M3043" s="3" t="n">
        <v>495206</v>
      </c>
      <c r="N3043" s="3" t="s">
        <v>7588</v>
      </c>
      <c r="O3043" s="1" t="n">
        <v>478820</v>
      </c>
      <c r="P3043" s="1" t="n">
        <v>96.69</v>
      </c>
      <c r="Q3043" s="1" t="s">
        <v>20</v>
      </c>
      <c r="R3043" s="1" t="s">
        <v>27</v>
      </c>
      <c r="S3043" s="1" t="s">
        <v>28</v>
      </c>
      <c r="T3043" s="1" t="s">
        <v>29</v>
      </c>
    </row>
    <row r="3044" customFormat="false" ht="18.7" hidden="false" customHeight="true" outlineLevel="0" collapsed="false">
      <c r="A3044" s="1" t="n">
        <v>3043</v>
      </c>
      <c r="B3044" s="6" t="str">
        <f aca="false">HYPERLINK("https://mncourtfraud.com/file/MCRO_27-CR-22-4087_Finding of Incompetency and Order_2023-06-01_20240429035306.pdf","MCRO_27-CR-22-4087_Finding of Incompetency and Order_2023-06-01_20240429035306.pdf")</f>
        <v>MCRO_27-CR-22-4087_Finding of Incompetency and Order_2023-06-01_20240429035306.pdf</v>
      </c>
      <c r="C3044" s="1" t="n">
        <v>9</v>
      </c>
      <c r="D3044" s="1" t="n">
        <v>3</v>
      </c>
      <c r="E3044" s="1" t="n">
        <v>3</v>
      </c>
      <c r="F3044" s="3" t="s">
        <v>27</v>
      </c>
      <c r="G3044" s="3" t="s">
        <v>12270</v>
      </c>
      <c r="H3044" s="1" t="s">
        <v>22</v>
      </c>
      <c r="I3044" s="1" t="n">
        <v>20240429035306</v>
      </c>
      <c r="J3044" s="3" t="s">
        <v>12271</v>
      </c>
      <c r="K3044" s="3" t="s">
        <v>12272</v>
      </c>
      <c r="L3044" s="3" t="s">
        <v>12273</v>
      </c>
      <c r="M3044" s="3" t="n">
        <v>957987</v>
      </c>
      <c r="N3044" s="3" t="s">
        <v>7046</v>
      </c>
      <c r="O3044" s="1" t="n">
        <v>941601</v>
      </c>
      <c r="P3044" s="1" t="n">
        <v>98.29</v>
      </c>
      <c r="Q3044" s="1" t="s">
        <v>20</v>
      </c>
      <c r="R3044" s="1" t="s">
        <v>27</v>
      </c>
      <c r="S3044" s="1" t="s">
        <v>28</v>
      </c>
      <c r="T3044" s="1" t="s">
        <v>29</v>
      </c>
    </row>
    <row r="3045" customFormat="false" ht="18.7" hidden="false" customHeight="true" outlineLevel="0" collapsed="false">
      <c r="A3045" s="1" t="n">
        <v>3044</v>
      </c>
      <c r="B3045" s="6" t="str">
        <f aca="false">HYPERLINK("https://mncourtfraud.com/file/MCRO_27-CR-22-4087_Findings and Order_2022-09-13_20240429035316.pdf","MCRO_27-CR-22-4087_Findings and Order_2022-09-13_20240429035316.pdf")</f>
        <v>MCRO_27-CR-22-4087_Findings and Order_2022-09-13_20240429035316.pdf</v>
      </c>
      <c r="C3045" s="1" t="n">
        <v>6</v>
      </c>
      <c r="D3045" s="1" t="n">
        <v>1</v>
      </c>
      <c r="E3045" s="1" t="n">
        <v>1</v>
      </c>
      <c r="F3045" s="3" t="s">
        <v>20</v>
      </c>
      <c r="G3045" s="3" t="s">
        <v>12274</v>
      </c>
      <c r="H3045" s="1" t="s">
        <v>22</v>
      </c>
      <c r="I3045" s="1" t="n">
        <v>20240429035316</v>
      </c>
      <c r="J3045" s="3" t="s">
        <v>12275</v>
      </c>
      <c r="K3045" s="3" t="s">
        <v>12276</v>
      </c>
      <c r="L3045" s="3" t="s">
        <v>12277</v>
      </c>
      <c r="M3045" s="3" t="n">
        <v>293938</v>
      </c>
      <c r="N3045" s="3" t="s">
        <v>7051</v>
      </c>
      <c r="O3045" s="1" t="n">
        <v>277552</v>
      </c>
      <c r="P3045" s="1" t="n">
        <v>94.43</v>
      </c>
      <c r="Q3045" s="1" t="s">
        <v>20</v>
      </c>
      <c r="R3045" s="1" t="s">
        <v>27</v>
      </c>
      <c r="S3045" s="1" t="s">
        <v>28</v>
      </c>
      <c r="T3045" s="1" t="s">
        <v>29</v>
      </c>
    </row>
    <row r="3046" customFormat="false" ht="18.7" hidden="false" customHeight="true" outlineLevel="0" collapsed="false">
      <c r="A3046" s="1" t="n">
        <v>3045</v>
      </c>
      <c r="B3046" s="6" t="str">
        <f aca="false">HYPERLINK("https://mncourtfraud.com/file/MCRO_27-CR-22-4087_Notice of Case Reassignment_2023-06-16_20240429035304.pdf","MCRO_27-CR-22-4087_Notice of Case Reassignment_2023-06-16_20240429035304.pdf")</f>
        <v>MCRO_27-CR-22-4087_Notice of Case Reassignment_2023-06-16_20240429035304.pdf</v>
      </c>
      <c r="C3046" s="1" t="n">
        <v>3</v>
      </c>
      <c r="D3046" s="1" t="n">
        <v>1</v>
      </c>
      <c r="E3046" s="1" t="n">
        <v>1</v>
      </c>
      <c r="F3046" s="3" t="s">
        <v>20</v>
      </c>
      <c r="G3046" s="3" t="s">
        <v>12278</v>
      </c>
      <c r="H3046" s="1" t="s">
        <v>22</v>
      </c>
      <c r="I3046" s="1" t="n">
        <v>20240429035304</v>
      </c>
      <c r="J3046" s="3" t="s">
        <v>12279</v>
      </c>
      <c r="K3046" s="3" t="s">
        <v>12280</v>
      </c>
      <c r="L3046" s="3" t="s">
        <v>12281</v>
      </c>
      <c r="M3046" s="3" t="n">
        <v>113629</v>
      </c>
      <c r="N3046" s="3" t="s">
        <v>128</v>
      </c>
      <c r="O3046" s="1" t="n">
        <v>97243</v>
      </c>
      <c r="P3046" s="1" t="n">
        <v>85.58</v>
      </c>
      <c r="Q3046" s="1" t="s">
        <v>20</v>
      </c>
      <c r="R3046" s="1" t="s">
        <v>27</v>
      </c>
      <c r="S3046" s="1" t="s">
        <v>28</v>
      </c>
      <c r="T3046" s="1" t="s">
        <v>29</v>
      </c>
    </row>
    <row r="3047" customFormat="false" ht="18.7" hidden="false" customHeight="true" outlineLevel="0" collapsed="false">
      <c r="A3047" s="1" t="n">
        <v>3046</v>
      </c>
      <c r="B3047" s="6" t="str">
        <f aca="false">HYPERLINK("https://mncourtfraud.com/file/MCRO_27-CR-22-4087_Notice of Hearing_2024-01-26_20240429035254.pdf","MCRO_27-CR-22-4087_Notice of Hearing_2024-01-26_20240429035254.pdf")</f>
        <v>MCRO_27-CR-22-4087_Notice of Hearing_2024-01-26_20240429035254.pdf</v>
      </c>
      <c r="C3047" s="1" t="n">
        <v>4</v>
      </c>
      <c r="D3047" s="1" t="n">
        <v>1</v>
      </c>
      <c r="E3047" s="1" t="n">
        <v>1</v>
      </c>
      <c r="F3047" s="3" t="s">
        <v>20</v>
      </c>
      <c r="G3047" s="3" t="s">
        <v>12282</v>
      </c>
      <c r="H3047" s="1" t="s">
        <v>22</v>
      </c>
      <c r="I3047" s="1" t="n">
        <v>20240429035254</v>
      </c>
      <c r="J3047" s="3" t="s">
        <v>12283</v>
      </c>
      <c r="K3047" s="3" t="s">
        <v>12284</v>
      </c>
      <c r="L3047" s="3" t="s">
        <v>12285</v>
      </c>
      <c r="M3047" s="3" t="n">
        <v>714350</v>
      </c>
      <c r="N3047" s="3" t="s">
        <v>727</v>
      </c>
      <c r="O3047" s="1" t="n">
        <v>697964</v>
      </c>
      <c r="P3047" s="1" t="n">
        <v>97.71</v>
      </c>
      <c r="Q3047" s="1" t="s">
        <v>20</v>
      </c>
      <c r="R3047" s="1" t="s">
        <v>27</v>
      </c>
      <c r="S3047" s="1" t="s">
        <v>28</v>
      </c>
      <c r="T3047" s="1" t="s">
        <v>29</v>
      </c>
    </row>
    <row r="3048" customFormat="false" ht="18.7" hidden="false" customHeight="true" outlineLevel="0" collapsed="false">
      <c r="A3048" s="1" t="n">
        <v>3047</v>
      </c>
      <c r="B3048" s="6" t="str">
        <f aca="false">HYPERLINK("https://mncourtfraud.com/file/MCRO_27-CR-22-4087_Notice of Hearing_2024-03-19_20240429035252.pdf","MCRO_27-CR-22-4087_Notice of Hearing_2024-03-19_20240429035252.pdf")</f>
        <v>MCRO_27-CR-22-4087_Notice of Hearing_2024-03-19_20240429035252.pdf</v>
      </c>
      <c r="C3048" s="1" t="n">
        <v>5</v>
      </c>
      <c r="D3048" s="1" t="n">
        <v>1</v>
      </c>
      <c r="E3048" s="1" t="n">
        <v>1</v>
      </c>
      <c r="F3048" s="3" t="s">
        <v>20</v>
      </c>
      <c r="G3048" s="3" t="s">
        <v>12286</v>
      </c>
      <c r="H3048" s="1" t="s">
        <v>22</v>
      </c>
      <c r="I3048" s="1" t="n">
        <v>20240429035252</v>
      </c>
      <c r="J3048" s="3" t="s">
        <v>12287</v>
      </c>
      <c r="K3048" s="3" t="s">
        <v>12288</v>
      </c>
      <c r="L3048" s="3" t="s">
        <v>9721</v>
      </c>
      <c r="M3048" s="3" t="n">
        <v>729078</v>
      </c>
      <c r="N3048" s="3" t="s">
        <v>1278</v>
      </c>
      <c r="O3048" s="1" t="n">
        <v>712692</v>
      </c>
      <c r="P3048" s="1" t="n">
        <v>97.75</v>
      </c>
      <c r="Q3048" s="1" t="s">
        <v>20</v>
      </c>
      <c r="R3048" s="1" t="s">
        <v>27</v>
      </c>
      <c r="S3048" s="1" t="s">
        <v>28</v>
      </c>
      <c r="T3048" s="1" t="s">
        <v>29</v>
      </c>
    </row>
    <row r="3049" customFormat="false" ht="18.7" hidden="false" customHeight="true" outlineLevel="0" collapsed="false">
      <c r="A3049" s="1" t="n">
        <v>3048</v>
      </c>
      <c r="B3049" s="6" t="str">
        <f aca="false">HYPERLINK("https://mncourtfraud.com/file/MCRO_27-CR-22-4087_Notice of Remote Hearing with Instructions_2023-11-28_20240429035300.pdf","MCRO_27-CR-22-4087_Notice of Remote Hearing with Instructions_2023-11-28_20240429035300.pdf")</f>
        <v>MCRO_27-CR-22-4087_Notice of Remote Hearing with Instructions_2023-11-28_20240429035300.pdf</v>
      </c>
      <c r="C3049" s="1" t="n">
        <v>4</v>
      </c>
      <c r="D3049" s="1" t="n">
        <v>1</v>
      </c>
      <c r="E3049" s="1" t="n">
        <v>1</v>
      </c>
      <c r="F3049" s="3" t="s">
        <v>20</v>
      </c>
      <c r="G3049" s="3" t="s">
        <v>12289</v>
      </c>
      <c r="H3049" s="1" t="s">
        <v>22</v>
      </c>
      <c r="I3049" s="1" t="n">
        <v>20240429035300</v>
      </c>
      <c r="J3049" s="3" t="s">
        <v>12290</v>
      </c>
      <c r="K3049" s="3" t="s">
        <v>12291</v>
      </c>
      <c r="L3049" s="3" t="s">
        <v>12292</v>
      </c>
      <c r="M3049" s="3" t="n">
        <v>269240</v>
      </c>
      <c r="N3049" s="3" t="s">
        <v>74</v>
      </c>
      <c r="O3049" s="1" t="n">
        <v>252854</v>
      </c>
      <c r="P3049" s="1" t="n">
        <v>93.91</v>
      </c>
      <c r="Q3049" s="1" t="s">
        <v>20</v>
      </c>
      <c r="R3049" s="1" t="s">
        <v>27</v>
      </c>
      <c r="S3049" s="1" t="s">
        <v>28</v>
      </c>
      <c r="T3049" s="1" t="s">
        <v>29</v>
      </c>
    </row>
    <row r="3050" customFormat="false" ht="18.7" hidden="false" customHeight="true" outlineLevel="0" collapsed="false">
      <c r="A3050" s="1" t="n">
        <v>3049</v>
      </c>
      <c r="B3050" s="6" t="str">
        <f aca="false">HYPERLINK("https://mncourtfraud.com/file/MCRO_27-CR-22-4087_Notice of Remote Hearing with Instructions_2023-12-05_20240429035258.pdf","MCRO_27-CR-22-4087_Notice of Remote Hearing with Instructions_2023-12-05_20240429035258.pdf")</f>
        <v>MCRO_27-CR-22-4087_Notice of Remote Hearing with Instructions_2023-12-05_20240429035258.pdf</v>
      </c>
      <c r="C3050" s="1" t="n">
        <v>5</v>
      </c>
      <c r="D3050" s="1" t="n">
        <v>1</v>
      </c>
      <c r="E3050" s="1" t="n">
        <v>1</v>
      </c>
      <c r="F3050" s="3" t="s">
        <v>20</v>
      </c>
      <c r="G3050" s="3" t="s">
        <v>12293</v>
      </c>
      <c r="H3050" s="1" t="s">
        <v>22</v>
      </c>
      <c r="I3050" s="1" t="n">
        <v>20240429035258</v>
      </c>
      <c r="J3050" s="3" t="s">
        <v>12294</v>
      </c>
      <c r="K3050" s="3" t="s">
        <v>12295</v>
      </c>
      <c r="L3050" s="3" t="s">
        <v>12296</v>
      </c>
      <c r="M3050" s="3" t="n">
        <v>843404</v>
      </c>
      <c r="N3050" s="3" t="s">
        <v>3164</v>
      </c>
      <c r="O3050" s="1" t="n">
        <v>827018</v>
      </c>
      <c r="P3050" s="1" t="n">
        <v>98.06</v>
      </c>
      <c r="Q3050" s="1" t="s">
        <v>20</v>
      </c>
      <c r="R3050" s="1" t="s">
        <v>27</v>
      </c>
      <c r="S3050" s="1" t="s">
        <v>28</v>
      </c>
      <c r="T3050" s="1" t="s">
        <v>29</v>
      </c>
    </row>
    <row r="3051" customFormat="false" ht="18.7" hidden="false" customHeight="true" outlineLevel="0" collapsed="false">
      <c r="A3051" s="1" t="n">
        <v>3050</v>
      </c>
      <c r="B3051" s="6" t="str">
        <f aca="false">HYPERLINK("https://mncourtfraud.com/file/MCRO_27-CR-22-4087_Order-Evaluation for Competency to Proceed (Rule 20.01)_2022-08-09_20240429035319.pdf","MCRO_27-CR-22-4087_Order-Evaluation for Competency to Proceed (Rule 20.01)_2022-08-09_20240429035319.pdf")</f>
        <v>MCRO_27-CR-22-4087_Order-Evaluation for Competency to Proceed (Rule 20.01)_2022-08-09_20240429035319.pdf</v>
      </c>
      <c r="C3051" s="1" t="n">
        <v>4</v>
      </c>
      <c r="D3051" s="1" t="n">
        <v>1</v>
      </c>
      <c r="E3051" s="1" t="n">
        <v>1</v>
      </c>
      <c r="F3051" s="3" t="s">
        <v>20</v>
      </c>
      <c r="G3051" s="3" t="s">
        <v>12297</v>
      </c>
      <c r="H3051" s="1" t="s">
        <v>22</v>
      </c>
      <c r="I3051" s="1" t="n">
        <v>20240429035319</v>
      </c>
      <c r="J3051" s="3" t="s">
        <v>12298</v>
      </c>
      <c r="K3051" s="3" t="s">
        <v>12299</v>
      </c>
      <c r="L3051" s="3" t="s">
        <v>7999</v>
      </c>
      <c r="M3051" s="3" t="n">
        <v>924333</v>
      </c>
      <c r="N3051" s="3" t="s">
        <v>602</v>
      </c>
      <c r="O3051" s="1" t="n">
        <v>907947</v>
      </c>
      <c r="P3051" s="1" t="n">
        <v>98.23</v>
      </c>
      <c r="Q3051" s="1" t="s">
        <v>20</v>
      </c>
      <c r="R3051" s="1" t="s">
        <v>27</v>
      </c>
      <c r="S3051" s="1" t="s">
        <v>28</v>
      </c>
      <c r="T3051" s="1" t="s">
        <v>29</v>
      </c>
    </row>
    <row r="3052" customFormat="false" ht="18.7" hidden="false" customHeight="true" outlineLevel="0" collapsed="false">
      <c r="A3052" s="1" t="n">
        <v>3051</v>
      </c>
      <c r="B3052" s="6" t="str">
        <f aca="false">HYPERLINK("https://mncourtfraud.com/file/MCRO_27-CR-22-4087_Order-Evaluation for Competency to Proceed (Rule 20.01)_2023-01-05_20240429035312.pdf","MCRO_27-CR-22-4087_Order-Evaluation for Competency to Proceed (Rule 20.01)_2023-01-05_20240429035312.pdf")</f>
        <v>MCRO_27-CR-22-4087_Order-Evaluation for Competency to Proceed (Rule 20.01)_2023-01-05_20240429035312.pdf</v>
      </c>
      <c r="C3052" s="1" t="n">
        <v>6</v>
      </c>
      <c r="D3052" s="1" t="n">
        <v>2</v>
      </c>
      <c r="E3052" s="1" t="n">
        <v>2</v>
      </c>
      <c r="F3052" s="3" t="s">
        <v>27</v>
      </c>
      <c r="G3052" s="3" t="s">
        <v>12300</v>
      </c>
      <c r="H3052" s="1" t="s">
        <v>22</v>
      </c>
      <c r="I3052" s="1" t="n">
        <v>20240429035312</v>
      </c>
      <c r="J3052" s="3" t="s">
        <v>12301</v>
      </c>
      <c r="K3052" s="3" t="s">
        <v>12302</v>
      </c>
      <c r="L3052" s="3" t="s">
        <v>12303</v>
      </c>
      <c r="M3052" s="3" t="n">
        <v>889993</v>
      </c>
      <c r="N3052" s="3" t="s">
        <v>810</v>
      </c>
      <c r="O3052" s="1" t="n">
        <v>873607</v>
      </c>
      <c r="P3052" s="1" t="n">
        <v>98.16</v>
      </c>
      <c r="Q3052" s="1" t="s">
        <v>20</v>
      </c>
      <c r="R3052" s="1" t="s">
        <v>27</v>
      </c>
      <c r="S3052" s="1" t="s">
        <v>28</v>
      </c>
      <c r="T3052" s="1" t="s">
        <v>29</v>
      </c>
    </row>
    <row r="3053" customFormat="false" ht="18.7" hidden="false" customHeight="true" outlineLevel="0" collapsed="false">
      <c r="A3053" s="1" t="n">
        <v>3052</v>
      </c>
      <c r="B3053" s="6" t="str">
        <f aca="false">HYPERLINK("https://mncourtfraud.com/file/MCRO_27-CR-22-4087_Order-Evaluation for Competency to Proceed (Rule 20.01)_2023-04-03_20240429035308.pdf","MCRO_27-CR-22-4087_Order-Evaluation for Competency to Proceed (Rule 20.01)_2023-04-03_20240429035308.pdf")</f>
        <v>MCRO_27-CR-22-4087_Order-Evaluation for Competency to Proceed (Rule 20.01)_2023-04-03_20240429035308.pdf</v>
      </c>
      <c r="C3053" s="1" t="n">
        <v>4</v>
      </c>
      <c r="D3053" s="1" t="n">
        <v>1</v>
      </c>
      <c r="E3053" s="1" t="n">
        <v>1</v>
      </c>
      <c r="F3053" s="3" t="s">
        <v>20</v>
      </c>
      <c r="G3053" s="3" t="s">
        <v>12304</v>
      </c>
      <c r="H3053" s="1" t="s">
        <v>22</v>
      </c>
      <c r="I3053" s="1" t="n">
        <v>20240429035308</v>
      </c>
      <c r="J3053" s="3" t="s">
        <v>12305</v>
      </c>
      <c r="K3053" s="3" t="s">
        <v>12306</v>
      </c>
      <c r="L3053" s="3" t="s">
        <v>12307</v>
      </c>
      <c r="M3053" s="3" t="n">
        <v>1094388</v>
      </c>
      <c r="N3053" s="3" t="s">
        <v>1128</v>
      </c>
      <c r="O3053" s="1" t="n">
        <v>1078002</v>
      </c>
      <c r="P3053" s="1" t="n">
        <v>98.5</v>
      </c>
      <c r="Q3053" s="1" t="s">
        <v>20</v>
      </c>
      <c r="R3053" s="1" t="s">
        <v>27</v>
      </c>
      <c r="S3053" s="1" t="s">
        <v>28</v>
      </c>
      <c r="T3053" s="1" t="s">
        <v>29</v>
      </c>
    </row>
    <row r="3054" customFormat="false" ht="18.7" hidden="false" customHeight="true" outlineLevel="0" collapsed="false">
      <c r="A3054" s="1" t="n">
        <v>3053</v>
      </c>
      <c r="B3054" s="6" t="str">
        <f aca="false">HYPERLINK("https://mncourtfraud.com/file/MCRO_27-CR-22-4087_Order-Evaluation for Competency to Proceed (Rule 20.01)_2023-09-18_20240429035302.pdf","MCRO_27-CR-22-4087_Order-Evaluation for Competency to Proceed (Rule 20.01)_2023-09-18_20240429035302.pdf")</f>
        <v>MCRO_27-CR-22-4087_Order-Evaluation for Competency to Proceed (Rule 20.01)_2023-09-18_20240429035302.pdf</v>
      </c>
      <c r="C3054" s="1" t="n">
        <v>6</v>
      </c>
      <c r="D3054" s="1" t="n">
        <v>2</v>
      </c>
      <c r="E3054" s="1" t="n">
        <v>2</v>
      </c>
      <c r="F3054" s="3" t="s">
        <v>27</v>
      </c>
      <c r="G3054" s="3" t="s">
        <v>12308</v>
      </c>
      <c r="H3054" s="1" t="s">
        <v>22</v>
      </c>
      <c r="I3054" s="1" t="n">
        <v>20240429035302</v>
      </c>
      <c r="J3054" s="3" t="s">
        <v>12309</v>
      </c>
      <c r="K3054" s="3" t="s">
        <v>12310</v>
      </c>
      <c r="L3054" s="3" t="s">
        <v>12311</v>
      </c>
      <c r="M3054" s="3" t="n">
        <v>868845</v>
      </c>
      <c r="N3054" s="3" t="s">
        <v>554</v>
      </c>
      <c r="O3054" s="1" t="n">
        <v>852459</v>
      </c>
      <c r="P3054" s="1" t="n">
        <v>98.11</v>
      </c>
      <c r="Q3054" s="1" t="s">
        <v>20</v>
      </c>
      <c r="R3054" s="1" t="s">
        <v>27</v>
      </c>
      <c r="S3054" s="1" t="s">
        <v>28</v>
      </c>
      <c r="T3054" s="1" t="s">
        <v>29</v>
      </c>
    </row>
    <row r="3055" customFormat="false" ht="18.7" hidden="false" customHeight="true" outlineLevel="0" collapsed="false">
      <c r="A3055" s="1" t="n">
        <v>3054</v>
      </c>
      <c r="B3055" s="6" t="str">
        <f aca="false">HYPERLINK("https://mncourtfraud.com/file/MCRO_27-CR-22-4087_Order-Evaluation for Competency to Proceed (Rule 20.01)_2024-01-26_20240429035256.pdf","MCRO_27-CR-22-4087_Order-Evaluation for Competency to Proceed (Rule 20.01)_2024-01-26_20240429035256.pdf")</f>
        <v>MCRO_27-CR-22-4087_Order-Evaluation for Competency to Proceed (Rule 20.01)_2024-01-26_20240429035256.pdf</v>
      </c>
      <c r="C3055" s="1" t="n">
        <v>6</v>
      </c>
      <c r="D3055" s="1" t="n">
        <v>2</v>
      </c>
      <c r="E3055" s="1" t="n">
        <v>2</v>
      </c>
      <c r="F3055" s="3" t="s">
        <v>20</v>
      </c>
      <c r="G3055" s="3" t="s">
        <v>12312</v>
      </c>
      <c r="H3055" s="1" t="s">
        <v>22</v>
      </c>
      <c r="I3055" s="1" t="n">
        <v>20240429035256</v>
      </c>
      <c r="J3055" s="3" t="s">
        <v>12313</v>
      </c>
      <c r="K3055" s="3" t="s">
        <v>12314</v>
      </c>
      <c r="L3055" s="3" t="s">
        <v>12315</v>
      </c>
      <c r="M3055" s="3" t="n">
        <v>868592</v>
      </c>
      <c r="N3055" s="3" t="s">
        <v>6214</v>
      </c>
      <c r="O3055" s="1" t="n">
        <v>852206</v>
      </c>
      <c r="P3055" s="1" t="n">
        <v>98.11</v>
      </c>
      <c r="Q3055" s="1" t="s">
        <v>20</v>
      </c>
      <c r="R3055" s="1" t="s">
        <v>27</v>
      </c>
      <c r="S3055" s="1" t="s">
        <v>28</v>
      </c>
      <c r="T3055" s="1" t="s">
        <v>29</v>
      </c>
    </row>
    <row r="3056" customFormat="false" ht="18.7" hidden="false" customHeight="true" outlineLevel="0" collapsed="false">
      <c r="A3056" s="1" t="n">
        <v>3055</v>
      </c>
      <c r="B3056" s="6" t="str">
        <f aca="false">HYPERLINK("https://mncourtfraud.com/file/MCRO_27-CR-22-4087_Order for Conditional Release_2022-03-08_20240429035329.pdf","MCRO_27-CR-22-4087_Order for Conditional Release_2022-03-08_20240429035329.pdf")</f>
        <v>MCRO_27-CR-22-4087_Order for Conditional Release_2022-03-08_20240429035329.pdf</v>
      </c>
      <c r="C3056" s="1" t="n">
        <v>4</v>
      </c>
      <c r="D3056" s="1" t="n">
        <v>54</v>
      </c>
      <c r="E3056" s="1" t="n">
        <v>2</v>
      </c>
      <c r="F3056" s="3" t="s">
        <v>20</v>
      </c>
      <c r="G3056" s="3" t="s">
        <v>12316</v>
      </c>
      <c r="H3056" s="1" t="s">
        <v>22</v>
      </c>
      <c r="I3056" s="1" t="n">
        <v>20240429035329</v>
      </c>
      <c r="J3056" s="3" t="s">
        <v>12317</v>
      </c>
      <c r="K3056" s="3" t="s">
        <v>12318</v>
      </c>
      <c r="L3056" s="3" t="s">
        <v>12319</v>
      </c>
      <c r="M3056" s="3" t="n">
        <v>308371</v>
      </c>
      <c r="N3056" s="3" t="s">
        <v>7942</v>
      </c>
      <c r="O3056" s="1" t="n">
        <v>291985</v>
      </c>
      <c r="P3056" s="1" t="n">
        <v>94.69</v>
      </c>
      <c r="Q3056" s="1" t="s">
        <v>20</v>
      </c>
      <c r="R3056" s="1" t="s">
        <v>27</v>
      </c>
      <c r="S3056" s="1" t="s">
        <v>28</v>
      </c>
      <c r="T3056" s="1" t="s">
        <v>29</v>
      </c>
    </row>
    <row r="3057" customFormat="false" ht="18.7" hidden="false" customHeight="true" outlineLevel="0" collapsed="false">
      <c r="A3057" s="1" t="n">
        <v>3056</v>
      </c>
      <c r="B3057" s="6" t="str">
        <f aca="false">HYPERLINK("https://mncourtfraud.com/file/MCRO_27-CR-22-4087_Order for Conditional Release_2022-05-31_20240429035325.pdf","MCRO_27-CR-22-4087_Order for Conditional Release_2022-05-31_20240429035325.pdf")</f>
        <v>MCRO_27-CR-22-4087_Order for Conditional Release_2022-05-31_20240429035325.pdf</v>
      </c>
      <c r="C3057" s="1" t="n">
        <v>4</v>
      </c>
      <c r="D3057" s="1" t="n">
        <v>1</v>
      </c>
      <c r="E3057" s="1" t="n">
        <v>1</v>
      </c>
      <c r="F3057" s="3" t="s">
        <v>20</v>
      </c>
      <c r="G3057" s="3" t="s">
        <v>12320</v>
      </c>
      <c r="H3057" s="1" t="s">
        <v>22</v>
      </c>
      <c r="I3057" s="1" t="n">
        <v>20240429035325</v>
      </c>
      <c r="J3057" s="3" t="s">
        <v>12321</v>
      </c>
      <c r="K3057" s="3" t="s">
        <v>12322</v>
      </c>
      <c r="L3057" s="3" t="s">
        <v>12323</v>
      </c>
      <c r="M3057" s="3" t="n">
        <v>805310</v>
      </c>
      <c r="N3057" s="3" t="s">
        <v>456</v>
      </c>
      <c r="O3057" s="1" t="n">
        <v>788924</v>
      </c>
      <c r="P3057" s="1" t="n">
        <v>97.97</v>
      </c>
      <c r="Q3057" s="1" t="s">
        <v>20</v>
      </c>
      <c r="R3057" s="1" t="s">
        <v>27</v>
      </c>
      <c r="S3057" s="1" t="s">
        <v>28</v>
      </c>
      <c r="T3057" s="1" t="s">
        <v>29</v>
      </c>
    </row>
    <row r="3058" customFormat="false" ht="18.7" hidden="false" customHeight="true" outlineLevel="0" collapsed="false">
      <c r="A3058" s="1" t="n">
        <v>3057</v>
      </c>
      <c r="B3058" s="6" t="str">
        <f aca="false">HYPERLINK("https://mncourtfraud.com/file/MCRO_27-CR-22-4087_Order for Conditional Release_2022-10-04_20240429035314.pdf","MCRO_27-CR-22-4087_Order for Conditional Release_2022-10-04_20240429035314.pdf")</f>
        <v>MCRO_27-CR-22-4087_Order for Conditional Release_2022-10-04_20240429035314.pdf</v>
      </c>
      <c r="C3058" s="1" t="n">
        <v>5</v>
      </c>
      <c r="D3058" s="1" t="n">
        <v>1</v>
      </c>
      <c r="E3058" s="1" t="n">
        <v>1</v>
      </c>
      <c r="F3058" s="3" t="s">
        <v>20</v>
      </c>
      <c r="G3058" s="3" t="s">
        <v>12324</v>
      </c>
      <c r="H3058" s="1" t="s">
        <v>22</v>
      </c>
      <c r="I3058" s="1" t="n">
        <v>20240429035314</v>
      </c>
      <c r="J3058" s="3" t="s">
        <v>12325</v>
      </c>
      <c r="K3058" s="3" t="s">
        <v>12326</v>
      </c>
      <c r="L3058" s="3" t="s">
        <v>7651</v>
      </c>
      <c r="M3058" s="3" t="n">
        <v>793300</v>
      </c>
      <c r="N3058" s="3" t="s">
        <v>7151</v>
      </c>
      <c r="O3058" s="1" t="n">
        <v>776914</v>
      </c>
      <c r="P3058" s="1" t="n">
        <v>97.93</v>
      </c>
      <c r="Q3058" s="1" t="s">
        <v>20</v>
      </c>
      <c r="R3058" s="1" t="s">
        <v>27</v>
      </c>
      <c r="S3058" s="1" t="s">
        <v>28</v>
      </c>
      <c r="T3058" s="1" t="s">
        <v>29</v>
      </c>
    </row>
    <row r="3059" customFormat="false" ht="18.7" hidden="false" customHeight="true" outlineLevel="0" collapsed="false">
      <c r="A3059" s="1" t="n">
        <v>3058</v>
      </c>
      <c r="B3059" s="6" t="str">
        <f aca="false">HYPERLINK("https://mncourtfraud.com/file/MCRO_27-CR-22-4087_Order for Conditional Release_2023-04-03_20240429035310.pdf","MCRO_27-CR-22-4087_Order for Conditional Release_2023-04-03_20240429035310.pdf")</f>
        <v>MCRO_27-CR-22-4087_Order for Conditional Release_2023-04-03_20240429035310.pdf</v>
      </c>
      <c r="C3059" s="1" t="n">
        <v>4</v>
      </c>
      <c r="D3059" s="1" t="n">
        <v>1</v>
      </c>
      <c r="E3059" s="1" t="n">
        <v>1</v>
      </c>
      <c r="F3059" s="3" t="s">
        <v>20</v>
      </c>
      <c r="G3059" s="3" t="s">
        <v>12327</v>
      </c>
      <c r="H3059" s="1" t="s">
        <v>22</v>
      </c>
      <c r="I3059" s="1" t="n">
        <v>20240429035310</v>
      </c>
      <c r="J3059" s="3" t="s">
        <v>12328</v>
      </c>
      <c r="K3059" s="3" t="s">
        <v>12329</v>
      </c>
      <c r="L3059" s="3" t="s">
        <v>12330</v>
      </c>
      <c r="M3059" s="3" t="n">
        <v>816589</v>
      </c>
      <c r="N3059" s="3" t="s">
        <v>158</v>
      </c>
      <c r="O3059" s="1" t="n">
        <v>800203</v>
      </c>
      <c r="P3059" s="1" t="n">
        <v>97.99</v>
      </c>
      <c r="Q3059" s="1" t="s">
        <v>20</v>
      </c>
      <c r="R3059" s="1" t="s">
        <v>27</v>
      </c>
      <c r="S3059" s="1" t="s">
        <v>28</v>
      </c>
      <c r="T3059" s="1" t="s">
        <v>29</v>
      </c>
    </row>
    <row r="3060" customFormat="false" ht="18.7" hidden="false" customHeight="true" outlineLevel="0" collapsed="false">
      <c r="A3060" s="1" t="n">
        <v>3059</v>
      </c>
      <c r="B3060" s="6" t="str">
        <f aca="false">HYPERLINK("https://mncourtfraud.com/file/MCRO_27-CR-22-4087_Other Document_2022-05-31_20240429035323.pdf","MCRO_27-CR-22-4087_Other Document_2022-05-31_20240429035323.pdf")</f>
        <v>MCRO_27-CR-22-4087_Other Document_2022-05-31_20240429035323.pdf</v>
      </c>
      <c r="C3060" s="1" t="n">
        <v>4</v>
      </c>
      <c r="D3060" s="1" t="n">
        <v>1</v>
      </c>
      <c r="E3060" s="1" t="n">
        <v>1</v>
      </c>
      <c r="F3060" s="3" t="s">
        <v>20</v>
      </c>
      <c r="G3060" s="3" t="s">
        <v>12331</v>
      </c>
      <c r="H3060" s="1" t="s">
        <v>22</v>
      </c>
      <c r="I3060" s="1" t="n">
        <v>20240429035323</v>
      </c>
      <c r="J3060" s="3" t="s">
        <v>12332</v>
      </c>
      <c r="K3060" s="3" t="s">
        <v>12333</v>
      </c>
      <c r="L3060" s="3" t="s">
        <v>7168</v>
      </c>
      <c r="M3060" s="3" t="n">
        <v>274168</v>
      </c>
      <c r="N3060" s="3" t="s">
        <v>4614</v>
      </c>
      <c r="O3060" s="1" t="n">
        <v>257782</v>
      </c>
      <c r="P3060" s="1" t="n">
        <v>94.02</v>
      </c>
      <c r="Q3060" s="1" t="s">
        <v>20</v>
      </c>
      <c r="R3060" s="1" t="s">
        <v>27</v>
      </c>
      <c r="S3060" s="1" t="s">
        <v>28</v>
      </c>
      <c r="T3060" s="1" t="s">
        <v>29</v>
      </c>
    </row>
    <row r="3061" customFormat="false" ht="18.7" hidden="false" customHeight="true" outlineLevel="0" collapsed="false">
      <c r="A3061" s="1" t="n">
        <v>3060</v>
      </c>
      <c r="B3061" s="6" t="str">
        <f aca="false">HYPERLINK("https://mncourtfraud.com/file/MCRO_27-CR-22-4239_Demand or Request for Discovery_2022-03-08_20240429035811.pdf","MCRO_27-CR-22-4239_Demand or Request for Discovery_2022-03-08_20240429035811.pdf")</f>
        <v>MCRO_27-CR-22-4239_Demand or Request for Discovery_2022-03-08_20240429035811.pdf</v>
      </c>
      <c r="C3061" s="1" t="n">
        <v>3</v>
      </c>
      <c r="D3061" s="1" t="n">
        <v>1</v>
      </c>
      <c r="E3061" s="1" t="n">
        <v>1</v>
      </c>
      <c r="F3061" s="3" t="s">
        <v>20</v>
      </c>
      <c r="G3061" s="3" t="s">
        <v>12334</v>
      </c>
      <c r="H3061" s="1" t="s">
        <v>22</v>
      </c>
      <c r="I3061" s="1" t="n">
        <v>20240429035811</v>
      </c>
      <c r="J3061" s="3" t="s">
        <v>12335</v>
      </c>
      <c r="K3061" s="3" t="s">
        <v>12336</v>
      </c>
      <c r="L3061" s="3" t="s">
        <v>12337</v>
      </c>
      <c r="M3061" s="3" t="n">
        <v>370233</v>
      </c>
      <c r="N3061" s="3" t="s">
        <v>8309</v>
      </c>
      <c r="O3061" s="1" t="n">
        <v>353847</v>
      </c>
      <c r="P3061" s="1" t="n">
        <v>95.57</v>
      </c>
      <c r="Q3061" s="1" t="s">
        <v>20</v>
      </c>
      <c r="R3061" s="1" t="s">
        <v>27</v>
      </c>
      <c r="S3061" s="1" t="s">
        <v>28</v>
      </c>
      <c r="T3061" s="1" t="s">
        <v>29</v>
      </c>
    </row>
    <row r="3062" customFormat="false" ht="18.7" hidden="false" customHeight="true" outlineLevel="0" collapsed="false">
      <c r="A3062" s="1" t="n">
        <v>3061</v>
      </c>
      <c r="B3062" s="6" t="str">
        <f aca="false">HYPERLINK("https://mncourtfraud.com/file/MCRO_27-CR-22-4239_Demand or Request for Discovery_2022-09-23_20240429035809.pdf","MCRO_27-CR-22-4239_Demand or Request for Discovery_2022-09-23_20240429035809.pdf")</f>
        <v>MCRO_27-CR-22-4239_Demand or Request for Discovery_2022-09-23_20240429035809.pdf</v>
      </c>
      <c r="C3062" s="1" t="n">
        <v>3</v>
      </c>
      <c r="D3062" s="1" t="n">
        <v>1</v>
      </c>
      <c r="E3062" s="1" t="n">
        <v>1</v>
      </c>
      <c r="F3062" s="3" t="s">
        <v>20</v>
      </c>
      <c r="G3062" s="3" t="s">
        <v>12338</v>
      </c>
      <c r="H3062" s="1" t="s">
        <v>22</v>
      </c>
      <c r="I3062" s="1" t="n">
        <v>20240429035809</v>
      </c>
      <c r="J3062" s="3" t="s">
        <v>12339</v>
      </c>
      <c r="K3062" s="3" t="s">
        <v>12340</v>
      </c>
      <c r="L3062" s="3" t="s">
        <v>12341</v>
      </c>
      <c r="M3062" s="3" t="n">
        <v>371655</v>
      </c>
      <c r="N3062" s="3" t="s">
        <v>9552</v>
      </c>
      <c r="O3062" s="1" t="n">
        <v>355269</v>
      </c>
      <c r="P3062" s="1" t="n">
        <v>95.59</v>
      </c>
      <c r="Q3062" s="1" t="s">
        <v>20</v>
      </c>
      <c r="R3062" s="1" t="s">
        <v>27</v>
      </c>
      <c r="S3062" s="1" t="s">
        <v>28</v>
      </c>
      <c r="T3062" s="1" t="s">
        <v>29</v>
      </c>
    </row>
    <row r="3063" customFormat="false" ht="18.7" hidden="false" customHeight="true" outlineLevel="0" collapsed="false">
      <c r="A3063" s="1" t="n">
        <v>3062</v>
      </c>
      <c r="B3063" s="6" t="str">
        <f aca="false">HYPERLINK("https://mncourtfraud.com/file/MCRO_27-CR-22-4239_E-filed Comp-Warrant_2022-03-07_20240429035812.pdf","MCRO_27-CR-22-4239_E-filed Comp-Warrant_2022-03-07_20240429035812.pdf")</f>
        <v>MCRO_27-CR-22-4239_E-filed Comp-Warrant_2022-03-07_20240429035812.pdf</v>
      </c>
      <c r="C3063" s="1" t="n">
        <v>4</v>
      </c>
      <c r="D3063" s="1" t="n">
        <v>2</v>
      </c>
      <c r="E3063" s="1" t="n">
        <v>2</v>
      </c>
      <c r="F3063" s="3" t="s">
        <v>20</v>
      </c>
      <c r="G3063" s="3" t="s">
        <v>12342</v>
      </c>
      <c r="H3063" s="1" t="s">
        <v>22</v>
      </c>
      <c r="I3063" s="1" t="n">
        <v>20240429035812</v>
      </c>
      <c r="J3063" s="3" t="s">
        <v>12343</v>
      </c>
      <c r="K3063" s="3" t="s">
        <v>12344</v>
      </c>
      <c r="L3063" s="3" t="s">
        <v>12345</v>
      </c>
      <c r="M3063" s="3" t="n">
        <v>496875</v>
      </c>
      <c r="N3063" s="3" t="s">
        <v>1480</v>
      </c>
      <c r="O3063" s="1" t="n">
        <v>480489</v>
      </c>
      <c r="P3063" s="1" t="n">
        <v>96.7</v>
      </c>
      <c r="Q3063" s="1" t="s">
        <v>20</v>
      </c>
      <c r="R3063" s="1" t="s">
        <v>27</v>
      </c>
      <c r="S3063" s="1" t="s">
        <v>28</v>
      </c>
      <c r="T3063" s="1" t="s">
        <v>29</v>
      </c>
    </row>
    <row r="3064" customFormat="false" ht="18.7" hidden="false" customHeight="true" outlineLevel="0" collapsed="false">
      <c r="A3064" s="1" t="n">
        <v>3063</v>
      </c>
      <c r="B3064" s="6" t="str">
        <f aca="false">HYPERLINK("https://mncourtfraud.com/file/MCRO_27-CR-22-4239_Notice of Hearing_2023-06-05_20240429035802.pdf","MCRO_27-CR-22-4239_Notice of Hearing_2023-06-05_20240429035802.pdf")</f>
        <v>MCRO_27-CR-22-4239_Notice of Hearing_2023-06-05_20240429035802.pdf</v>
      </c>
      <c r="C3064" s="1" t="n">
        <v>4</v>
      </c>
      <c r="D3064" s="1" t="n">
        <v>1</v>
      </c>
      <c r="E3064" s="1" t="n">
        <v>1</v>
      </c>
      <c r="F3064" s="3" t="s">
        <v>20</v>
      </c>
      <c r="G3064" s="3" t="s">
        <v>12346</v>
      </c>
      <c r="H3064" s="1" t="s">
        <v>22</v>
      </c>
      <c r="I3064" s="1" t="n">
        <v>20240429035802</v>
      </c>
      <c r="J3064" s="3" t="s">
        <v>12347</v>
      </c>
      <c r="K3064" s="3" t="s">
        <v>12348</v>
      </c>
      <c r="L3064" s="3" t="s">
        <v>12349</v>
      </c>
      <c r="M3064" s="3" t="n">
        <v>831974</v>
      </c>
      <c r="N3064" s="3" t="s">
        <v>12350</v>
      </c>
      <c r="O3064" s="1" t="n">
        <v>815588</v>
      </c>
      <c r="P3064" s="1" t="n">
        <v>98.03</v>
      </c>
      <c r="Q3064" s="1" t="s">
        <v>20</v>
      </c>
      <c r="R3064" s="1" t="s">
        <v>27</v>
      </c>
      <c r="S3064" s="1" t="s">
        <v>28</v>
      </c>
      <c r="T3064" s="1" t="s">
        <v>29</v>
      </c>
    </row>
    <row r="3065" customFormat="false" ht="18.7" hidden="false" customHeight="true" outlineLevel="0" collapsed="false">
      <c r="A3065" s="1" t="n">
        <v>3064</v>
      </c>
      <c r="B3065" s="6" t="str">
        <f aca="false">HYPERLINK("https://mncourtfraud.com/file/MCRO_27-CR-22-4239_Notice of Hearing_2023-06-05_20240429035803.pdf","MCRO_27-CR-22-4239_Notice of Hearing_2023-06-05_20240429035803.pdf")</f>
        <v>MCRO_27-CR-22-4239_Notice of Hearing_2023-06-05_20240429035803.pdf</v>
      </c>
      <c r="C3065" s="1" t="n">
        <v>4</v>
      </c>
      <c r="D3065" s="1" t="n">
        <v>1</v>
      </c>
      <c r="E3065" s="1" t="n">
        <v>1</v>
      </c>
      <c r="F3065" s="3" t="s">
        <v>20</v>
      </c>
      <c r="G3065" s="3" t="s">
        <v>12351</v>
      </c>
      <c r="H3065" s="1" t="s">
        <v>22</v>
      </c>
      <c r="I3065" s="1" t="n">
        <v>20240429035803</v>
      </c>
      <c r="J3065" s="3" t="s">
        <v>12352</v>
      </c>
      <c r="K3065" s="3" t="s">
        <v>12353</v>
      </c>
      <c r="L3065" s="3" t="s">
        <v>12354</v>
      </c>
      <c r="M3065" s="3" t="n">
        <v>865682</v>
      </c>
      <c r="N3065" s="3" t="s">
        <v>4929</v>
      </c>
      <c r="O3065" s="1" t="n">
        <v>849296</v>
      </c>
      <c r="P3065" s="1" t="n">
        <v>98.11</v>
      </c>
      <c r="Q3065" s="1" t="s">
        <v>20</v>
      </c>
      <c r="R3065" s="1" t="s">
        <v>27</v>
      </c>
      <c r="S3065" s="1" t="s">
        <v>28</v>
      </c>
      <c r="T3065" s="1" t="s">
        <v>29</v>
      </c>
    </row>
    <row r="3066" customFormat="false" ht="18.7" hidden="false" customHeight="true" outlineLevel="0" collapsed="false">
      <c r="A3066" s="1" t="n">
        <v>3065</v>
      </c>
      <c r="B3066" s="6" t="str">
        <f aca="false">HYPERLINK("https://mncourtfraud.com/file/MCRO_27-CR-22-4239_Notice of Intent to Seek Aggravated Sentencing_2023-04-24_20240429035806.pdf","MCRO_27-CR-22-4239_Notice of Intent to Seek Aggravated Sentencing_2023-04-24_20240429035806.pdf")</f>
        <v>MCRO_27-CR-22-4239_Notice of Intent to Seek Aggravated Sentencing_2023-04-24_20240429035806.pdf</v>
      </c>
      <c r="C3066" s="1" t="n">
        <v>4</v>
      </c>
      <c r="D3066" s="1" t="n">
        <v>1</v>
      </c>
      <c r="E3066" s="1" t="n">
        <v>1</v>
      </c>
      <c r="F3066" s="3" t="s">
        <v>20</v>
      </c>
      <c r="G3066" s="3" t="s">
        <v>12355</v>
      </c>
      <c r="H3066" s="1" t="s">
        <v>22</v>
      </c>
      <c r="I3066" s="1" t="n">
        <v>20240429035806</v>
      </c>
      <c r="J3066" s="3" t="s">
        <v>12356</v>
      </c>
      <c r="K3066" s="3" t="s">
        <v>12357</v>
      </c>
      <c r="L3066" s="3" t="s">
        <v>12358</v>
      </c>
      <c r="M3066" s="3" t="n">
        <v>307729</v>
      </c>
      <c r="N3066" s="3" t="s">
        <v>913</v>
      </c>
      <c r="O3066" s="1" t="n">
        <v>291343</v>
      </c>
      <c r="P3066" s="1" t="n">
        <v>94.68</v>
      </c>
      <c r="Q3066" s="1" t="s">
        <v>20</v>
      </c>
      <c r="R3066" s="1" t="s">
        <v>27</v>
      </c>
      <c r="S3066" s="1" t="s">
        <v>28</v>
      </c>
      <c r="T3066" s="1" t="s">
        <v>29</v>
      </c>
    </row>
    <row r="3067" customFormat="false" ht="18.7" hidden="false" customHeight="true" outlineLevel="0" collapsed="false">
      <c r="A3067" s="1" t="n">
        <v>3066</v>
      </c>
      <c r="B3067" s="6" t="str">
        <f aca="false">HYPERLINK("https://mncourtfraud.com/file/MCRO_27-CR-22-4239_Notice of Motion and Motion_2023-04-24_20240429035807.pdf","MCRO_27-CR-22-4239_Notice of Motion and Motion_2023-04-24_20240429035807.pdf")</f>
        <v>MCRO_27-CR-22-4239_Notice of Motion and Motion_2023-04-24_20240429035807.pdf</v>
      </c>
      <c r="C3067" s="1" t="n">
        <v>4</v>
      </c>
      <c r="D3067" s="1" t="n">
        <v>1</v>
      </c>
      <c r="E3067" s="1" t="n">
        <v>1</v>
      </c>
      <c r="F3067" s="3" t="s">
        <v>20</v>
      </c>
      <c r="G3067" s="3" t="s">
        <v>12359</v>
      </c>
      <c r="H3067" s="1" t="s">
        <v>22</v>
      </c>
      <c r="I3067" s="1" t="n">
        <v>20240429035807</v>
      </c>
      <c r="J3067" s="3" t="s">
        <v>12356</v>
      </c>
      <c r="K3067" s="3" t="s">
        <v>12357</v>
      </c>
      <c r="L3067" s="3" t="s">
        <v>12360</v>
      </c>
      <c r="M3067" s="3" t="n">
        <v>7149720</v>
      </c>
      <c r="N3067" s="3" t="s">
        <v>8377</v>
      </c>
      <c r="O3067" s="1" t="n">
        <v>7133334</v>
      </c>
      <c r="P3067" s="1" t="n">
        <v>99.77</v>
      </c>
      <c r="Q3067" s="1" t="s">
        <v>20</v>
      </c>
      <c r="R3067" s="1" t="s">
        <v>27</v>
      </c>
      <c r="S3067" s="1" t="s">
        <v>28</v>
      </c>
      <c r="T3067" s="1" t="s">
        <v>29</v>
      </c>
    </row>
    <row r="3068" customFormat="false" ht="18.7" hidden="false" customHeight="true" outlineLevel="0" collapsed="false">
      <c r="A3068" s="1" t="n">
        <v>3067</v>
      </c>
      <c r="B3068" s="6" t="str">
        <f aca="false">HYPERLINK("https://mncourtfraud.com/file/MCRO_27-CR-22-4239_Notice of Motion and Motion_2024-01-08_20240429035800.pdf","MCRO_27-CR-22-4239_Notice of Motion and Motion_2024-01-08_20240429035800.pdf")</f>
        <v>MCRO_27-CR-22-4239_Notice of Motion and Motion_2024-01-08_20240429035800.pdf</v>
      </c>
      <c r="C3068" s="1" t="n">
        <v>3</v>
      </c>
      <c r="D3068" s="1" t="n">
        <v>1</v>
      </c>
      <c r="E3068" s="1" t="n">
        <v>1</v>
      </c>
      <c r="F3068" s="3" t="s">
        <v>20</v>
      </c>
      <c r="G3068" s="3" t="s">
        <v>12361</v>
      </c>
      <c r="H3068" s="1" t="s">
        <v>22</v>
      </c>
      <c r="I3068" s="1" t="n">
        <v>20240429035800</v>
      </c>
      <c r="J3068" s="3" t="s">
        <v>12362</v>
      </c>
      <c r="K3068" s="3" t="s">
        <v>12363</v>
      </c>
      <c r="L3068" s="3" t="s">
        <v>12364</v>
      </c>
      <c r="M3068" s="3" t="n">
        <v>165550</v>
      </c>
      <c r="N3068" s="3" t="s">
        <v>5873</v>
      </c>
      <c r="O3068" s="1" t="n">
        <v>149164</v>
      </c>
      <c r="P3068" s="1" t="n">
        <v>90.1</v>
      </c>
      <c r="Q3068" s="1" t="s">
        <v>20</v>
      </c>
      <c r="R3068" s="1" t="s">
        <v>27</v>
      </c>
      <c r="S3068" s="1" t="s">
        <v>28</v>
      </c>
      <c r="T3068" s="1" t="s">
        <v>29</v>
      </c>
    </row>
    <row r="3069" customFormat="false" ht="18.7" hidden="false" customHeight="true" outlineLevel="0" collapsed="false">
      <c r="A3069" s="1" t="n">
        <v>3068</v>
      </c>
      <c r="B3069" s="6" t="str">
        <f aca="false">HYPERLINK("https://mncourtfraud.com/file/MCRO_27-CR-22-4239_Order-Evaluation for Competency to Proceed (Rule 20.01)_2023-06-05_20240429035804.pdf","MCRO_27-CR-22-4239_Order-Evaluation for Competency to Proceed (Rule 20.01)_2023-06-05_20240429035804.pdf")</f>
        <v>MCRO_27-CR-22-4239_Order-Evaluation for Competency to Proceed (Rule 20.01)_2023-06-05_20240429035804.pdf</v>
      </c>
      <c r="C3069" s="1" t="n">
        <v>5</v>
      </c>
      <c r="D3069" s="1" t="n">
        <v>2</v>
      </c>
      <c r="E3069" s="1" t="n">
        <v>2</v>
      </c>
      <c r="F3069" s="3" t="s">
        <v>20</v>
      </c>
      <c r="G3069" s="3" t="s">
        <v>12365</v>
      </c>
      <c r="H3069" s="1" t="s">
        <v>22</v>
      </c>
      <c r="I3069" s="1" t="n">
        <v>20240429035804</v>
      </c>
      <c r="J3069" s="3" t="s">
        <v>12366</v>
      </c>
      <c r="K3069" s="3" t="s">
        <v>12367</v>
      </c>
      <c r="L3069" s="3" t="s">
        <v>12368</v>
      </c>
      <c r="M3069" s="3" t="n">
        <v>1035722</v>
      </c>
      <c r="N3069" s="3" t="s">
        <v>4934</v>
      </c>
      <c r="O3069" s="1" t="n">
        <v>1019336</v>
      </c>
      <c r="P3069" s="1" t="n">
        <v>98.42</v>
      </c>
      <c r="Q3069" s="1" t="s">
        <v>20</v>
      </c>
      <c r="R3069" s="1" t="s">
        <v>27</v>
      </c>
      <c r="S3069" s="1" t="s">
        <v>28</v>
      </c>
      <c r="T3069" s="1" t="s">
        <v>29</v>
      </c>
    </row>
    <row r="3070" customFormat="false" ht="18.7" hidden="false" customHeight="true" outlineLevel="0" collapsed="false">
      <c r="A3070" s="1" t="n">
        <v>3069</v>
      </c>
      <c r="B3070" s="6" t="str">
        <f aca="false">HYPERLINK("https://mncourtfraud.com/file/MCRO_27-CR-22-4239_Order-Other_2024-01-09_20240429035758.pdf","MCRO_27-CR-22-4239_Order-Other_2024-01-09_20240429035758.pdf")</f>
        <v>MCRO_27-CR-22-4239_Order-Other_2024-01-09_20240429035758.pdf</v>
      </c>
      <c r="C3070" s="1" t="n">
        <v>6</v>
      </c>
      <c r="D3070" s="1" t="n">
        <v>3</v>
      </c>
      <c r="E3070" s="1" t="n">
        <v>3</v>
      </c>
      <c r="F3070" s="3" t="s">
        <v>27</v>
      </c>
      <c r="G3070" s="3" t="s">
        <v>12369</v>
      </c>
      <c r="H3070" s="1" t="s">
        <v>22</v>
      </c>
      <c r="I3070" s="1" t="n">
        <v>20240429035758</v>
      </c>
      <c r="J3070" s="3" t="s">
        <v>12370</v>
      </c>
      <c r="K3070" s="3" t="s">
        <v>12371</v>
      </c>
      <c r="L3070" s="3" t="s">
        <v>12372</v>
      </c>
      <c r="M3070" s="3" t="n">
        <v>276736</v>
      </c>
      <c r="N3070" s="3" t="s">
        <v>2763</v>
      </c>
      <c r="O3070" s="1" t="n">
        <v>260350</v>
      </c>
      <c r="P3070" s="1" t="n">
        <v>94.08</v>
      </c>
      <c r="Q3070" s="1" t="s">
        <v>20</v>
      </c>
      <c r="R3070" s="1" t="s">
        <v>27</v>
      </c>
      <c r="S3070" s="1" t="s">
        <v>28</v>
      </c>
      <c r="T3070" s="1" t="s">
        <v>29</v>
      </c>
    </row>
    <row r="3071" customFormat="false" ht="18.7" hidden="false" customHeight="true" outlineLevel="0" collapsed="false">
      <c r="A3071" s="1" t="n">
        <v>3070</v>
      </c>
      <c r="B3071" s="6" t="str">
        <f aca="false">HYPERLINK("https://mncourtfraud.com/file/MCRO_27-CR-22-4239_Scheduling Order_2022-05-31_20240429035810.pdf","MCRO_27-CR-22-4239_Scheduling Order_2022-05-31_20240429035810.pdf")</f>
        <v>MCRO_27-CR-22-4239_Scheduling Order_2022-05-31_20240429035810.pdf</v>
      </c>
      <c r="C3071" s="1" t="n">
        <v>5</v>
      </c>
      <c r="D3071" s="1" t="n">
        <v>2</v>
      </c>
      <c r="E3071" s="1" t="n">
        <v>2</v>
      </c>
      <c r="F3071" s="3" t="s">
        <v>20</v>
      </c>
      <c r="G3071" s="3" t="s">
        <v>12373</v>
      </c>
      <c r="H3071" s="1" t="s">
        <v>22</v>
      </c>
      <c r="I3071" s="1" t="n">
        <v>20240429035810</v>
      </c>
      <c r="J3071" s="3" t="s">
        <v>12374</v>
      </c>
      <c r="K3071" s="3" t="s">
        <v>12375</v>
      </c>
      <c r="L3071" s="3" t="s">
        <v>12376</v>
      </c>
      <c r="M3071" s="3" t="n">
        <v>880866</v>
      </c>
      <c r="N3071" s="3" t="s">
        <v>1645</v>
      </c>
      <c r="O3071" s="1" t="n">
        <v>864480</v>
      </c>
      <c r="P3071" s="1" t="n">
        <v>98.14</v>
      </c>
      <c r="Q3071" s="1" t="s">
        <v>20</v>
      </c>
      <c r="R3071" s="1" t="s">
        <v>27</v>
      </c>
      <c r="S3071" s="1" t="s">
        <v>28</v>
      </c>
      <c r="T3071" s="1" t="s">
        <v>29</v>
      </c>
    </row>
    <row r="3072" customFormat="false" ht="18.7" hidden="false" customHeight="true" outlineLevel="0" collapsed="false">
      <c r="A3072" s="1" t="n">
        <v>3071</v>
      </c>
      <c r="B3072" s="6" t="str">
        <f aca="false">HYPERLINK("https://mncourtfraud.com/file/MCRO_27-CR-22-4239_Scheduling Order_2023-09-15_20240429035801.pdf","MCRO_27-CR-22-4239_Scheduling Order_2023-09-15_20240429035801.pdf")</f>
        <v>MCRO_27-CR-22-4239_Scheduling Order_2023-09-15_20240429035801.pdf</v>
      </c>
      <c r="C3072" s="1" t="n">
        <v>5</v>
      </c>
      <c r="D3072" s="1" t="n">
        <v>2</v>
      </c>
      <c r="E3072" s="1" t="n">
        <v>2</v>
      </c>
      <c r="F3072" s="3" t="s">
        <v>20</v>
      </c>
      <c r="G3072" s="3" t="s">
        <v>12377</v>
      </c>
      <c r="H3072" s="1" t="s">
        <v>22</v>
      </c>
      <c r="I3072" s="1" t="n">
        <v>20240429035801</v>
      </c>
      <c r="J3072" s="3" t="s">
        <v>12378</v>
      </c>
      <c r="K3072" s="3" t="s">
        <v>12379</v>
      </c>
      <c r="L3072" s="3" t="s">
        <v>12380</v>
      </c>
      <c r="M3072" s="3" t="n">
        <v>845823</v>
      </c>
      <c r="N3072" s="3" t="s">
        <v>2557</v>
      </c>
      <c r="O3072" s="1" t="n">
        <v>829437</v>
      </c>
      <c r="P3072" s="1" t="n">
        <v>98.06</v>
      </c>
      <c r="Q3072" s="1" t="s">
        <v>20</v>
      </c>
      <c r="R3072" s="1" t="s">
        <v>27</v>
      </c>
      <c r="S3072" s="1" t="s">
        <v>28</v>
      </c>
      <c r="T3072" s="1" t="s">
        <v>29</v>
      </c>
    </row>
    <row r="3073" customFormat="false" ht="18.7" hidden="false" customHeight="true" outlineLevel="0" collapsed="false">
      <c r="A3073" s="1" t="n">
        <v>3072</v>
      </c>
      <c r="B3073" s="6" t="str">
        <f aca="false">HYPERLINK("https://mncourtfraud.com/file/MCRO_27-CR-22-4239_Scheduling Order_2024-01-08_20240429035759.pdf","MCRO_27-CR-22-4239_Scheduling Order_2024-01-08_20240429035759.pdf")</f>
        <v>MCRO_27-CR-22-4239_Scheduling Order_2024-01-08_20240429035759.pdf</v>
      </c>
      <c r="C3073" s="1" t="n">
        <v>7</v>
      </c>
      <c r="D3073" s="1" t="n">
        <v>4</v>
      </c>
      <c r="E3073" s="1" t="n">
        <v>2</v>
      </c>
      <c r="F3073" s="3" t="s">
        <v>27</v>
      </c>
      <c r="G3073" s="3" t="s">
        <v>12381</v>
      </c>
      <c r="H3073" s="1" t="s">
        <v>22</v>
      </c>
      <c r="I3073" s="1" t="n">
        <v>20240429035759</v>
      </c>
      <c r="J3073" s="3" t="s">
        <v>12382</v>
      </c>
      <c r="K3073" s="3" t="s">
        <v>12383</v>
      </c>
      <c r="L3073" s="3" t="s">
        <v>12384</v>
      </c>
      <c r="M3073" s="3" t="n">
        <v>1369725</v>
      </c>
      <c r="N3073" s="3" t="s">
        <v>670</v>
      </c>
      <c r="O3073" s="1" t="n">
        <v>1353339</v>
      </c>
      <c r="P3073" s="1" t="n">
        <v>98.8</v>
      </c>
      <c r="Q3073" s="1" t="s">
        <v>20</v>
      </c>
      <c r="R3073" s="1" t="s">
        <v>27</v>
      </c>
      <c r="S3073" s="1" t="s">
        <v>28</v>
      </c>
      <c r="T3073" s="1" t="s">
        <v>29</v>
      </c>
    </row>
    <row r="3074" customFormat="false" ht="18.7" hidden="false" customHeight="true" outlineLevel="0" collapsed="false">
      <c r="A3074" s="1" t="n">
        <v>3073</v>
      </c>
      <c r="B3074" s="6" t="str">
        <f aca="false">HYPERLINK("https://mncourtfraud.com/file/MCRO_27-CR-22-4239_Witness List_2023-04-21_20240429035807.pdf","MCRO_27-CR-22-4239_Witness List_2023-04-21_20240429035807.pdf")</f>
        <v>MCRO_27-CR-22-4239_Witness List_2023-04-21_20240429035807.pdf</v>
      </c>
      <c r="C3074" s="1" t="n">
        <v>3</v>
      </c>
      <c r="D3074" s="1" t="n">
        <v>1</v>
      </c>
      <c r="E3074" s="1" t="n">
        <v>1</v>
      </c>
      <c r="F3074" s="3" t="s">
        <v>20</v>
      </c>
      <c r="G3074" s="3" t="s">
        <v>12385</v>
      </c>
      <c r="H3074" s="1" t="s">
        <v>22</v>
      </c>
      <c r="I3074" s="1" t="n">
        <v>20240429035807</v>
      </c>
      <c r="J3074" s="3" t="s">
        <v>12386</v>
      </c>
      <c r="K3074" s="3" t="s">
        <v>12387</v>
      </c>
      <c r="L3074" s="3" t="s">
        <v>12388</v>
      </c>
      <c r="M3074" s="3" t="n">
        <v>261152</v>
      </c>
      <c r="N3074" s="3" t="s">
        <v>650</v>
      </c>
      <c r="O3074" s="1" t="n">
        <v>244766</v>
      </c>
      <c r="P3074" s="1" t="n">
        <v>93.73</v>
      </c>
      <c r="Q3074" s="1" t="s">
        <v>20</v>
      </c>
      <c r="R3074" s="1" t="s">
        <v>27</v>
      </c>
      <c r="S3074" s="1" t="s">
        <v>28</v>
      </c>
      <c r="T3074" s="1" t="s">
        <v>29</v>
      </c>
    </row>
    <row r="3075" customFormat="false" ht="18.7" hidden="false" customHeight="true" outlineLevel="0" collapsed="false">
      <c r="A3075" s="1" t="n">
        <v>3074</v>
      </c>
      <c r="B3075" s="6" t="str">
        <f aca="false">HYPERLINK("https://mncourtfraud.com/file/MCRO_27-CR-22-4879_Amended Criminal Complaint_2022-03-17_20240429040037.pdf","MCRO_27-CR-22-4879_Amended Criminal Complaint_2022-03-17_20240429040037.pdf")</f>
        <v>MCRO_27-CR-22-4879_Amended Criminal Complaint_2022-03-17_20240429040037.pdf</v>
      </c>
      <c r="C3075" s="1" t="n">
        <v>5</v>
      </c>
      <c r="D3075" s="1" t="n">
        <v>1</v>
      </c>
      <c r="E3075" s="1" t="n">
        <v>1</v>
      </c>
      <c r="F3075" s="3" t="s">
        <v>20</v>
      </c>
      <c r="G3075" s="3" t="s">
        <v>12389</v>
      </c>
      <c r="H3075" s="1" t="s">
        <v>22</v>
      </c>
      <c r="I3075" s="1" t="n">
        <v>20240429040037</v>
      </c>
      <c r="J3075" s="3" t="s">
        <v>12390</v>
      </c>
      <c r="K3075" s="3" t="s">
        <v>12391</v>
      </c>
      <c r="L3075" s="3" t="s">
        <v>12392</v>
      </c>
      <c r="M3075" s="3" t="n">
        <v>1009799</v>
      </c>
      <c r="N3075" s="3" t="s">
        <v>7173</v>
      </c>
      <c r="O3075" s="1" t="n">
        <v>993413</v>
      </c>
      <c r="P3075" s="1" t="n">
        <v>98.38</v>
      </c>
      <c r="Q3075" s="1" t="s">
        <v>20</v>
      </c>
      <c r="R3075" s="1" t="s">
        <v>27</v>
      </c>
      <c r="S3075" s="1" t="s">
        <v>28</v>
      </c>
      <c r="T3075" s="1" t="s">
        <v>29</v>
      </c>
    </row>
    <row r="3076" customFormat="false" ht="18.7" hidden="false" customHeight="true" outlineLevel="0" collapsed="false">
      <c r="A3076" s="1" t="n">
        <v>3075</v>
      </c>
      <c r="B3076" s="6" t="str">
        <f aca="false">HYPERLINK("https://mncourtfraud.com/file/MCRO_27-CR-22-4879_Demand or Request for Discovery_2022-04-27_20240429040033.pdf","MCRO_27-CR-22-4879_Demand or Request for Discovery_2022-04-27_20240429040033.pdf")</f>
        <v>MCRO_27-CR-22-4879_Demand or Request for Discovery_2022-04-27_20240429040033.pdf</v>
      </c>
      <c r="C3076" s="1" t="n">
        <v>3</v>
      </c>
      <c r="D3076" s="1" t="n">
        <v>1</v>
      </c>
      <c r="E3076" s="1" t="n">
        <v>1</v>
      </c>
      <c r="F3076" s="3" t="s">
        <v>20</v>
      </c>
      <c r="G3076" s="3" t="s">
        <v>12393</v>
      </c>
      <c r="H3076" s="1" t="s">
        <v>22</v>
      </c>
      <c r="I3076" s="1" t="n">
        <v>20240429040033</v>
      </c>
      <c r="J3076" s="3" t="s">
        <v>12394</v>
      </c>
      <c r="K3076" s="3" t="s">
        <v>12395</v>
      </c>
      <c r="L3076" s="3" t="s">
        <v>12396</v>
      </c>
      <c r="M3076" s="3" t="n">
        <v>376573</v>
      </c>
      <c r="N3076" s="3" t="s">
        <v>10642</v>
      </c>
      <c r="O3076" s="1" t="n">
        <v>360187</v>
      </c>
      <c r="P3076" s="1" t="n">
        <v>95.65</v>
      </c>
      <c r="Q3076" s="1" t="s">
        <v>20</v>
      </c>
      <c r="R3076" s="1" t="s">
        <v>27</v>
      </c>
      <c r="S3076" s="1" t="s">
        <v>28</v>
      </c>
      <c r="T3076" s="1" t="s">
        <v>29</v>
      </c>
    </row>
    <row r="3077" customFormat="false" ht="18.7" hidden="false" customHeight="true" outlineLevel="0" collapsed="false">
      <c r="A3077" s="1" t="n">
        <v>3076</v>
      </c>
      <c r="B3077" s="6" t="str">
        <f aca="false">HYPERLINK("https://mncourtfraud.com/file/MCRO_27-CR-22-4879_E-filed Comp-Summons_2022-03-16_20240429040038.pdf","MCRO_27-CR-22-4879_E-filed Comp-Summons_2022-03-16_20240429040038.pdf")</f>
        <v>MCRO_27-CR-22-4879_E-filed Comp-Summons_2022-03-16_20240429040038.pdf</v>
      </c>
      <c r="C3077" s="1" t="n">
        <v>4</v>
      </c>
      <c r="D3077" s="1" t="n">
        <v>2</v>
      </c>
      <c r="E3077" s="1" t="n">
        <v>2</v>
      </c>
      <c r="F3077" s="3" t="s">
        <v>20</v>
      </c>
      <c r="G3077" s="3" t="s">
        <v>12397</v>
      </c>
      <c r="H3077" s="1" t="s">
        <v>22</v>
      </c>
      <c r="I3077" s="1" t="n">
        <v>20240429040038</v>
      </c>
      <c r="J3077" s="3" t="s">
        <v>12398</v>
      </c>
      <c r="K3077" s="3" t="s">
        <v>12399</v>
      </c>
      <c r="L3077" s="3" t="s">
        <v>12400</v>
      </c>
      <c r="M3077" s="3" t="n">
        <v>556390</v>
      </c>
      <c r="N3077" s="3" t="s">
        <v>2025</v>
      </c>
      <c r="O3077" s="1" t="n">
        <v>540004</v>
      </c>
      <c r="P3077" s="1" t="n">
        <v>97.05</v>
      </c>
      <c r="Q3077" s="1" t="s">
        <v>20</v>
      </c>
      <c r="R3077" s="1" t="s">
        <v>27</v>
      </c>
      <c r="S3077" s="1" t="s">
        <v>28</v>
      </c>
      <c r="T3077" s="1" t="s">
        <v>29</v>
      </c>
    </row>
    <row r="3078" customFormat="false" ht="18.7" hidden="false" customHeight="true" outlineLevel="0" collapsed="false">
      <c r="A3078" s="1" t="n">
        <v>3077</v>
      </c>
      <c r="B3078" s="6" t="str">
        <f aca="false">HYPERLINK("https://mncourtfraud.com/file/MCRO_27-CR-22-4879_Findings and Order_2022-06-07_20240429040032.pdf","MCRO_27-CR-22-4879_Findings and Order_2022-06-07_20240429040032.pdf")</f>
        <v>MCRO_27-CR-22-4879_Findings and Order_2022-06-07_20240429040032.pdf</v>
      </c>
      <c r="C3078" s="1" t="n">
        <v>3</v>
      </c>
      <c r="D3078" s="1" t="n">
        <v>1</v>
      </c>
      <c r="E3078" s="1" t="n">
        <v>1</v>
      </c>
      <c r="F3078" s="3" t="s">
        <v>20</v>
      </c>
      <c r="G3078" s="3" t="s">
        <v>12401</v>
      </c>
      <c r="H3078" s="1" t="s">
        <v>22</v>
      </c>
      <c r="I3078" s="1" t="n">
        <v>20240429040032</v>
      </c>
      <c r="J3078" s="3" t="s">
        <v>12402</v>
      </c>
      <c r="K3078" s="3" t="s">
        <v>12403</v>
      </c>
      <c r="L3078" s="3" t="s">
        <v>12404</v>
      </c>
      <c r="M3078" s="3" t="n">
        <v>256345</v>
      </c>
      <c r="N3078" s="3" t="s">
        <v>3602</v>
      </c>
      <c r="O3078" s="1" t="n">
        <v>239959</v>
      </c>
      <c r="P3078" s="1" t="n">
        <v>93.61</v>
      </c>
      <c r="Q3078" s="1" t="s">
        <v>20</v>
      </c>
      <c r="R3078" s="1" t="s">
        <v>27</v>
      </c>
      <c r="S3078" s="1" t="s">
        <v>28</v>
      </c>
      <c r="T3078" s="1" t="s">
        <v>29</v>
      </c>
    </row>
    <row r="3079" customFormat="false" ht="18.7" hidden="false" customHeight="true" outlineLevel="0" collapsed="false">
      <c r="A3079" s="1" t="n">
        <v>3078</v>
      </c>
      <c r="B3079" s="6" t="str">
        <f aca="false">HYPERLINK("https://mncourtfraud.com/file/MCRO_27-CR-22-4879_Notice of Hearing_2023-08-15_20240429040025.pdf","MCRO_27-CR-22-4879_Notice of Hearing_2023-08-15_20240429040025.pdf")</f>
        <v>MCRO_27-CR-22-4879_Notice of Hearing_2023-08-15_20240429040025.pdf</v>
      </c>
      <c r="C3079" s="1" t="n">
        <v>4</v>
      </c>
      <c r="D3079" s="1" t="n">
        <v>1</v>
      </c>
      <c r="E3079" s="1" t="n">
        <v>1</v>
      </c>
      <c r="F3079" s="3" t="s">
        <v>20</v>
      </c>
      <c r="G3079" s="3" t="s">
        <v>12405</v>
      </c>
      <c r="H3079" s="1" t="s">
        <v>22</v>
      </c>
      <c r="I3079" s="1" t="n">
        <v>20240429040025</v>
      </c>
      <c r="J3079" s="3" t="s">
        <v>12406</v>
      </c>
      <c r="K3079" s="3" t="s">
        <v>12407</v>
      </c>
      <c r="L3079" s="3" t="s">
        <v>12408</v>
      </c>
      <c r="M3079" s="3" t="n">
        <v>106897</v>
      </c>
      <c r="N3079" s="3" t="s">
        <v>3269</v>
      </c>
      <c r="O3079" s="1" t="n">
        <v>90511</v>
      </c>
      <c r="P3079" s="1" t="n">
        <v>84.67</v>
      </c>
      <c r="Q3079" s="1" t="s">
        <v>20</v>
      </c>
      <c r="R3079" s="1" t="s">
        <v>27</v>
      </c>
      <c r="S3079" s="1" t="s">
        <v>28</v>
      </c>
      <c r="T3079" s="1" t="s">
        <v>29</v>
      </c>
    </row>
    <row r="3080" customFormat="false" ht="18.7" hidden="false" customHeight="true" outlineLevel="0" collapsed="false">
      <c r="A3080" s="1" t="n">
        <v>3079</v>
      </c>
      <c r="B3080" s="6" t="str">
        <f aca="false">HYPERLINK("https://mncourtfraud.com/file/MCRO_27-CR-22-4879_Notice of Hearing_2023-08-18_20240429040023.pdf","MCRO_27-CR-22-4879_Notice of Hearing_2023-08-18_20240429040023.pdf")</f>
        <v>MCRO_27-CR-22-4879_Notice of Hearing_2023-08-18_20240429040023.pdf</v>
      </c>
      <c r="C3080" s="1" t="n">
        <v>4</v>
      </c>
      <c r="D3080" s="1" t="n">
        <v>1</v>
      </c>
      <c r="E3080" s="1" t="n">
        <v>1</v>
      </c>
      <c r="F3080" s="3" t="s">
        <v>20</v>
      </c>
      <c r="G3080" s="3" t="s">
        <v>12409</v>
      </c>
      <c r="H3080" s="1" t="s">
        <v>22</v>
      </c>
      <c r="I3080" s="1" t="n">
        <v>20240429040023</v>
      </c>
      <c r="J3080" s="3" t="s">
        <v>12410</v>
      </c>
      <c r="K3080" s="3" t="s">
        <v>12411</v>
      </c>
      <c r="L3080" s="3" t="s">
        <v>12412</v>
      </c>
      <c r="M3080" s="3" t="n">
        <v>106414</v>
      </c>
      <c r="N3080" s="3" t="s">
        <v>3269</v>
      </c>
      <c r="O3080" s="1" t="n">
        <v>90028</v>
      </c>
      <c r="P3080" s="1" t="n">
        <v>84.6</v>
      </c>
      <c r="Q3080" s="1" t="s">
        <v>20</v>
      </c>
      <c r="R3080" s="1" t="s">
        <v>27</v>
      </c>
      <c r="S3080" s="1" t="s">
        <v>28</v>
      </c>
      <c r="T3080" s="1" t="s">
        <v>29</v>
      </c>
    </row>
    <row r="3081" customFormat="false" ht="18.7" hidden="false" customHeight="true" outlineLevel="0" collapsed="false">
      <c r="A3081" s="1" t="n">
        <v>3080</v>
      </c>
      <c r="B3081" s="6" t="str">
        <f aca="false">HYPERLINK("https://mncourtfraud.com/file/MCRO_27-CR-22-4879_Notice of Hearing_2023-09-14_20240429040021.pdf","MCRO_27-CR-22-4879_Notice of Hearing_2023-09-14_20240429040021.pdf")</f>
        <v>MCRO_27-CR-22-4879_Notice of Hearing_2023-09-14_20240429040021.pdf</v>
      </c>
      <c r="C3081" s="1" t="n">
        <v>4</v>
      </c>
      <c r="D3081" s="1" t="n">
        <v>1</v>
      </c>
      <c r="E3081" s="1" t="n">
        <v>1</v>
      </c>
      <c r="F3081" s="3" t="s">
        <v>20</v>
      </c>
      <c r="G3081" s="3" t="s">
        <v>12413</v>
      </c>
      <c r="H3081" s="1" t="s">
        <v>22</v>
      </c>
      <c r="I3081" s="1" t="n">
        <v>20240429040021</v>
      </c>
      <c r="J3081" s="3" t="s">
        <v>12414</v>
      </c>
      <c r="K3081" s="3" t="s">
        <v>12415</v>
      </c>
      <c r="L3081" s="3" t="s">
        <v>12416</v>
      </c>
      <c r="M3081" s="3" t="n">
        <v>288160</v>
      </c>
      <c r="N3081" s="3" t="s">
        <v>1128</v>
      </c>
      <c r="O3081" s="1" t="n">
        <v>271774</v>
      </c>
      <c r="P3081" s="1" t="n">
        <v>94.31</v>
      </c>
      <c r="Q3081" s="1" t="s">
        <v>20</v>
      </c>
      <c r="R3081" s="1" t="s">
        <v>27</v>
      </c>
      <c r="S3081" s="1" t="s">
        <v>28</v>
      </c>
      <c r="T3081" s="1" t="s">
        <v>29</v>
      </c>
    </row>
    <row r="3082" customFormat="false" ht="18.7" hidden="false" customHeight="true" outlineLevel="0" collapsed="false">
      <c r="A3082" s="1" t="n">
        <v>3081</v>
      </c>
      <c r="B3082" s="6" t="str">
        <f aca="false">HYPERLINK("https://mncourtfraud.com/file/MCRO_27-CR-22-4879_Notice of Hearing_2023-10-23_20240429040020.pdf","MCRO_27-CR-22-4879_Notice of Hearing_2023-10-23_20240429040020.pdf")</f>
        <v>MCRO_27-CR-22-4879_Notice of Hearing_2023-10-23_20240429040020.pdf</v>
      </c>
      <c r="C3082" s="1" t="n">
        <v>4</v>
      </c>
      <c r="D3082" s="1" t="n">
        <v>1</v>
      </c>
      <c r="E3082" s="1" t="n">
        <v>1</v>
      </c>
      <c r="F3082" s="3" t="s">
        <v>20</v>
      </c>
      <c r="G3082" s="3" t="s">
        <v>12417</v>
      </c>
      <c r="H3082" s="1" t="s">
        <v>22</v>
      </c>
      <c r="I3082" s="1" t="n">
        <v>20240429040020</v>
      </c>
      <c r="J3082" s="3" t="s">
        <v>12418</v>
      </c>
      <c r="K3082" s="3" t="s">
        <v>12419</v>
      </c>
      <c r="L3082" s="3" t="s">
        <v>12420</v>
      </c>
      <c r="M3082" s="3" t="n">
        <v>105147</v>
      </c>
      <c r="N3082" s="3" t="s">
        <v>3269</v>
      </c>
      <c r="O3082" s="1" t="n">
        <v>88761</v>
      </c>
      <c r="P3082" s="1" t="n">
        <v>84.42</v>
      </c>
      <c r="Q3082" s="1" t="s">
        <v>20</v>
      </c>
      <c r="R3082" s="1" t="s">
        <v>27</v>
      </c>
      <c r="S3082" s="1" t="s">
        <v>28</v>
      </c>
      <c r="T3082" s="1" t="s">
        <v>29</v>
      </c>
    </row>
    <row r="3083" customFormat="false" ht="18.7" hidden="false" customHeight="true" outlineLevel="0" collapsed="false">
      <c r="A3083" s="1" t="n">
        <v>3082</v>
      </c>
      <c r="B3083" s="6" t="str">
        <f aca="false">HYPERLINK("https://mncourtfraud.com/file/MCRO_27-CR-22-4879_Notice of Hearing_2023-11-17_20240429040019.pdf","MCRO_27-CR-22-4879_Notice of Hearing_2023-11-17_20240429040019.pdf")</f>
        <v>MCRO_27-CR-22-4879_Notice of Hearing_2023-11-17_20240429040019.pdf</v>
      </c>
      <c r="C3083" s="1" t="n">
        <v>4</v>
      </c>
      <c r="D3083" s="1" t="n">
        <v>1</v>
      </c>
      <c r="E3083" s="1" t="n">
        <v>1</v>
      </c>
      <c r="F3083" s="3" t="s">
        <v>20</v>
      </c>
      <c r="G3083" s="3" t="s">
        <v>12421</v>
      </c>
      <c r="H3083" s="1" t="s">
        <v>22</v>
      </c>
      <c r="I3083" s="1" t="n">
        <v>20240429040019</v>
      </c>
      <c r="J3083" s="3" t="s">
        <v>12422</v>
      </c>
      <c r="K3083" s="3" t="s">
        <v>12423</v>
      </c>
      <c r="L3083" s="3" t="s">
        <v>12424</v>
      </c>
      <c r="M3083" s="3" t="n">
        <v>126182</v>
      </c>
      <c r="N3083" s="3" t="s">
        <v>137</v>
      </c>
      <c r="O3083" s="1" t="n">
        <v>109796</v>
      </c>
      <c r="P3083" s="1" t="n">
        <v>87.01</v>
      </c>
      <c r="Q3083" s="1" t="s">
        <v>20</v>
      </c>
      <c r="R3083" s="1" t="s">
        <v>27</v>
      </c>
      <c r="S3083" s="1" t="s">
        <v>28</v>
      </c>
      <c r="T3083" s="1" t="s">
        <v>29</v>
      </c>
    </row>
    <row r="3084" customFormat="false" ht="18.7" hidden="false" customHeight="true" outlineLevel="0" collapsed="false">
      <c r="A3084" s="1" t="n">
        <v>3083</v>
      </c>
      <c r="B3084" s="6" t="str">
        <f aca="false">HYPERLINK("https://mncourtfraud.com/file/MCRO_27-CR-22-4879_Notice of Remote Hearing with Instructions_2022-03-17_20240429040036.pdf","MCRO_27-CR-22-4879_Notice of Remote Hearing with Instructions_2022-03-17_20240429040036.pdf")</f>
        <v>MCRO_27-CR-22-4879_Notice of Remote Hearing with Instructions_2022-03-17_20240429040036.pdf</v>
      </c>
      <c r="C3084" s="1" t="n">
        <v>5</v>
      </c>
      <c r="D3084" s="1" t="n">
        <v>1</v>
      </c>
      <c r="E3084" s="1" t="n">
        <v>1</v>
      </c>
      <c r="F3084" s="3" t="s">
        <v>20</v>
      </c>
      <c r="G3084" s="3" t="s">
        <v>12425</v>
      </c>
      <c r="H3084" s="1" t="s">
        <v>22</v>
      </c>
      <c r="I3084" s="1" t="n">
        <v>20240429040036</v>
      </c>
      <c r="J3084" s="3" t="s">
        <v>12426</v>
      </c>
      <c r="K3084" s="3" t="s">
        <v>12427</v>
      </c>
      <c r="L3084" s="3" t="s">
        <v>12428</v>
      </c>
      <c r="M3084" s="3" t="n">
        <v>841634</v>
      </c>
      <c r="N3084" s="3" t="s">
        <v>849</v>
      </c>
      <c r="O3084" s="1" t="n">
        <v>825248</v>
      </c>
      <c r="P3084" s="1" t="n">
        <v>98.05</v>
      </c>
      <c r="Q3084" s="1" t="s">
        <v>20</v>
      </c>
      <c r="R3084" s="1" t="s">
        <v>27</v>
      </c>
      <c r="S3084" s="1" t="s">
        <v>28</v>
      </c>
      <c r="T3084" s="1" t="s">
        <v>29</v>
      </c>
    </row>
    <row r="3085" customFormat="false" ht="18.7" hidden="false" customHeight="true" outlineLevel="0" collapsed="false">
      <c r="A3085" s="1" t="n">
        <v>3084</v>
      </c>
      <c r="B3085" s="6" t="str">
        <f aca="false">HYPERLINK("https://mncourtfraud.com/file/MCRO_27-CR-22-4879_Notice of Remote Hearing with Instructions_2023-01-25_20240429040027.pdf","MCRO_27-CR-22-4879_Notice of Remote Hearing with Instructions_2023-01-25_20240429040027.pdf")</f>
        <v>MCRO_27-CR-22-4879_Notice of Remote Hearing with Instructions_2023-01-25_20240429040027.pdf</v>
      </c>
      <c r="C3085" s="1" t="n">
        <v>4</v>
      </c>
      <c r="D3085" s="1" t="n">
        <v>1</v>
      </c>
      <c r="E3085" s="1" t="n">
        <v>1</v>
      </c>
      <c r="F3085" s="3" t="s">
        <v>20</v>
      </c>
      <c r="G3085" s="3" t="s">
        <v>12429</v>
      </c>
      <c r="H3085" s="1" t="s">
        <v>22</v>
      </c>
      <c r="I3085" s="1" t="n">
        <v>20240429040027</v>
      </c>
      <c r="J3085" s="3" t="s">
        <v>12430</v>
      </c>
      <c r="K3085" s="3" t="s">
        <v>12431</v>
      </c>
      <c r="L3085" s="3" t="s">
        <v>12432</v>
      </c>
      <c r="M3085" s="3" t="n">
        <v>261491</v>
      </c>
      <c r="N3085" s="3" t="s">
        <v>936</v>
      </c>
      <c r="O3085" s="1" t="n">
        <v>245105</v>
      </c>
      <c r="P3085" s="1" t="n">
        <v>93.73</v>
      </c>
      <c r="Q3085" s="1" t="s">
        <v>20</v>
      </c>
      <c r="R3085" s="1" t="s">
        <v>27</v>
      </c>
      <c r="S3085" s="1" t="s">
        <v>28</v>
      </c>
      <c r="T3085" s="1" t="s">
        <v>29</v>
      </c>
    </row>
    <row r="3086" customFormat="false" ht="18.7" hidden="false" customHeight="true" outlineLevel="0" collapsed="false">
      <c r="A3086" s="1" t="n">
        <v>3085</v>
      </c>
      <c r="B3086" s="6" t="str">
        <f aca="false">HYPERLINK("https://mncourtfraud.com/file/MCRO_27-CR-22-4879_Notice of Remote Hearing with Instructions_2023-07-31_20240429040027.pdf","MCRO_27-CR-22-4879_Notice of Remote Hearing with Instructions_2023-07-31_20240429040027.pdf")</f>
        <v>MCRO_27-CR-22-4879_Notice of Remote Hearing with Instructions_2023-07-31_20240429040027.pdf</v>
      </c>
      <c r="C3086" s="1" t="n">
        <v>5</v>
      </c>
      <c r="D3086" s="1" t="n">
        <v>1</v>
      </c>
      <c r="E3086" s="1" t="n">
        <v>1</v>
      </c>
      <c r="F3086" s="3" t="s">
        <v>20</v>
      </c>
      <c r="G3086" s="3" t="s">
        <v>12433</v>
      </c>
      <c r="H3086" s="1" t="s">
        <v>22</v>
      </c>
      <c r="I3086" s="1" t="n">
        <v>20240429040027</v>
      </c>
      <c r="J3086" s="3" t="s">
        <v>12434</v>
      </c>
      <c r="K3086" s="3" t="s">
        <v>12435</v>
      </c>
      <c r="L3086" s="3" t="s">
        <v>12436</v>
      </c>
      <c r="M3086" s="3" t="n">
        <v>847121</v>
      </c>
      <c r="N3086" s="3" t="s">
        <v>510</v>
      </c>
      <c r="O3086" s="1" t="n">
        <v>830735</v>
      </c>
      <c r="P3086" s="1" t="n">
        <v>98.07</v>
      </c>
      <c r="Q3086" s="1" t="s">
        <v>20</v>
      </c>
      <c r="R3086" s="1" t="s">
        <v>27</v>
      </c>
      <c r="S3086" s="1" t="s">
        <v>28</v>
      </c>
      <c r="T3086" s="1" t="s">
        <v>29</v>
      </c>
    </row>
    <row r="3087" customFormat="false" ht="18.7" hidden="false" customHeight="true" outlineLevel="0" collapsed="false">
      <c r="A3087" s="1" t="n">
        <v>3086</v>
      </c>
      <c r="B3087" s="6" t="str">
        <f aca="false">HYPERLINK("https://mncourtfraud.com/file/MCRO_27-CR-22-4879_Notice of Remote Hearing with Instructions_2023-08-18_20240429040024.pdf","MCRO_27-CR-22-4879_Notice of Remote Hearing with Instructions_2023-08-18_20240429040024.pdf")</f>
        <v>MCRO_27-CR-22-4879_Notice of Remote Hearing with Instructions_2023-08-18_20240429040024.pdf</v>
      </c>
      <c r="C3087" s="1" t="n">
        <v>4</v>
      </c>
      <c r="D3087" s="1" t="n">
        <v>1</v>
      </c>
      <c r="E3087" s="1" t="n">
        <v>1</v>
      </c>
      <c r="F3087" s="3" t="s">
        <v>20</v>
      </c>
      <c r="G3087" s="3" t="s">
        <v>12437</v>
      </c>
      <c r="H3087" s="1" t="s">
        <v>22</v>
      </c>
      <c r="I3087" s="1" t="n">
        <v>20240429040024</v>
      </c>
      <c r="J3087" s="3" t="s">
        <v>12438</v>
      </c>
      <c r="K3087" s="3" t="s">
        <v>12439</v>
      </c>
      <c r="L3087" s="3" t="s">
        <v>12440</v>
      </c>
      <c r="M3087" s="3" t="n">
        <v>167950</v>
      </c>
      <c r="N3087" s="3" t="s">
        <v>158</v>
      </c>
      <c r="O3087" s="1" t="n">
        <v>151564</v>
      </c>
      <c r="P3087" s="1" t="n">
        <v>90.24</v>
      </c>
      <c r="Q3087" s="1" t="s">
        <v>20</v>
      </c>
      <c r="R3087" s="1" t="s">
        <v>27</v>
      </c>
      <c r="S3087" s="1" t="s">
        <v>28</v>
      </c>
      <c r="T3087" s="1" t="s">
        <v>29</v>
      </c>
    </row>
    <row r="3088" customFormat="false" ht="18.7" hidden="false" customHeight="true" outlineLevel="0" collapsed="false">
      <c r="A3088" s="1" t="n">
        <v>3087</v>
      </c>
      <c r="B3088" s="6" t="str">
        <f aca="false">HYPERLINK("https://mncourtfraud.com/file/MCRO_27-CR-22-4879_Notice of Remote Hearing with Instructions_2023-08-28_20240429040022.pdf","MCRO_27-CR-22-4879_Notice of Remote Hearing with Instructions_2023-08-28_20240429040022.pdf")</f>
        <v>MCRO_27-CR-22-4879_Notice of Remote Hearing with Instructions_2023-08-28_20240429040022.pdf</v>
      </c>
      <c r="C3088" s="1" t="n">
        <v>4</v>
      </c>
      <c r="D3088" s="1" t="n">
        <v>1</v>
      </c>
      <c r="E3088" s="1" t="n">
        <v>1</v>
      </c>
      <c r="F3088" s="3" t="s">
        <v>20</v>
      </c>
      <c r="G3088" s="3" t="s">
        <v>12441</v>
      </c>
      <c r="H3088" s="1" t="s">
        <v>22</v>
      </c>
      <c r="I3088" s="1" t="n">
        <v>20240429040022</v>
      </c>
      <c r="J3088" s="3" t="s">
        <v>12442</v>
      </c>
      <c r="K3088" s="3" t="s">
        <v>12443</v>
      </c>
      <c r="L3088" s="3" t="s">
        <v>12444</v>
      </c>
      <c r="M3088" s="3" t="n">
        <v>167177</v>
      </c>
      <c r="N3088" s="3" t="s">
        <v>158</v>
      </c>
      <c r="O3088" s="1" t="n">
        <v>150791</v>
      </c>
      <c r="P3088" s="1" t="n">
        <v>90.2</v>
      </c>
      <c r="Q3088" s="1" t="s">
        <v>20</v>
      </c>
      <c r="R3088" s="1" t="s">
        <v>27</v>
      </c>
      <c r="S3088" s="1" t="s">
        <v>28</v>
      </c>
      <c r="T3088" s="1" t="s">
        <v>29</v>
      </c>
    </row>
    <row r="3089" customFormat="false" ht="18.7" hidden="false" customHeight="true" outlineLevel="0" collapsed="false">
      <c r="A3089" s="1" t="n">
        <v>3088</v>
      </c>
      <c r="B3089" s="6" t="str">
        <f aca="false">HYPERLINK("https://mncourtfraud.com/file/MCRO_27-CR-22-4879_Order-Eval for Mental Illness or Cognitive Impairment 20.02_2023-11-17_20240429040018.pdf","MCRO_27-CR-22-4879_Order-Eval for Mental Illness or Cognitive Impairment 20.02_2023-11-17_20240429040018.pdf")</f>
        <v>MCRO_27-CR-22-4879_Order-Eval for Mental Illness or Cognitive Impairment 20.02_2023-11-17_20240429040018.pdf</v>
      </c>
      <c r="C3089" s="1" t="n">
        <v>4</v>
      </c>
      <c r="D3089" s="1" t="n">
        <v>1</v>
      </c>
      <c r="E3089" s="1" t="n">
        <v>1</v>
      </c>
      <c r="F3089" s="3" t="s">
        <v>20</v>
      </c>
      <c r="G3089" s="3" t="s">
        <v>12445</v>
      </c>
      <c r="H3089" s="1" t="s">
        <v>22</v>
      </c>
      <c r="I3089" s="1" t="n">
        <v>20240429040018</v>
      </c>
      <c r="J3089" s="3" t="s">
        <v>12446</v>
      </c>
      <c r="K3089" s="3" t="s">
        <v>12447</v>
      </c>
      <c r="L3089" s="3" t="s">
        <v>12448</v>
      </c>
      <c r="M3089" s="3" t="n">
        <v>296547</v>
      </c>
      <c r="N3089" s="3" t="s">
        <v>486</v>
      </c>
      <c r="O3089" s="1" t="n">
        <v>280161</v>
      </c>
      <c r="P3089" s="1" t="n">
        <v>94.47</v>
      </c>
      <c r="Q3089" s="1" t="s">
        <v>20</v>
      </c>
      <c r="R3089" s="1" t="s">
        <v>27</v>
      </c>
      <c r="S3089" s="1" t="s">
        <v>28</v>
      </c>
      <c r="T3089" s="1" t="s">
        <v>29</v>
      </c>
    </row>
    <row r="3090" customFormat="false" ht="18.7" hidden="false" customHeight="true" outlineLevel="0" collapsed="false">
      <c r="A3090" s="1" t="n">
        <v>3089</v>
      </c>
      <c r="B3090" s="6" t="str">
        <f aca="false">HYPERLINK("https://mncourtfraud.com/file/MCRO_27-CR-22-4879_Order-Evaluation for Competency to Proceed (Rule 20.01)_2022-04-27_20240429040034.pdf","MCRO_27-CR-22-4879_Order-Evaluation for Competency to Proceed (Rule 20.01)_2022-04-27_20240429040034.pdf")</f>
        <v>MCRO_27-CR-22-4879_Order-Evaluation for Competency to Proceed (Rule 20.01)_2022-04-27_20240429040034.pdf</v>
      </c>
      <c r="C3090" s="1" t="n">
        <v>4</v>
      </c>
      <c r="D3090" s="1" t="n">
        <v>1</v>
      </c>
      <c r="E3090" s="1" t="n">
        <v>1</v>
      </c>
      <c r="F3090" s="3" t="s">
        <v>20</v>
      </c>
      <c r="G3090" s="3" t="s">
        <v>12449</v>
      </c>
      <c r="H3090" s="1" t="s">
        <v>22</v>
      </c>
      <c r="I3090" s="1" t="n">
        <v>20240429040034</v>
      </c>
      <c r="J3090" s="3" t="s">
        <v>12450</v>
      </c>
      <c r="K3090" s="3" t="s">
        <v>12451</v>
      </c>
      <c r="L3090" s="3" t="s">
        <v>12452</v>
      </c>
      <c r="M3090" s="3" t="n">
        <v>188083</v>
      </c>
      <c r="N3090" s="3" t="s">
        <v>1065</v>
      </c>
      <c r="O3090" s="1" t="n">
        <v>171697</v>
      </c>
      <c r="P3090" s="1" t="n">
        <v>91.29</v>
      </c>
      <c r="Q3090" s="1" t="s">
        <v>20</v>
      </c>
      <c r="R3090" s="1" t="s">
        <v>27</v>
      </c>
      <c r="S3090" s="1" t="s">
        <v>28</v>
      </c>
      <c r="T3090" s="1" t="s">
        <v>29</v>
      </c>
    </row>
    <row r="3091" customFormat="false" ht="18.7" hidden="false" customHeight="true" outlineLevel="0" collapsed="false">
      <c r="A3091" s="1" t="n">
        <v>3090</v>
      </c>
      <c r="B3091" s="6" t="str">
        <f aca="false">HYPERLINK("https://mncourtfraud.com/file/MCRO_27-CR-22-4879_Order-Evaluation for Competency to Proceed (Rule 20.01)_2022-09-30_20240429040031.pdf","MCRO_27-CR-22-4879_Order-Evaluation for Competency to Proceed (Rule 20.01)_2022-09-30_20240429040031.pdf")</f>
        <v>MCRO_27-CR-22-4879_Order-Evaluation for Competency to Proceed (Rule 20.01)_2022-09-30_20240429040031.pdf</v>
      </c>
      <c r="C3091" s="1" t="n">
        <v>5</v>
      </c>
      <c r="D3091" s="1" t="n">
        <v>1</v>
      </c>
      <c r="E3091" s="1" t="n">
        <v>1</v>
      </c>
      <c r="F3091" s="3" t="s">
        <v>20</v>
      </c>
      <c r="G3091" s="3" t="s">
        <v>12453</v>
      </c>
      <c r="H3091" s="1" t="s">
        <v>22</v>
      </c>
      <c r="I3091" s="1" t="n">
        <v>20240429040031</v>
      </c>
      <c r="J3091" s="3" t="s">
        <v>12454</v>
      </c>
      <c r="K3091" s="3" t="s">
        <v>12455</v>
      </c>
      <c r="L3091" s="3" t="s">
        <v>12456</v>
      </c>
      <c r="M3091" s="3" t="n">
        <v>820200</v>
      </c>
      <c r="N3091" s="3" t="s">
        <v>5856</v>
      </c>
      <c r="O3091" s="1" t="n">
        <v>803814</v>
      </c>
      <c r="P3091" s="1" t="n">
        <v>98</v>
      </c>
      <c r="Q3091" s="1" t="s">
        <v>20</v>
      </c>
      <c r="R3091" s="1" t="s">
        <v>27</v>
      </c>
      <c r="S3091" s="1" t="s">
        <v>28</v>
      </c>
      <c r="T3091" s="1" t="s">
        <v>29</v>
      </c>
    </row>
    <row r="3092" customFormat="false" ht="18.7" hidden="false" customHeight="true" outlineLevel="0" collapsed="false">
      <c r="A3092" s="1" t="n">
        <v>3091</v>
      </c>
      <c r="B3092" s="6" t="str">
        <f aca="false">HYPERLINK("https://mncourtfraud.com/file/MCRO_27-CR-22-4879_Order for Conditional Release_2022-12-06_20240429040028.pdf","MCRO_27-CR-22-4879_Order for Conditional Release_2022-12-06_20240429040028.pdf")</f>
        <v>MCRO_27-CR-22-4879_Order for Conditional Release_2022-12-06_20240429040028.pdf</v>
      </c>
      <c r="C3092" s="1" t="n">
        <v>5</v>
      </c>
      <c r="D3092" s="1" t="n">
        <v>1</v>
      </c>
      <c r="E3092" s="1" t="n">
        <v>1</v>
      </c>
      <c r="F3092" s="3" t="s">
        <v>20</v>
      </c>
      <c r="G3092" s="3" t="s">
        <v>12457</v>
      </c>
      <c r="H3092" s="1" t="s">
        <v>22</v>
      </c>
      <c r="I3092" s="1" t="n">
        <v>20240429040028</v>
      </c>
      <c r="J3092" s="3" t="s">
        <v>12458</v>
      </c>
      <c r="K3092" s="3" t="s">
        <v>12459</v>
      </c>
      <c r="L3092" s="3" t="s">
        <v>12460</v>
      </c>
      <c r="M3092" s="3" t="n">
        <v>219199</v>
      </c>
      <c r="N3092" s="3" t="s">
        <v>973</v>
      </c>
      <c r="O3092" s="1" t="n">
        <v>202813</v>
      </c>
      <c r="P3092" s="1" t="n">
        <v>92.52</v>
      </c>
      <c r="Q3092" s="1" t="s">
        <v>20</v>
      </c>
      <c r="R3092" s="1" t="s">
        <v>27</v>
      </c>
      <c r="S3092" s="1" t="s">
        <v>28</v>
      </c>
      <c r="T3092" s="1" t="s">
        <v>29</v>
      </c>
    </row>
    <row r="3093" customFormat="false" ht="18.7" hidden="false" customHeight="true" outlineLevel="0" collapsed="false">
      <c r="A3093" s="1" t="n">
        <v>3092</v>
      </c>
      <c r="B3093" s="6" t="str">
        <f aca="false">HYPERLINK("https://mncourtfraud.com/file/MCRO_27-CR-22-4879_Order-Other_2022-12-05_20240429040030.pdf","MCRO_27-CR-22-4879_Order-Other_2022-12-05_20240429040030.pdf")</f>
        <v>MCRO_27-CR-22-4879_Order-Other_2022-12-05_20240429040030.pdf</v>
      </c>
      <c r="C3093" s="1" t="n">
        <v>5</v>
      </c>
      <c r="D3093" s="1" t="n">
        <v>1</v>
      </c>
      <c r="E3093" s="1" t="n">
        <v>1</v>
      </c>
      <c r="F3093" s="3" t="s">
        <v>20</v>
      </c>
      <c r="G3093" s="3" t="s">
        <v>12461</v>
      </c>
      <c r="H3093" s="1" t="s">
        <v>22</v>
      </c>
      <c r="I3093" s="1" t="n">
        <v>20240429040030</v>
      </c>
      <c r="J3093" s="3" t="s">
        <v>12462</v>
      </c>
      <c r="K3093" s="3" t="s">
        <v>12463</v>
      </c>
      <c r="L3093" s="3" t="s">
        <v>12464</v>
      </c>
      <c r="M3093" s="3" t="n">
        <v>255347</v>
      </c>
      <c r="N3093" s="3" t="s">
        <v>2329</v>
      </c>
      <c r="O3093" s="1" t="n">
        <v>238961</v>
      </c>
      <c r="P3093" s="1" t="n">
        <v>93.58</v>
      </c>
      <c r="Q3093" s="1" t="s">
        <v>20</v>
      </c>
      <c r="R3093" s="1" t="s">
        <v>27</v>
      </c>
      <c r="S3093" s="1" t="s">
        <v>28</v>
      </c>
      <c r="T3093" s="1" t="s">
        <v>29</v>
      </c>
    </row>
    <row r="3094" customFormat="false" ht="18.7" hidden="false" customHeight="true" outlineLevel="0" collapsed="false">
      <c r="A3094" s="1" t="n">
        <v>3093</v>
      </c>
      <c r="B3094" s="6" t="str">
        <f aca="false">HYPERLINK("https://mncourtfraud.com/file/MCRO_27-CR-22-4879_Petition to Enter Guilty Plea_2024-02-09_20240429040017.pdf","MCRO_27-CR-22-4879_Petition to Enter Guilty Plea_2024-02-09_20240429040017.pdf")</f>
        <v>MCRO_27-CR-22-4879_Petition to Enter Guilty Plea_2024-02-09_20240429040017.pdf</v>
      </c>
      <c r="C3094" s="1" t="n">
        <v>4</v>
      </c>
      <c r="D3094" s="1" t="n">
        <v>1</v>
      </c>
      <c r="E3094" s="1" t="n">
        <v>1</v>
      </c>
      <c r="F3094" s="3" t="s">
        <v>20</v>
      </c>
      <c r="G3094" s="3" t="s">
        <v>12465</v>
      </c>
      <c r="H3094" s="1" t="s">
        <v>22</v>
      </c>
      <c r="I3094" s="1" t="n">
        <v>20240429040017</v>
      </c>
      <c r="J3094" s="3" t="s">
        <v>12466</v>
      </c>
      <c r="K3094" s="3" t="s">
        <v>12467</v>
      </c>
      <c r="L3094" s="3" t="s">
        <v>12468</v>
      </c>
      <c r="M3094" s="3" t="n">
        <v>339307</v>
      </c>
      <c r="N3094" s="3" t="s">
        <v>104</v>
      </c>
      <c r="O3094" s="1" t="n">
        <v>322921</v>
      </c>
      <c r="P3094" s="1" t="n">
        <v>95.17</v>
      </c>
      <c r="Q3094" s="1" t="s">
        <v>20</v>
      </c>
      <c r="R3094" s="1" t="s">
        <v>27</v>
      </c>
      <c r="S3094" s="1" t="s">
        <v>28</v>
      </c>
      <c r="T3094" s="1" t="s">
        <v>29</v>
      </c>
    </row>
    <row r="3095" customFormat="false" ht="18.7" hidden="false" customHeight="true" outlineLevel="0" collapsed="false">
      <c r="A3095" s="1" t="n">
        <v>3094</v>
      </c>
      <c r="B3095" s="6" t="str">
        <f aca="false">HYPERLINK("https://mncourtfraud.com/file/MCRO_27-CR-22-4879_Warrant Issued_2022-04-04_20240429040035.pdf","MCRO_27-CR-22-4879_Warrant Issued_2022-04-04_20240429040035.pdf")</f>
        <v>MCRO_27-CR-22-4879_Warrant Issued_2022-04-04_20240429040035.pdf</v>
      </c>
      <c r="C3095" s="1" t="n">
        <v>6</v>
      </c>
      <c r="D3095" s="1" t="n">
        <v>1</v>
      </c>
      <c r="E3095" s="1" t="n">
        <v>1</v>
      </c>
      <c r="F3095" s="3" t="s">
        <v>20</v>
      </c>
      <c r="G3095" s="3" t="s">
        <v>12469</v>
      </c>
      <c r="H3095" s="1" t="s">
        <v>22</v>
      </c>
      <c r="I3095" s="1" t="n">
        <v>20240429040035</v>
      </c>
      <c r="J3095" s="3" t="s">
        <v>12470</v>
      </c>
      <c r="K3095" s="3" t="s">
        <v>12471</v>
      </c>
      <c r="L3095" s="3" t="s">
        <v>12472</v>
      </c>
      <c r="M3095" s="3" t="n">
        <v>207470</v>
      </c>
      <c r="N3095" s="3" t="s">
        <v>69</v>
      </c>
      <c r="O3095" s="1" t="n">
        <v>191084</v>
      </c>
      <c r="P3095" s="1" t="n">
        <v>92.1</v>
      </c>
      <c r="Q3095" s="1" t="s">
        <v>20</v>
      </c>
      <c r="R3095" s="1" t="s">
        <v>27</v>
      </c>
      <c r="S3095" s="1" t="s">
        <v>28</v>
      </c>
      <c r="T3095" s="1" t="s">
        <v>29</v>
      </c>
    </row>
    <row r="3096" customFormat="false" ht="18.7" hidden="false" customHeight="true" outlineLevel="0" collapsed="false">
      <c r="A3096" s="1" t="n">
        <v>3095</v>
      </c>
      <c r="B3096" s="6" t="str">
        <f aca="false">HYPERLINK("https://mncourtfraud.com/file/MCRO_27-CR-22-4898_Correspondence for Judicial Approval_2022-11-07_20240429040221.pdf","MCRO_27-CR-22-4898_Correspondence for Judicial Approval_2022-11-07_20240429040221.pdf")</f>
        <v>MCRO_27-CR-22-4898_Correspondence for Judicial Approval_2022-11-07_20240429040221.pdf</v>
      </c>
      <c r="C3096" s="1" t="n">
        <v>3</v>
      </c>
      <c r="D3096" s="1" t="n">
        <v>1</v>
      </c>
      <c r="E3096" s="1" t="n">
        <v>1</v>
      </c>
      <c r="F3096" s="3" t="s">
        <v>20</v>
      </c>
      <c r="G3096" s="3" t="s">
        <v>12473</v>
      </c>
      <c r="H3096" s="1" t="s">
        <v>22</v>
      </c>
      <c r="I3096" s="1" t="n">
        <v>20240429040221</v>
      </c>
      <c r="J3096" s="3" t="s">
        <v>12474</v>
      </c>
      <c r="K3096" s="3" t="s">
        <v>12475</v>
      </c>
      <c r="L3096" s="3" t="s">
        <v>3694</v>
      </c>
      <c r="M3096" s="3" t="n">
        <v>211260</v>
      </c>
      <c r="N3096" s="3" t="s">
        <v>629</v>
      </c>
      <c r="O3096" s="1" t="n">
        <v>194874</v>
      </c>
      <c r="P3096" s="1" t="n">
        <v>92.24</v>
      </c>
      <c r="Q3096" s="1" t="s">
        <v>20</v>
      </c>
      <c r="R3096" s="1" t="s">
        <v>27</v>
      </c>
      <c r="S3096" s="1" t="s">
        <v>28</v>
      </c>
      <c r="T3096" s="1" t="s">
        <v>29</v>
      </c>
    </row>
    <row r="3097" customFormat="false" ht="18.7" hidden="false" customHeight="true" outlineLevel="0" collapsed="false">
      <c r="A3097" s="1" t="n">
        <v>3096</v>
      </c>
      <c r="B3097" s="6" t="str">
        <f aca="false">HYPERLINK("https://mncourtfraud.com/file/MCRO_27-CR-22-4898_Demand or Request for Discovery_2022-03-22_20240429040228.pdf","MCRO_27-CR-22-4898_Demand or Request for Discovery_2022-03-22_20240429040228.pdf")</f>
        <v>MCRO_27-CR-22-4898_Demand or Request for Discovery_2022-03-22_20240429040228.pdf</v>
      </c>
      <c r="C3097" s="1" t="n">
        <v>3</v>
      </c>
      <c r="D3097" s="1" t="n">
        <v>1</v>
      </c>
      <c r="E3097" s="1" t="n">
        <v>1</v>
      </c>
      <c r="F3097" s="3" t="s">
        <v>20</v>
      </c>
      <c r="G3097" s="3" t="s">
        <v>12476</v>
      </c>
      <c r="H3097" s="1" t="s">
        <v>22</v>
      </c>
      <c r="I3097" s="1" t="n">
        <v>20240429040228</v>
      </c>
      <c r="J3097" s="3" t="s">
        <v>12477</v>
      </c>
      <c r="K3097" s="3" t="s">
        <v>12478</v>
      </c>
      <c r="L3097" s="3" t="s">
        <v>12479</v>
      </c>
      <c r="M3097" s="3" t="n">
        <v>618057</v>
      </c>
      <c r="N3097" s="3" t="s">
        <v>3699</v>
      </c>
      <c r="O3097" s="1" t="n">
        <v>601671</v>
      </c>
      <c r="P3097" s="1" t="n">
        <v>97.35</v>
      </c>
      <c r="Q3097" s="1" t="s">
        <v>20</v>
      </c>
      <c r="R3097" s="1" t="s">
        <v>27</v>
      </c>
      <c r="S3097" s="1" t="s">
        <v>28</v>
      </c>
      <c r="T3097" s="1" t="s">
        <v>29</v>
      </c>
    </row>
    <row r="3098" customFormat="false" ht="18.7" hidden="false" customHeight="true" outlineLevel="0" collapsed="false">
      <c r="A3098" s="1" t="n">
        <v>3097</v>
      </c>
      <c r="B3098" s="6" t="str">
        <f aca="false">HYPERLINK("https://mncourtfraud.com/file/MCRO_27-CR-22-4898_E-filed Comp-Order for Detention_2022-03-16_20240429040231.pdf","MCRO_27-CR-22-4898_E-filed Comp-Order for Detention_2022-03-16_20240429040231.pdf")</f>
        <v>MCRO_27-CR-22-4898_E-filed Comp-Order for Detention_2022-03-16_20240429040231.pdf</v>
      </c>
      <c r="C3098" s="1" t="n">
        <v>4</v>
      </c>
      <c r="D3098" s="1" t="n">
        <v>2</v>
      </c>
      <c r="E3098" s="1" t="n">
        <v>2</v>
      </c>
      <c r="F3098" s="3" t="s">
        <v>20</v>
      </c>
      <c r="G3098" s="3" t="s">
        <v>12480</v>
      </c>
      <c r="H3098" s="1" t="s">
        <v>22</v>
      </c>
      <c r="I3098" s="1" t="n">
        <v>20240429040231</v>
      </c>
      <c r="J3098" s="3" t="s">
        <v>12481</v>
      </c>
      <c r="K3098" s="3" t="s">
        <v>12482</v>
      </c>
      <c r="L3098" s="3" t="s">
        <v>12483</v>
      </c>
      <c r="M3098" s="3" t="n">
        <v>498957</v>
      </c>
      <c r="N3098" s="3" t="s">
        <v>1480</v>
      </c>
      <c r="O3098" s="1" t="n">
        <v>482571</v>
      </c>
      <c r="P3098" s="1" t="n">
        <v>96.72</v>
      </c>
      <c r="Q3098" s="1" t="s">
        <v>20</v>
      </c>
      <c r="R3098" s="1" t="s">
        <v>27</v>
      </c>
      <c r="S3098" s="1" t="s">
        <v>28</v>
      </c>
      <c r="T3098" s="1" t="s">
        <v>29</v>
      </c>
    </row>
    <row r="3099" customFormat="false" ht="18.7" hidden="false" customHeight="true" outlineLevel="0" collapsed="false">
      <c r="A3099" s="1" t="n">
        <v>3098</v>
      </c>
      <c r="B3099" s="6" t="str">
        <f aca="false">HYPERLINK("https://mncourtfraud.com/file/MCRO_27-CR-22-4898_Finding of Incompetency and Order_2024-03-12_20240429040213.pdf","MCRO_27-CR-22-4898_Finding of Incompetency and Order_2024-03-12_20240429040213.pdf")</f>
        <v>MCRO_27-CR-22-4898_Finding of Incompetency and Order_2024-03-12_20240429040213.pdf</v>
      </c>
      <c r="C3099" s="1" t="n">
        <v>5</v>
      </c>
      <c r="D3099" s="1" t="n">
        <v>1</v>
      </c>
      <c r="E3099" s="1" t="n">
        <v>1</v>
      </c>
      <c r="F3099" s="3" t="s">
        <v>20</v>
      </c>
      <c r="G3099" s="3" t="s">
        <v>12484</v>
      </c>
      <c r="H3099" s="1" t="s">
        <v>22</v>
      </c>
      <c r="I3099" s="1" t="n">
        <v>20240429040213</v>
      </c>
      <c r="J3099" s="3" t="s">
        <v>12485</v>
      </c>
      <c r="K3099" s="3" t="s">
        <v>12486</v>
      </c>
      <c r="L3099" s="3" t="s">
        <v>12487</v>
      </c>
      <c r="M3099" s="3" t="n">
        <v>832561</v>
      </c>
      <c r="N3099" s="3" t="s">
        <v>1489</v>
      </c>
      <c r="O3099" s="1" t="n">
        <v>816175</v>
      </c>
      <c r="P3099" s="1" t="n">
        <v>98.03</v>
      </c>
      <c r="Q3099" s="1" t="s">
        <v>20</v>
      </c>
      <c r="R3099" s="1" t="s">
        <v>27</v>
      </c>
      <c r="S3099" s="1" t="s">
        <v>28</v>
      </c>
      <c r="T3099" s="1" t="s">
        <v>29</v>
      </c>
    </row>
    <row r="3100" customFormat="false" ht="18.7" hidden="false" customHeight="true" outlineLevel="0" collapsed="false">
      <c r="A3100" s="1" t="n">
        <v>3099</v>
      </c>
      <c r="B3100" s="6" t="str">
        <f aca="false">HYPERLINK("https://mncourtfraud.com/file/MCRO_27-CR-22-4898_Notice of Hearing_2024-03-12_20240429040211.pdf","MCRO_27-CR-22-4898_Notice of Hearing_2024-03-12_20240429040211.pdf")</f>
        <v>MCRO_27-CR-22-4898_Notice of Hearing_2024-03-12_20240429040211.pdf</v>
      </c>
      <c r="C3100" s="1" t="n">
        <v>4</v>
      </c>
      <c r="D3100" s="1" t="n">
        <v>1</v>
      </c>
      <c r="E3100" s="1" t="n">
        <v>1</v>
      </c>
      <c r="F3100" s="3" t="s">
        <v>20</v>
      </c>
      <c r="G3100" s="3" t="s">
        <v>12488</v>
      </c>
      <c r="H3100" s="1" t="s">
        <v>22</v>
      </c>
      <c r="I3100" s="1" t="n">
        <v>20240429040211</v>
      </c>
      <c r="J3100" s="3" t="s">
        <v>12489</v>
      </c>
      <c r="K3100" s="3" t="s">
        <v>12490</v>
      </c>
      <c r="L3100" s="3" t="s">
        <v>12491</v>
      </c>
      <c r="M3100" s="3" t="n">
        <v>255839</v>
      </c>
      <c r="N3100" s="3" t="s">
        <v>74</v>
      </c>
      <c r="O3100" s="1" t="n">
        <v>239453</v>
      </c>
      <c r="P3100" s="1" t="n">
        <v>93.6</v>
      </c>
      <c r="Q3100" s="1" t="s">
        <v>20</v>
      </c>
      <c r="R3100" s="1" t="s">
        <v>27</v>
      </c>
      <c r="S3100" s="1" t="s">
        <v>28</v>
      </c>
      <c r="T3100" s="1" t="s">
        <v>29</v>
      </c>
    </row>
    <row r="3101" customFormat="false" ht="18.7" hidden="false" customHeight="true" outlineLevel="0" collapsed="false">
      <c r="A3101" s="1" t="n">
        <v>3100</v>
      </c>
      <c r="B3101" s="6" t="str">
        <f aca="false">HYPERLINK("https://mncourtfraud.com/file/MCRO_27-CR-22-4898_Notice of Remote Hearing with Instructions_2022-03-17_20240429040229.pdf","MCRO_27-CR-22-4898_Notice of Remote Hearing with Instructions_2022-03-17_20240429040229.pdf")</f>
        <v>MCRO_27-CR-22-4898_Notice of Remote Hearing with Instructions_2022-03-17_20240429040229.pdf</v>
      </c>
      <c r="C3101" s="1" t="n">
        <v>4</v>
      </c>
      <c r="D3101" s="1" t="n">
        <v>1</v>
      </c>
      <c r="E3101" s="1" t="n">
        <v>1</v>
      </c>
      <c r="F3101" s="3" t="s">
        <v>20</v>
      </c>
      <c r="G3101" s="3" t="s">
        <v>12492</v>
      </c>
      <c r="H3101" s="1" t="s">
        <v>22</v>
      </c>
      <c r="I3101" s="1" t="n">
        <v>20240429040229</v>
      </c>
      <c r="J3101" s="3" t="s">
        <v>12493</v>
      </c>
      <c r="K3101" s="3" t="s">
        <v>12494</v>
      </c>
      <c r="L3101" s="3" t="s">
        <v>12495</v>
      </c>
      <c r="M3101" s="3" t="n">
        <v>169597</v>
      </c>
      <c r="N3101" s="3" t="s">
        <v>361</v>
      </c>
      <c r="O3101" s="1" t="n">
        <v>153211</v>
      </c>
      <c r="P3101" s="1" t="n">
        <v>90.34</v>
      </c>
      <c r="Q3101" s="1" t="s">
        <v>20</v>
      </c>
      <c r="R3101" s="1" t="s">
        <v>27</v>
      </c>
      <c r="S3101" s="1" t="s">
        <v>28</v>
      </c>
      <c r="T3101" s="1" t="s">
        <v>29</v>
      </c>
    </row>
    <row r="3102" customFormat="false" ht="18.7" hidden="false" customHeight="true" outlineLevel="0" collapsed="false">
      <c r="A3102" s="1" t="n">
        <v>3101</v>
      </c>
      <c r="B3102" s="6" t="str">
        <f aca="false">HYPERLINK("https://mncourtfraud.com/file/MCRO_27-CR-22-4898_Notice of Remote Hearing with Instructions_2023-08-29_20240429040217.pdf","MCRO_27-CR-22-4898_Notice of Remote Hearing with Instructions_2023-08-29_20240429040217.pdf")</f>
        <v>MCRO_27-CR-22-4898_Notice of Remote Hearing with Instructions_2023-08-29_20240429040217.pdf</v>
      </c>
      <c r="C3102" s="1" t="n">
        <v>5</v>
      </c>
      <c r="D3102" s="1" t="n">
        <v>1</v>
      </c>
      <c r="E3102" s="1" t="n">
        <v>1</v>
      </c>
      <c r="F3102" s="3" t="s">
        <v>20</v>
      </c>
      <c r="G3102" s="3" t="s">
        <v>12496</v>
      </c>
      <c r="H3102" s="1" t="s">
        <v>22</v>
      </c>
      <c r="I3102" s="1" t="n">
        <v>20240429040217</v>
      </c>
      <c r="J3102" s="3" t="s">
        <v>12497</v>
      </c>
      <c r="K3102" s="3" t="s">
        <v>12498</v>
      </c>
      <c r="L3102" s="3" t="s">
        <v>12499</v>
      </c>
      <c r="M3102" s="3" t="n">
        <v>844619</v>
      </c>
      <c r="N3102" s="3" t="s">
        <v>1579</v>
      </c>
      <c r="O3102" s="1" t="n">
        <v>828233</v>
      </c>
      <c r="P3102" s="1" t="n">
        <v>98.06</v>
      </c>
      <c r="Q3102" s="1" t="s">
        <v>20</v>
      </c>
      <c r="R3102" s="1" t="s">
        <v>27</v>
      </c>
      <c r="S3102" s="1" t="s">
        <v>28</v>
      </c>
      <c r="T3102" s="1" t="s">
        <v>29</v>
      </c>
    </row>
    <row r="3103" customFormat="false" ht="18.7" hidden="false" customHeight="true" outlineLevel="0" collapsed="false">
      <c r="A3103" s="1" t="n">
        <v>3102</v>
      </c>
      <c r="B3103" s="6" t="str">
        <f aca="false">HYPERLINK("https://mncourtfraud.com/file/MCRO_27-CR-22-4898_Notice of Remote Hearing with Instructions_2024-02-27_20240429040215.pdf","MCRO_27-CR-22-4898_Notice of Remote Hearing with Instructions_2024-02-27_20240429040215.pdf")</f>
        <v>MCRO_27-CR-22-4898_Notice of Remote Hearing with Instructions_2024-02-27_20240429040215.pdf</v>
      </c>
      <c r="C3103" s="1" t="n">
        <v>4</v>
      </c>
      <c r="D3103" s="1" t="n">
        <v>1</v>
      </c>
      <c r="E3103" s="1" t="n">
        <v>1</v>
      </c>
      <c r="F3103" s="3" t="s">
        <v>20</v>
      </c>
      <c r="G3103" s="3" t="s">
        <v>12500</v>
      </c>
      <c r="H3103" s="1" t="s">
        <v>22</v>
      </c>
      <c r="I3103" s="1" t="n">
        <v>20240429040215</v>
      </c>
      <c r="J3103" s="3" t="s">
        <v>12501</v>
      </c>
      <c r="K3103" s="3" t="s">
        <v>12502</v>
      </c>
      <c r="L3103" s="3" t="s">
        <v>12503</v>
      </c>
      <c r="M3103" s="3" t="n">
        <v>255886</v>
      </c>
      <c r="N3103" s="3" t="s">
        <v>74</v>
      </c>
      <c r="O3103" s="1" t="n">
        <v>239500</v>
      </c>
      <c r="P3103" s="1" t="n">
        <v>93.6</v>
      </c>
      <c r="Q3103" s="1" t="s">
        <v>20</v>
      </c>
      <c r="R3103" s="1" t="s">
        <v>27</v>
      </c>
      <c r="S3103" s="1" t="s">
        <v>28</v>
      </c>
      <c r="T3103" s="1" t="s">
        <v>29</v>
      </c>
    </row>
    <row r="3104" customFormat="false" ht="18.7" hidden="false" customHeight="true" outlineLevel="0" collapsed="false">
      <c r="A3104" s="1" t="n">
        <v>3103</v>
      </c>
      <c r="B3104" s="6" t="str">
        <f aca="false">HYPERLINK("https://mncourtfraud.com/file/MCRO_27-CR-22-4898_Notice of Remote Hearing with Instructions_2024-03-05_20240429040214.pdf","MCRO_27-CR-22-4898_Notice of Remote Hearing with Instructions_2024-03-05_20240429040214.pdf")</f>
        <v>MCRO_27-CR-22-4898_Notice of Remote Hearing with Instructions_2024-03-05_20240429040214.pdf</v>
      </c>
      <c r="C3104" s="1" t="n">
        <v>4</v>
      </c>
      <c r="D3104" s="1" t="n">
        <v>1</v>
      </c>
      <c r="E3104" s="1" t="n">
        <v>1</v>
      </c>
      <c r="F3104" s="3" t="s">
        <v>20</v>
      </c>
      <c r="G3104" s="3" t="s">
        <v>12504</v>
      </c>
      <c r="H3104" s="1" t="s">
        <v>22</v>
      </c>
      <c r="I3104" s="1" t="n">
        <v>20240429040214</v>
      </c>
      <c r="J3104" s="3" t="s">
        <v>12505</v>
      </c>
      <c r="K3104" s="3" t="s">
        <v>12506</v>
      </c>
      <c r="L3104" s="3" t="s">
        <v>3747</v>
      </c>
      <c r="M3104" s="3" t="n">
        <v>255666</v>
      </c>
      <c r="N3104" s="3" t="s">
        <v>74</v>
      </c>
      <c r="O3104" s="1" t="n">
        <v>239280</v>
      </c>
      <c r="P3104" s="1" t="n">
        <v>93.59</v>
      </c>
      <c r="Q3104" s="1" t="s">
        <v>20</v>
      </c>
      <c r="R3104" s="1" t="s">
        <v>27</v>
      </c>
      <c r="S3104" s="1" t="s">
        <v>28</v>
      </c>
      <c r="T3104" s="1" t="s">
        <v>29</v>
      </c>
    </row>
    <row r="3105" customFormat="false" ht="18.7" hidden="false" customHeight="true" outlineLevel="0" collapsed="false">
      <c r="A3105" s="1" t="n">
        <v>3104</v>
      </c>
      <c r="B3105" s="6" t="str">
        <f aca="false">HYPERLINK("https://mncourtfraud.com/file/MCRO_27-CR-22-4898_Notice of Remote Hearing with Instructions_2024-03-12_20240429040212.pdf","MCRO_27-CR-22-4898_Notice of Remote Hearing with Instructions_2024-03-12_20240429040212.pdf")</f>
        <v>MCRO_27-CR-22-4898_Notice of Remote Hearing with Instructions_2024-03-12_20240429040212.pdf</v>
      </c>
      <c r="C3105" s="1" t="n">
        <v>4</v>
      </c>
      <c r="D3105" s="1" t="n">
        <v>1</v>
      </c>
      <c r="E3105" s="1" t="n">
        <v>1</v>
      </c>
      <c r="F3105" s="3" t="s">
        <v>20</v>
      </c>
      <c r="G3105" s="3" t="s">
        <v>12507</v>
      </c>
      <c r="H3105" s="1" t="s">
        <v>22</v>
      </c>
      <c r="I3105" s="1" t="n">
        <v>20240429040212</v>
      </c>
      <c r="J3105" s="3" t="s">
        <v>12508</v>
      </c>
      <c r="K3105" s="3" t="s">
        <v>12509</v>
      </c>
      <c r="L3105" s="3" t="s">
        <v>12510</v>
      </c>
      <c r="M3105" s="3" t="n">
        <v>255642</v>
      </c>
      <c r="N3105" s="3" t="s">
        <v>74</v>
      </c>
      <c r="O3105" s="1" t="n">
        <v>239256</v>
      </c>
      <c r="P3105" s="1" t="n">
        <v>93.59</v>
      </c>
      <c r="Q3105" s="1" t="s">
        <v>20</v>
      </c>
      <c r="R3105" s="1" t="s">
        <v>27</v>
      </c>
      <c r="S3105" s="1" t="s">
        <v>28</v>
      </c>
      <c r="T3105" s="1" t="s">
        <v>29</v>
      </c>
    </row>
    <row r="3106" customFormat="false" ht="18.7" hidden="false" customHeight="true" outlineLevel="0" collapsed="false">
      <c r="A3106" s="1" t="n">
        <v>3105</v>
      </c>
      <c r="B3106" s="6" t="str">
        <f aca="false">HYPERLINK("https://mncourtfraud.com/file/MCRO_27-CR-22-4898_Order-Evaluation for Competency to Proceed (Rule 20.01)_2022-06-14_20240429040224.pdf","MCRO_27-CR-22-4898_Order-Evaluation for Competency to Proceed (Rule 20.01)_2022-06-14_20240429040224.pdf")</f>
        <v>MCRO_27-CR-22-4898_Order-Evaluation for Competency to Proceed (Rule 20.01)_2022-06-14_20240429040224.pdf</v>
      </c>
      <c r="C3106" s="1" t="n">
        <v>6</v>
      </c>
      <c r="D3106" s="1" t="n">
        <v>1</v>
      </c>
      <c r="E3106" s="1" t="n">
        <v>1</v>
      </c>
      <c r="F3106" s="3" t="s">
        <v>20</v>
      </c>
      <c r="G3106" s="3" t="s">
        <v>12511</v>
      </c>
      <c r="H3106" s="1" t="s">
        <v>22</v>
      </c>
      <c r="I3106" s="1" t="n">
        <v>20240429040224</v>
      </c>
      <c r="J3106" s="3" t="s">
        <v>12512</v>
      </c>
      <c r="K3106" s="3" t="s">
        <v>12513</v>
      </c>
      <c r="L3106" s="3" t="s">
        <v>12514</v>
      </c>
      <c r="M3106" s="3" t="n">
        <v>829224</v>
      </c>
      <c r="N3106" s="3" t="s">
        <v>1614</v>
      </c>
      <c r="O3106" s="1" t="n">
        <v>812838</v>
      </c>
      <c r="P3106" s="1" t="n">
        <v>98.02</v>
      </c>
      <c r="Q3106" s="1" t="s">
        <v>20</v>
      </c>
      <c r="R3106" s="1" t="s">
        <v>27</v>
      </c>
      <c r="S3106" s="1" t="s">
        <v>28</v>
      </c>
      <c r="T3106" s="1" t="s">
        <v>29</v>
      </c>
    </row>
    <row r="3107" customFormat="false" ht="18.7" hidden="false" customHeight="true" outlineLevel="0" collapsed="false">
      <c r="A3107" s="1" t="n">
        <v>3106</v>
      </c>
      <c r="B3107" s="6" t="str">
        <f aca="false">HYPERLINK("https://mncourtfraud.com/file/MCRO_27-CR-22-4898_Order-Evaluation for Competency to Proceed (Rule 20.01)_2022-12-27_20240429040219.pdf","MCRO_27-CR-22-4898_Order-Evaluation for Competency to Proceed (Rule 20.01)_2022-12-27_20240429040219.pdf")</f>
        <v>MCRO_27-CR-22-4898_Order-Evaluation for Competency to Proceed (Rule 20.01)_2022-12-27_20240429040219.pdf</v>
      </c>
      <c r="C3107" s="1" t="n">
        <v>6</v>
      </c>
      <c r="D3107" s="1" t="n">
        <v>1</v>
      </c>
      <c r="E3107" s="1" t="n">
        <v>1</v>
      </c>
      <c r="F3107" s="3" t="s">
        <v>20</v>
      </c>
      <c r="G3107" s="3" t="s">
        <v>12515</v>
      </c>
      <c r="H3107" s="1" t="s">
        <v>22</v>
      </c>
      <c r="I3107" s="1" t="n">
        <v>20240429040219</v>
      </c>
      <c r="J3107" s="3" t="s">
        <v>12516</v>
      </c>
      <c r="K3107" s="3" t="s">
        <v>12517</v>
      </c>
      <c r="L3107" s="3" t="s">
        <v>10121</v>
      </c>
      <c r="M3107" s="3" t="n">
        <v>823507</v>
      </c>
      <c r="N3107" s="3" t="s">
        <v>1619</v>
      </c>
      <c r="O3107" s="1" t="n">
        <v>807121</v>
      </c>
      <c r="P3107" s="1" t="n">
        <v>98.01</v>
      </c>
      <c r="Q3107" s="1" t="s">
        <v>20</v>
      </c>
      <c r="R3107" s="1" t="s">
        <v>27</v>
      </c>
      <c r="S3107" s="1" t="s">
        <v>28</v>
      </c>
      <c r="T3107" s="1" t="s">
        <v>29</v>
      </c>
    </row>
    <row r="3108" customFormat="false" ht="18.7" hidden="false" customHeight="true" outlineLevel="0" collapsed="false">
      <c r="A3108" s="1" t="n">
        <v>3107</v>
      </c>
      <c r="B3108" s="6" t="str">
        <f aca="false">HYPERLINK("https://mncourtfraud.com/file/MCRO_27-CR-22-4898_Order-Evaluation for Competency to Proceed (Rule 20.01)_2023-01-11_20240429040218.pdf","MCRO_27-CR-22-4898_Order-Evaluation for Competency to Proceed (Rule 20.01)_2023-01-11_20240429040218.pdf")</f>
        <v>MCRO_27-CR-22-4898_Order-Evaluation for Competency to Proceed (Rule 20.01)_2023-01-11_20240429040218.pdf</v>
      </c>
      <c r="C3108" s="1" t="n">
        <v>6</v>
      </c>
      <c r="D3108" s="1" t="n">
        <v>2</v>
      </c>
      <c r="E3108" s="1" t="n">
        <v>2</v>
      </c>
      <c r="F3108" s="3" t="s">
        <v>27</v>
      </c>
      <c r="G3108" s="3" t="s">
        <v>12518</v>
      </c>
      <c r="H3108" s="1" t="s">
        <v>22</v>
      </c>
      <c r="I3108" s="1" t="n">
        <v>20240429040218</v>
      </c>
      <c r="J3108" s="3" t="s">
        <v>12519</v>
      </c>
      <c r="K3108" s="3" t="s">
        <v>12520</v>
      </c>
      <c r="L3108" s="3" t="s">
        <v>12521</v>
      </c>
      <c r="M3108" s="3" t="n">
        <v>913099</v>
      </c>
      <c r="N3108" s="3" t="s">
        <v>1624</v>
      </c>
      <c r="O3108" s="1" t="n">
        <v>896713</v>
      </c>
      <c r="P3108" s="1" t="n">
        <v>98.21</v>
      </c>
      <c r="Q3108" s="1" t="s">
        <v>20</v>
      </c>
      <c r="R3108" s="1" t="s">
        <v>27</v>
      </c>
      <c r="S3108" s="1" t="s">
        <v>28</v>
      </c>
      <c r="T3108" s="1" t="s">
        <v>29</v>
      </c>
    </row>
    <row r="3109" customFormat="false" ht="18.7" hidden="false" customHeight="true" outlineLevel="0" collapsed="false">
      <c r="A3109" s="1" t="n">
        <v>3108</v>
      </c>
      <c r="B3109" s="6" t="str">
        <f aca="false">HYPERLINK("https://mncourtfraud.com/file/MCRO_27-CR-22-4898_Order-Evaluation for Competency to Proceed (Rule 20.01)_2023-12-22_20240429040216.pdf","MCRO_27-CR-22-4898_Order-Evaluation for Competency to Proceed (Rule 20.01)_2023-12-22_20240429040216.pdf")</f>
        <v>MCRO_27-CR-22-4898_Order-Evaluation for Competency to Proceed (Rule 20.01)_2023-12-22_20240429040216.pdf</v>
      </c>
      <c r="C3109" s="1" t="n">
        <v>5</v>
      </c>
      <c r="D3109" s="1" t="n">
        <v>1</v>
      </c>
      <c r="E3109" s="1" t="n">
        <v>1</v>
      </c>
      <c r="F3109" s="3" t="s">
        <v>20</v>
      </c>
      <c r="G3109" s="3" t="s">
        <v>12522</v>
      </c>
      <c r="H3109" s="1" t="s">
        <v>22</v>
      </c>
      <c r="I3109" s="1" t="n">
        <v>20240429040216</v>
      </c>
      <c r="J3109" s="3" t="s">
        <v>12523</v>
      </c>
      <c r="K3109" s="3" t="s">
        <v>12524</v>
      </c>
      <c r="L3109" s="3" t="s">
        <v>12525</v>
      </c>
      <c r="M3109" s="3" t="n">
        <v>761663</v>
      </c>
      <c r="N3109" s="3" t="s">
        <v>1091</v>
      </c>
      <c r="O3109" s="1" t="n">
        <v>745277</v>
      </c>
      <c r="P3109" s="1" t="n">
        <v>97.85</v>
      </c>
      <c r="Q3109" s="1" t="s">
        <v>20</v>
      </c>
      <c r="R3109" s="1" t="s">
        <v>27</v>
      </c>
      <c r="S3109" s="1" t="s">
        <v>28</v>
      </c>
      <c r="T3109" s="1" t="s">
        <v>29</v>
      </c>
    </row>
    <row r="3110" customFormat="false" ht="18.7" hidden="false" customHeight="true" outlineLevel="0" collapsed="false">
      <c r="A3110" s="1" t="n">
        <v>3109</v>
      </c>
      <c r="B3110" s="6" t="str">
        <f aca="false">HYPERLINK("https://mncourtfraud.com/file/MCRO_27-CR-22-4898_Order for Conditional Release_2022-03-17_20240429040230.pdf","MCRO_27-CR-22-4898_Order for Conditional Release_2022-03-17_20240429040230.pdf")</f>
        <v>MCRO_27-CR-22-4898_Order for Conditional Release_2022-03-17_20240429040230.pdf</v>
      </c>
      <c r="C3110" s="1" t="n">
        <v>4</v>
      </c>
      <c r="D3110" s="1" t="n">
        <v>54</v>
      </c>
      <c r="E3110" s="1" t="n">
        <v>2</v>
      </c>
      <c r="F3110" s="3" t="s">
        <v>20</v>
      </c>
      <c r="G3110" s="3" t="s">
        <v>12526</v>
      </c>
      <c r="H3110" s="1" t="s">
        <v>22</v>
      </c>
      <c r="I3110" s="1" t="n">
        <v>20240429040230</v>
      </c>
      <c r="J3110" s="3" t="s">
        <v>12527</v>
      </c>
      <c r="K3110" s="3" t="s">
        <v>12528</v>
      </c>
      <c r="L3110" s="3" t="s">
        <v>12529</v>
      </c>
      <c r="M3110" s="3" t="n">
        <v>339465</v>
      </c>
      <c r="N3110" s="3" t="s">
        <v>3572</v>
      </c>
      <c r="O3110" s="1" t="n">
        <v>323079</v>
      </c>
      <c r="P3110" s="1" t="n">
        <v>95.17</v>
      </c>
      <c r="Q3110" s="1" t="s">
        <v>20</v>
      </c>
      <c r="R3110" s="1" t="s">
        <v>27</v>
      </c>
      <c r="S3110" s="1" t="s">
        <v>28</v>
      </c>
      <c r="T3110" s="1" t="s">
        <v>29</v>
      </c>
    </row>
    <row r="3111" customFormat="false" ht="18.7" hidden="false" customHeight="true" outlineLevel="0" collapsed="false">
      <c r="A3111" s="1" t="n">
        <v>3110</v>
      </c>
      <c r="B3111" s="6" t="str">
        <f aca="false">HYPERLINK("https://mncourtfraud.com/file/MCRO_27-CR-22-4898_Order for Conditional Release_2022-05-04_20240429040224.pdf","MCRO_27-CR-22-4898_Order for Conditional Release_2022-05-04_20240429040224.pdf")</f>
        <v>MCRO_27-CR-22-4898_Order for Conditional Release_2022-05-04_20240429040224.pdf</v>
      </c>
      <c r="C3111" s="1" t="n">
        <v>4</v>
      </c>
      <c r="D3111" s="1" t="n">
        <v>1</v>
      </c>
      <c r="E3111" s="1" t="n">
        <v>1</v>
      </c>
      <c r="F3111" s="3" t="s">
        <v>20</v>
      </c>
      <c r="G3111" s="3" t="s">
        <v>12530</v>
      </c>
      <c r="H3111" s="1" t="s">
        <v>22</v>
      </c>
      <c r="I3111" s="1" t="n">
        <v>20240429040224</v>
      </c>
      <c r="J3111" s="3" t="s">
        <v>12531</v>
      </c>
      <c r="K3111" s="3" t="s">
        <v>12532</v>
      </c>
      <c r="L3111" s="3" t="s">
        <v>12533</v>
      </c>
      <c r="M3111" s="3" t="n">
        <v>136027</v>
      </c>
      <c r="N3111" s="3" t="s">
        <v>456</v>
      </c>
      <c r="O3111" s="1" t="n">
        <v>119641</v>
      </c>
      <c r="P3111" s="1" t="n">
        <v>87.95</v>
      </c>
      <c r="Q3111" s="1" t="s">
        <v>20</v>
      </c>
      <c r="R3111" s="1" t="s">
        <v>27</v>
      </c>
      <c r="S3111" s="1" t="s">
        <v>28</v>
      </c>
      <c r="T3111" s="1" t="s">
        <v>29</v>
      </c>
    </row>
    <row r="3112" customFormat="false" ht="18.7" hidden="false" customHeight="true" outlineLevel="0" collapsed="false">
      <c r="A3112" s="1" t="n">
        <v>3111</v>
      </c>
      <c r="B3112" s="6" t="str">
        <f aca="false">HYPERLINK("https://mncourtfraud.com/file/MCRO_27-CR-22-4898_Order for Conditional Release_2022-09-01_20240429040222.pdf","MCRO_27-CR-22-4898_Order for Conditional Release_2022-09-01_20240429040222.pdf")</f>
        <v>MCRO_27-CR-22-4898_Order for Conditional Release_2022-09-01_20240429040222.pdf</v>
      </c>
      <c r="C3112" s="1" t="n">
        <v>5</v>
      </c>
      <c r="D3112" s="1" t="n">
        <v>1</v>
      </c>
      <c r="E3112" s="1" t="n">
        <v>1</v>
      </c>
      <c r="F3112" s="3" t="s">
        <v>20</v>
      </c>
      <c r="G3112" s="3" t="s">
        <v>12534</v>
      </c>
      <c r="H3112" s="1" t="s">
        <v>22</v>
      </c>
      <c r="I3112" s="1" t="n">
        <v>20240429040222</v>
      </c>
      <c r="J3112" s="3" t="s">
        <v>12535</v>
      </c>
      <c r="K3112" s="3" t="s">
        <v>12536</v>
      </c>
      <c r="L3112" s="3" t="s">
        <v>12537</v>
      </c>
      <c r="M3112" s="3" t="n">
        <v>217113</v>
      </c>
      <c r="N3112" s="3" t="s">
        <v>12538</v>
      </c>
      <c r="O3112" s="1" t="n">
        <v>200727</v>
      </c>
      <c r="P3112" s="1" t="n">
        <v>92.45</v>
      </c>
      <c r="Q3112" s="1" t="s">
        <v>20</v>
      </c>
      <c r="R3112" s="1" t="s">
        <v>27</v>
      </c>
      <c r="S3112" s="1" t="s">
        <v>28</v>
      </c>
      <c r="T3112" s="1" t="s">
        <v>29</v>
      </c>
    </row>
    <row r="3113" customFormat="false" ht="18.7" hidden="false" customHeight="true" outlineLevel="0" collapsed="false">
      <c r="A3113" s="1" t="n">
        <v>3112</v>
      </c>
      <c r="B3113" s="6" t="str">
        <f aca="false">HYPERLINK("https://mncourtfraud.com/file/MCRO_27-CR-22-4898_Probation Violation Order for Detention_2022-04-22_20240429040226.pdf","MCRO_27-CR-22-4898_Probation Violation Order for Detention_2022-04-22_20240429040226.pdf")</f>
        <v>MCRO_27-CR-22-4898_Probation Violation Order for Detention_2022-04-22_20240429040226.pdf</v>
      </c>
      <c r="C3113" s="1" t="n">
        <v>5</v>
      </c>
      <c r="D3113" s="1" t="n">
        <v>3</v>
      </c>
      <c r="E3113" s="1" t="n">
        <v>3</v>
      </c>
      <c r="F3113" s="3" t="s">
        <v>20</v>
      </c>
      <c r="G3113" s="3" t="s">
        <v>12539</v>
      </c>
      <c r="H3113" s="1" t="s">
        <v>22</v>
      </c>
      <c r="I3113" s="1" t="n">
        <v>20240429040226</v>
      </c>
      <c r="J3113" s="3" t="s">
        <v>12540</v>
      </c>
      <c r="K3113" s="3" t="s">
        <v>12541</v>
      </c>
      <c r="L3113" s="3" t="s">
        <v>12542</v>
      </c>
      <c r="M3113" s="3" t="n">
        <v>344901</v>
      </c>
      <c r="N3113" s="3" t="s">
        <v>39</v>
      </c>
      <c r="O3113" s="1" t="n">
        <v>328515</v>
      </c>
      <c r="P3113" s="1" t="n">
        <v>95.25</v>
      </c>
      <c r="Q3113" s="1" t="s">
        <v>20</v>
      </c>
      <c r="R3113" s="1" t="s">
        <v>27</v>
      </c>
      <c r="S3113" s="1" t="s">
        <v>28</v>
      </c>
      <c r="T3113" s="1" t="s">
        <v>29</v>
      </c>
    </row>
    <row r="3114" customFormat="false" ht="18.7" hidden="false" customHeight="true" outlineLevel="0" collapsed="false">
      <c r="A3114" s="1" t="n">
        <v>3113</v>
      </c>
      <c r="B3114" s="6" t="str">
        <f aca="false">HYPERLINK("https://mncourtfraud.com/file/MCRO_27-CR-22-4898_Proposed Order or Document_2022-04-22_20240429040227.pdf","MCRO_27-CR-22-4898_Proposed Order or Document_2022-04-22_20240429040227.pdf")</f>
        <v>MCRO_27-CR-22-4898_Proposed Order or Document_2022-04-22_20240429040227.pdf</v>
      </c>
      <c r="C3114" s="1" t="n">
        <v>3</v>
      </c>
      <c r="D3114" s="1" t="n">
        <v>1</v>
      </c>
      <c r="E3114" s="1" t="n">
        <v>1</v>
      </c>
      <c r="F3114" s="3" t="s">
        <v>20</v>
      </c>
      <c r="G3114" s="3" t="s">
        <v>12543</v>
      </c>
      <c r="H3114" s="1" t="s">
        <v>22</v>
      </c>
      <c r="I3114" s="1" t="n">
        <v>20240429040227</v>
      </c>
      <c r="J3114" s="3" t="s">
        <v>12544</v>
      </c>
      <c r="K3114" s="3" t="s">
        <v>12545</v>
      </c>
      <c r="L3114" s="3" t="s">
        <v>12546</v>
      </c>
      <c r="M3114" s="3" t="n">
        <v>177078</v>
      </c>
      <c r="N3114" s="3" t="s">
        <v>8404</v>
      </c>
      <c r="O3114" s="1" t="n">
        <v>160692</v>
      </c>
      <c r="P3114" s="1" t="n">
        <v>90.75</v>
      </c>
      <c r="Q3114" s="1" t="s">
        <v>20</v>
      </c>
      <c r="R3114" s="1" t="s">
        <v>27</v>
      </c>
      <c r="S3114" s="1" t="s">
        <v>28</v>
      </c>
      <c r="T3114" s="1" t="s">
        <v>29</v>
      </c>
    </row>
    <row r="3115" customFormat="false" ht="18.7" hidden="false" customHeight="true" outlineLevel="0" collapsed="false">
      <c r="A3115" s="1" t="n">
        <v>3114</v>
      </c>
      <c r="B3115" s="6" t="str">
        <f aca="false">HYPERLINK("https://mncourtfraud.com/file/MCRO_27-CR-22-4898_Proposed Order or Document_2022-11-07_20240429040220.pdf","MCRO_27-CR-22-4898_Proposed Order or Document_2022-11-07_20240429040220.pdf")</f>
        <v>MCRO_27-CR-22-4898_Proposed Order or Document_2022-11-07_20240429040220.pdf</v>
      </c>
      <c r="C3115" s="1" t="n">
        <v>3</v>
      </c>
      <c r="D3115" s="1" t="n">
        <v>1</v>
      </c>
      <c r="E3115" s="1" t="n">
        <v>1</v>
      </c>
      <c r="F3115" s="3" t="s">
        <v>20</v>
      </c>
      <c r="G3115" s="3" t="s">
        <v>12547</v>
      </c>
      <c r="H3115" s="1" t="s">
        <v>22</v>
      </c>
      <c r="I3115" s="1" t="n">
        <v>20240429040220</v>
      </c>
      <c r="J3115" s="3" t="s">
        <v>12548</v>
      </c>
      <c r="K3115" s="3" t="s">
        <v>12549</v>
      </c>
      <c r="L3115" s="3" t="s">
        <v>12550</v>
      </c>
      <c r="M3115" s="3" t="n">
        <v>178715</v>
      </c>
      <c r="N3115" s="3" t="s">
        <v>1673</v>
      </c>
      <c r="O3115" s="1" t="n">
        <v>162329</v>
      </c>
      <c r="P3115" s="1" t="n">
        <v>90.83</v>
      </c>
      <c r="Q3115" s="1" t="s">
        <v>20</v>
      </c>
      <c r="R3115" s="1" t="s">
        <v>27</v>
      </c>
      <c r="S3115" s="1" t="s">
        <v>28</v>
      </c>
      <c r="T3115" s="1" t="s">
        <v>29</v>
      </c>
    </row>
    <row r="3116" customFormat="false" ht="18.7" hidden="false" customHeight="true" outlineLevel="0" collapsed="false">
      <c r="A3116" s="1" t="n">
        <v>3115</v>
      </c>
      <c r="B3116" s="6" t="str">
        <f aca="false">HYPERLINK("https://mncourtfraud.com/file/MCRO_27-CR-22-4898_Returned Mail_2024-03-19_20240429040209.pdf","MCRO_27-CR-22-4898_Returned Mail_2024-03-19_20240429040209.pdf")</f>
        <v>MCRO_27-CR-22-4898_Returned Mail_2024-03-19_20240429040209.pdf</v>
      </c>
      <c r="C3116" s="1" t="n">
        <v>4</v>
      </c>
      <c r="D3116" s="1" t="n">
        <v>1</v>
      </c>
      <c r="E3116" s="1" t="n">
        <v>1</v>
      </c>
      <c r="F3116" s="3" t="s">
        <v>20</v>
      </c>
      <c r="G3116" s="3" t="s">
        <v>12551</v>
      </c>
      <c r="H3116" s="1" t="s">
        <v>22</v>
      </c>
      <c r="I3116" s="1" t="n">
        <v>20240429040209</v>
      </c>
      <c r="J3116" s="3" t="s">
        <v>12552</v>
      </c>
      <c r="K3116" s="3" t="s">
        <v>12553</v>
      </c>
      <c r="L3116" s="3" t="s">
        <v>12554</v>
      </c>
      <c r="M3116" s="3" t="n">
        <v>87888</v>
      </c>
      <c r="N3116" s="3" t="s">
        <v>435</v>
      </c>
      <c r="O3116" s="1" t="n">
        <v>71502</v>
      </c>
      <c r="P3116" s="1" t="n">
        <v>81.36</v>
      </c>
      <c r="Q3116" s="1" t="s">
        <v>20</v>
      </c>
      <c r="R3116" s="1" t="s">
        <v>27</v>
      </c>
      <c r="S3116" s="1" t="s">
        <v>28</v>
      </c>
      <c r="T3116" s="1" t="s">
        <v>29</v>
      </c>
    </row>
    <row r="3117" customFormat="false" ht="18.7" hidden="false" customHeight="true" outlineLevel="0" collapsed="false">
      <c r="A3117" s="1" t="n">
        <v>3116</v>
      </c>
      <c r="B3117" s="6" t="str">
        <f aca="false">HYPERLINK("https://mncourtfraud.com/file/MCRO_27-CR-22-5532_Demand or Request for Discovery_2022-03-29_20240429040417.pdf","MCRO_27-CR-22-5532_Demand or Request for Discovery_2022-03-29_20240429040417.pdf")</f>
        <v>MCRO_27-CR-22-5532_Demand or Request for Discovery_2022-03-29_20240429040417.pdf</v>
      </c>
      <c r="C3117" s="1" t="n">
        <v>3</v>
      </c>
      <c r="D3117" s="1" t="n">
        <v>1</v>
      </c>
      <c r="E3117" s="1" t="n">
        <v>1</v>
      </c>
      <c r="F3117" s="3" t="s">
        <v>20</v>
      </c>
      <c r="G3117" s="3" t="s">
        <v>12555</v>
      </c>
      <c r="H3117" s="1" t="s">
        <v>22</v>
      </c>
      <c r="I3117" s="1" t="n">
        <v>20240429040417</v>
      </c>
      <c r="J3117" s="3" t="s">
        <v>12556</v>
      </c>
      <c r="K3117" s="3" t="s">
        <v>12557</v>
      </c>
      <c r="L3117" s="3" t="s">
        <v>12558</v>
      </c>
      <c r="M3117" s="3" t="n">
        <v>370709</v>
      </c>
      <c r="N3117" s="3" t="s">
        <v>9552</v>
      </c>
      <c r="O3117" s="1" t="n">
        <v>354323</v>
      </c>
      <c r="P3117" s="1" t="n">
        <v>95.58</v>
      </c>
      <c r="Q3117" s="1" t="s">
        <v>20</v>
      </c>
      <c r="R3117" s="1" t="s">
        <v>27</v>
      </c>
      <c r="S3117" s="1" t="s">
        <v>28</v>
      </c>
      <c r="T3117" s="1" t="s">
        <v>29</v>
      </c>
    </row>
    <row r="3118" customFormat="false" ht="18.7" hidden="false" customHeight="true" outlineLevel="0" collapsed="false">
      <c r="A3118" s="1" t="n">
        <v>3117</v>
      </c>
      <c r="B3118" s="6" t="str">
        <f aca="false">HYPERLINK("https://mncourtfraud.com/file/MCRO_27-CR-22-5532_E-filed Comp-Order for Detention_2022-03-24_20240429040419.pdf","MCRO_27-CR-22-5532_E-filed Comp-Order for Detention_2022-03-24_20240429040419.pdf")</f>
        <v>MCRO_27-CR-22-5532_E-filed Comp-Order for Detention_2022-03-24_20240429040419.pdf</v>
      </c>
      <c r="C3118" s="1" t="n">
        <v>4</v>
      </c>
      <c r="D3118" s="1" t="n">
        <v>2</v>
      </c>
      <c r="E3118" s="1" t="n">
        <v>2</v>
      </c>
      <c r="F3118" s="3" t="s">
        <v>20</v>
      </c>
      <c r="G3118" s="3" t="s">
        <v>12559</v>
      </c>
      <c r="H3118" s="1" t="s">
        <v>22</v>
      </c>
      <c r="I3118" s="1" t="n">
        <v>20240429040419</v>
      </c>
      <c r="J3118" s="3" t="s">
        <v>12560</v>
      </c>
      <c r="K3118" s="3" t="s">
        <v>12561</v>
      </c>
      <c r="L3118" s="3" t="s">
        <v>12562</v>
      </c>
      <c r="M3118" s="3" t="n">
        <v>499141</v>
      </c>
      <c r="N3118" s="3" t="s">
        <v>1480</v>
      </c>
      <c r="O3118" s="1" t="n">
        <v>482755</v>
      </c>
      <c r="P3118" s="1" t="n">
        <v>96.72</v>
      </c>
      <c r="Q3118" s="1" t="s">
        <v>20</v>
      </c>
      <c r="R3118" s="1" t="s">
        <v>27</v>
      </c>
      <c r="S3118" s="1" t="s">
        <v>28</v>
      </c>
      <c r="T3118" s="1" t="s">
        <v>29</v>
      </c>
    </row>
    <row r="3119" customFormat="false" ht="18.7" hidden="false" customHeight="true" outlineLevel="0" collapsed="false">
      <c r="A3119" s="1" t="n">
        <v>3118</v>
      </c>
      <c r="B3119" s="6" t="str">
        <f aca="false">HYPERLINK("https://mncourtfraud.com/file/MCRO_27-CR-22-5532_Findings and Order_2022-05-17_20240429040413.pdf","MCRO_27-CR-22-5532_Findings and Order_2022-05-17_20240429040413.pdf")</f>
        <v>MCRO_27-CR-22-5532_Findings and Order_2022-05-17_20240429040413.pdf</v>
      </c>
      <c r="C3119" s="1" t="n">
        <v>4</v>
      </c>
      <c r="D3119" s="1" t="n">
        <v>1</v>
      </c>
      <c r="E3119" s="1" t="n">
        <v>1</v>
      </c>
      <c r="F3119" s="3" t="s">
        <v>20</v>
      </c>
      <c r="G3119" s="3" t="s">
        <v>12563</v>
      </c>
      <c r="H3119" s="1" t="s">
        <v>22</v>
      </c>
      <c r="I3119" s="1" t="n">
        <v>20240429040413</v>
      </c>
      <c r="J3119" s="3" t="s">
        <v>12564</v>
      </c>
      <c r="K3119" s="3" t="s">
        <v>12565</v>
      </c>
      <c r="L3119" s="3" t="s">
        <v>7338</v>
      </c>
      <c r="M3119" s="3" t="n">
        <v>356457</v>
      </c>
      <c r="N3119" s="3" t="s">
        <v>395</v>
      </c>
      <c r="O3119" s="1" t="n">
        <v>340071</v>
      </c>
      <c r="P3119" s="1" t="n">
        <v>95.4</v>
      </c>
      <c r="Q3119" s="1" t="s">
        <v>20</v>
      </c>
      <c r="R3119" s="1" t="s">
        <v>27</v>
      </c>
      <c r="S3119" s="1" t="s">
        <v>28</v>
      </c>
      <c r="T3119" s="1" t="s">
        <v>29</v>
      </c>
    </row>
    <row r="3120" customFormat="false" ht="18.7" hidden="false" customHeight="true" outlineLevel="0" collapsed="false">
      <c r="A3120" s="1" t="n">
        <v>3119</v>
      </c>
      <c r="B3120" s="6" t="str">
        <f aca="false">HYPERLINK("https://mncourtfraud.com/file/MCRO_27-CR-22-5532_Notice of Case Reassignment_2022-05-06_20240429040414.pdf","MCRO_27-CR-22-5532_Notice of Case Reassignment_2022-05-06_20240429040414.pdf")</f>
        <v>MCRO_27-CR-22-5532_Notice of Case Reassignment_2022-05-06_20240429040414.pdf</v>
      </c>
      <c r="C3120" s="1" t="n">
        <v>4</v>
      </c>
      <c r="D3120" s="1" t="n">
        <v>1</v>
      </c>
      <c r="E3120" s="1" t="n">
        <v>1</v>
      </c>
      <c r="F3120" s="3" t="s">
        <v>20</v>
      </c>
      <c r="G3120" s="3" t="s">
        <v>12566</v>
      </c>
      <c r="H3120" s="1" t="s">
        <v>22</v>
      </c>
      <c r="I3120" s="1" t="n">
        <v>20240429040414</v>
      </c>
      <c r="J3120" s="3" t="s">
        <v>12567</v>
      </c>
      <c r="K3120" s="3" t="s">
        <v>12568</v>
      </c>
      <c r="L3120" s="3" t="s">
        <v>12569</v>
      </c>
      <c r="M3120" s="3" t="n">
        <v>93835</v>
      </c>
      <c r="N3120" s="3" t="s">
        <v>456</v>
      </c>
      <c r="O3120" s="1" t="n">
        <v>77449</v>
      </c>
      <c r="P3120" s="1" t="n">
        <v>82.54</v>
      </c>
      <c r="Q3120" s="1" t="s">
        <v>20</v>
      </c>
      <c r="R3120" s="1" t="s">
        <v>27</v>
      </c>
      <c r="S3120" s="1" t="s">
        <v>28</v>
      </c>
      <c r="T3120" s="1" t="s">
        <v>29</v>
      </c>
    </row>
    <row r="3121" customFormat="false" ht="18.7" hidden="false" customHeight="true" outlineLevel="0" collapsed="false">
      <c r="A3121" s="1" t="n">
        <v>3120</v>
      </c>
      <c r="B3121" s="6" t="str">
        <f aca="false">HYPERLINK("https://mncourtfraud.com/file/MCRO_27-CR-22-5532_Notice of Case Reassignment_2023-01-20_20240429040406.pdf","MCRO_27-CR-22-5532_Notice of Case Reassignment_2023-01-20_20240429040406.pdf")</f>
        <v>MCRO_27-CR-22-5532_Notice of Case Reassignment_2023-01-20_20240429040406.pdf</v>
      </c>
      <c r="C3121" s="1" t="n">
        <v>4</v>
      </c>
      <c r="D3121" s="1" t="n">
        <v>1</v>
      </c>
      <c r="E3121" s="1" t="n">
        <v>1</v>
      </c>
      <c r="F3121" s="3" t="s">
        <v>20</v>
      </c>
      <c r="G3121" s="3" t="s">
        <v>12570</v>
      </c>
      <c r="H3121" s="1" t="s">
        <v>22</v>
      </c>
      <c r="I3121" s="1" t="n">
        <v>20240429040406</v>
      </c>
      <c r="J3121" s="3" t="s">
        <v>12571</v>
      </c>
      <c r="K3121" s="3" t="s">
        <v>12572</v>
      </c>
      <c r="L3121" s="3" t="s">
        <v>12573</v>
      </c>
      <c r="M3121" s="3" t="n">
        <v>91111</v>
      </c>
      <c r="N3121" s="3" t="s">
        <v>435</v>
      </c>
      <c r="O3121" s="1" t="n">
        <v>74725</v>
      </c>
      <c r="P3121" s="1" t="n">
        <v>82.02</v>
      </c>
      <c r="Q3121" s="1" t="s">
        <v>20</v>
      </c>
      <c r="R3121" s="1" t="s">
        <v>27</v>
      </c>
      <c r="S3121" s="1" t="s">
        <v>28</v>
      </c>
      <c r="T3121" s="1" t="s">
        <v>29</v>
      </c>
    </row>
    <row r="3122" customFormat="false" ht="18.7" hidden="false" customHeight="true" outlineLevel="0" collapsed="false">
      <c r="A3122" s="1" t="n">
        <v>3121</v>
      </c>
      <c r="B3122" s="6" t="str">
        <f aca="false">HYPERLINK("https://mncourtfraud.com/file/MCRO_27-CR-22-5532_Notice of Case Reassignment_2024-02-15_20240429040400.pdf","MCRO_27-CR-22-5532_Notice of Case Reassignment_2024-02-15_20240429040400.pdf")</f>
        <v>MCRO_27-CR-22-5532_Notice of Case Reassignment_2024-02-15_20240429040400.pdf</v>
      </c>
      <c r="C3122" s="1" t="n">
        <v>3</v>
      </c>
      <c r="D3122" s="1" t="n">
        <v>1</v>
      </c>
      <c r="E3122" s="1" t="n">
        <v>1</v>
      </c>
      <c r="F3122" s="3" t="s">
        <v>20</v>
      </c>
      <c r="G3122" s="3" t="s">
        <v>12574</v>
      </c>
      <c r="H3122" s="1" t="s">
        <v>22</v>
      </c>
      <c r="I3122" s="1" t="n">
        <v>20240429040400</v>
      </c>
      <c r="J3122" s="3" t="s">
        <v>12575</v>
      </c>
      <c r="K3122" s="3" t="s">
        <v>12576</v>
      </c>
      <c r="L3122" s="3" t="s">
        <v>12577</v>
      </c>
      <c r="M3122" s="3" t="n">
        <v>114034</v>
      </c>
      <c r="N3122" s="3" t="s">
        <v>128</v>
      </c>
      <c r="O3122" s="1" t="n">
        <v>97648</v>
      </c>
      <c r="P3122" s="1" t="n">
        <v>85.63</v>
      </c>
      <c r="Q3122" s="1" t="s">
        <v>20</v>
      </c>
      <c r="R3122" s="1" t="s">
        <v>27</v>
      </c>
      <c r="S3122" s="1" t="s">
        <v>28</v>
      </c>
      <c r="T3122" s="1" t="s">
        <v>29</v>
      </c>
    </row>
    <row r="3123" customFormat="false" ht="18.7" hidden="false" customHeight="true" outlineLevel="0" collapsed="false">
      <c r="A3123" s="1" t="n">
        <v>3122</v>
      </c>
      <c r="B3123" s="6" t="str">
        <f aca="false">HYPERLINK("https://mncourtfraud.com/file/MCRO_27-CR-22-5532_Notice of Hearing_2023-07-03_20240429040404.pdf","MCRO_27-CR-22-5532_Notice of Hearing_2023-07-03_20240429040404.pdf")</f>
        <v>MCRO_27-CR-22-5532_Notice of Hearing_2023-07-03_20240429040404.pdf</v>
      </c>
      <c r="C3123" s="1" t="n">
        <v>5</v>
      </c>
      <c r="D3123" s="1" t="n">
        <v>1</v>
      </c>
      <c r="E3123" s="1" t="n">
        <v>1</v>
      </c>
      <c r="F3123" s="3" t="s">
        <v>20</v>
      </c>
      <c r="G3123" s="3" t="s">
        <v>12578</v>
      </c>
      <c r="H3123" s="1" t="s">
        <v>22</v>
      </c>
      <c r="I3123" s="1" t="n">
        <v>20240429040404</v>
      </c>
      <c r="J3123" s="3" t="s">
        <v>12579</v>
      </c>
      <c r="K3123" s="3" t="s">
        <v>12580</v>
      </c>
      <c r="L3123" s="3" t="s">
        <v>12581</v>
      </c>
      <c r="M3123" s="3" t="n">
        <v>739750</v>
      </c>
      <c r="N3123" s="3" t="s">
        <v>722</v>
      </c>
      <c r="O3123" s="1" t="n">
        <v>723364</v>
      </c>
      <c r="P3123" s="1" t="n">
        <v>97.78</v>
      </c>
      <c r="Q3123" s="1" t="s">
        <v>20</v>
      </c>
      <c r="R3123" s="1" t="s">
        <v>27</v>
      </c>
      <c r="S3123" s="1" t="s">
        <v>28</v>
      </c>
      <c r="T3123" s="1" t="s">
        <v>29</v>
      </c>
    </row>
    <row r="3124" customFormat="false" ht="18.7" hidden="false" customHeight="true" outlineLevel="0" collapsed="false">
      <c r="A3124" s="1" t="n">
        <v>3123</v>
      </c>
      <c r="B3124" s="6" t="str">
        <f aca="false">HYPERLINK("https://mncourtfraud.com/file/MCRO_27-CR-22-5532_Notice of Hearing_2023-10-17_20240429040402.pdf","MCRO_27-CR-22-5532_Notice of Hearing_2023-10-17_20240429040402.pdf")</f>
        <v>MCRO_27-CR-22-5532_Notice of Hearing_2023-10-17_20240429040402.pdf</v>
      </c>
      <c r="C3124" s="1" t="n">
        <v>5</v>
      </c>
      <c r="D3124" s="1" t="n">
        <v>1</v>
      </c>
      <c r="E3124" s="1" t="n">
        <v>1</v>
      </c>
      <c r="F3124" s="3" t="s">
        <v>20</v>
      </c>
      <c r="G3124" s="3" t="s">
        <v>12582</v>
      </c>
      <c r="H3124" s="1" t="s">
        <v>22</v>
      </c>
      <c r="I3124" s="1" t="n">
        <v>20240429040402</v>
      </c>
      <c r="J3124" s="3" t="s">
        <v>12583</v>
      </c>
      <c r="K3124" s="3" t="s">
        <v>12584</v>
      </c>
      <c r="L3124" s="3" t="s">
        <v>12585</v>
      </c>
      <c r="M3124" s="3" t="n">
        <v>740071</v>
      </c>
      <c r="N3124" s="3" t="s">
        <v>2768</v>
      </c>
      <c r="O3124" s="1" t="n">
        <v>723685</v>
      </c>
      <c r="P3124" s="1" t="n">
        <v>97.79</v>
      </c>
      <c r="Q3124" s="1" t="s">
        <v>20</v>
      </c>
      <c r="R3124" s="1" t="s">
        <v>27</v>
      </c>
      <c r="S3124" s="1" t="s">
        <v>28</v>
      </c>
      <c r="T3124" s="1" t="s">
        <v>29</v>
      </c>
    </row>
    <row r="3125" customFormat="false" ht="18.7" hidden="false" customHeight="true" outlineLevel="0" collapsed="false">
      <c r="A3125" s="1" t="n">
        <v>3124</v>
      </c>
      <c r="B3125" s="6" t="str">
        <f aca="false">HYPERLINK("https://mncourtfraud.com/file/MCRO_27-CR-22-5532_Notice of Intent to Prosecute_2022-06-13_20240429040411.pdf","MCRO_27-CR-22-5532_Notice of Intent to Prosecute_2022-06-13_20240429040411.pdf")</f>
        <v>MCRO_27-CR-22-5532_Notice of Intent to Prosecute_2022-06-13_20240429040411.pdf</v>
      </c>
      <c r="C3125" s="1" t="n">
        <v>3</v>
      </c>
      <c r="D3125" s="1" t="n">
        <v>1</v>
      </c>
      <c r="E3125" s="1" t="n">
        <v>1</v>
      </c>
      <c r="F3125" s="3" t="s">
        <v>20</v>
      </c>
      <c r="G3125" s="3" t="s">
        <v>12586</v>
      </c>
      <c r="H3125" s="1" t="s">
        <v>22</v>
      </c>
      <c r="I3125" s="1" t="n">
        <v>20240429040411</v>
      </c>
      <c r="J3125" s="3" t="s">
        <v>12587</v>
      </c>
      <c r="K3125" s="3" t="s">
        <v>12588</v>
      </c>
      <c r="L3125" s="3" t="s">
        <v>12589</v>
      </c>
      <c r="M3125" s="3" t="n">
        <v>121951</v>
      </c>
      <c r="N3125" s="3" t="s">
        <v>3225</v>
      </c>
      <c r="O3125" s="1" t="n">
        <v>105565</v>
      </c>
      <c r="P3125" s="1" t="n">
        <v>86.56</v>
      </c>
      <c r="Q3125" s="1" t="s">
        <v>20</v>
      </c>
      <c r="R3125" s="1" t="s">
        <v>27</v>
      </c>
      <c r="S3125" s="1" t="s">
        <v>28</v>
      </c>
      <c r="T3125" s="1" t="s">
        <v>29</v>
      </c>
    </row>
    <row r="3126" customFormat="false" ht="18.7" hidden="false" customHeight="true" outlineLevel="0" collapsed="false">
      <c r="A3126" s="1" t="n">
        <v>3125</v>
      </c>
      <c r="B3126" s="6" t="str">
        <f aca="false">HYPERLINK("https://mncourtfraud.com/file/MCRO_27-CR-22-5532_Notice of Remote Hearing with Instructions_2022-11-15_20240429040408.pdf","MCRO_27-CR-22-5532_Notice of Remote Hearing with Instructions_2022-11-15_20240429040408.pdf")</f>
        <v>MCRO_27-CR-22-5532_Notice of Remote Hearing with Instructions_2022-11-15_20240429040408.pdf</v>
      </c>
      <c r="C3126" s="1" t="n">
        <v>6</v>
      </c>
      <c r="D3126" s="1" t="n">
        <v>1</v>
      </c>
      <c r="E3126" s="1" t="n">
        <v>1</v>
      </c>
      <c r="F3126" s="3" t="s">
        <v>20</v>
      </c>
      <c r="G3126" s="3" t="s">
        <v>12590</v>
      </c>
      <c r="H3126" s="1" t="s">
        <v>22</v>
      </c>
      <c r="I3126" s="1" t="n">
        <v>20240429040408</v>
      </c>
      <c r="J3126" s="3" t="s">
        <v>12591</v>
      </c>
      <c r="K3126" s="3" t="s">
        <v>12592</v>
      </c>
      <c r="L3126" s="3" t="s">
        <v>12593</v>
      </c>
      <c r="M3126" s="3" t="n">
        <v>362079</v>
      </c>
      <c r="N3126" s="3" t="s">
        <v>7367</v>
      </c>
      <c r="O3126" s="1" t="n">
        <v>345693</v>
      </c>
      <c r="P3126" s="1" t="n">
        <v>95.47</v>
      </c>
      <c r="Q3126" s="1" t="s">
        <v>20</v>
      </c>
      <c r="R3126" s="1" t="s">
        <v>27</v>
      </c>
      <c r="S3126" s="1" t="s">
        <v>28</v>
      </c>
      <c r="T3126" s="1" t="s">
        <v>29</v>
      </c>
    </row>
    <row r="3127" customFormat="false" ht="18.7" hidden="false" customHeight="true" outlineLevel="0" collapsed="false">
      <c r="A3127" s="1" t="n">
        <v>3126</v>
      </c>
      <c r="B3127" s="6" t="str">
        <f aca="false">HYPERLINK("https://mncourtfraud.com/file/MCRO_27-CR-22-5532_Order-Evaluation for Competency to Proceed (Rule 20.01)_2022-04-19_20240429040415.pdf","MCRO_27-CR-22-5532_Order-Evaluation for Competency to Proceed (Rule 20.01)_2022-04-19_20240429040415.pdf")</f>
        <v>MCRO_27-CR-22-5532_Order-Evaluation for Competency to Proceed (Rule 20.01)_2022-04-19_20240429040415.pdf</v>
      </c>
      <c r="C3127" s="1" t="n">
        <v>4</v>
      </c>
      <c r="D3127" s="1" t="n">
        <v>1</v>
      </c>
      <c r="E3127" s="1" t="n">
        <v>1</v>
      </c>
      <c r="F3127" s="3" t="s">
        <v>20</v>
      </c>
      <c r="G3127" s="3" t="s">
        <v>12594</v>
      </c>
      <c r="H3127" s="1" t="s">
        <v>22</v>
      </c>
      <c r="I3127" s="1" t="n">
        <v>20240429040415</v>
      </c>
      <c r="J3127" s="3" t="s">
        <v>12595</v>
      </c>
      <c r="K3127" s="3" t="s">
        <v>12596</v>
      </c>
      <c r="L3127" s="3" t="s">
        <v>12597</v>
      </c>
      <c r="M3127" s="3" t="n">
        <v>255503</v>
      </c>
      <c r="N3127" s="3" t="s">
        <v>4568</v>
      </c>
      <c r="O3127" s="1" t="n">
        <v>239117</v>
      </c>
      <c r="P3127" s="1" t="n">
        <v>93.59</v>
      </c>
      <c r="Q3127" s="1" t="s">
        <v>20</v>
      </c>
      <c r="R3127" s="1" t="s">
        <v>27</v>
      </c>
      <c r="S3127" s="1" t="s">
        <v>28</v>
      </c>
      <c r="T3127" s="1" t="s">
        <v>29</v>
      </c>
    </row>
    <row r="3128" customFormat="false" ht="18.7" hidden="false" customHeight="true" outlineLevel="0" collapsed="false">
      <c r="A3128" s="1" t="n">
        <v>3127</v>
      </c>
      <c r="B3128" s="6" t="str">
        <f aca="false">HYPERLINK("https://mncourtfraud.com/file/MCRO_27-CR-22-5532_Order-Evaluation for Competency to Proceed (Rule 20.01)_2022-09-08_20240429040409.pdf","MCRO_27-CR-22-5532_Order-Evaluation for Competency to Proceed (Rule 20.01)_2022-09-08_20240429040409.pdf")</f>
        <v>MCRO_27-CR-22-5532_Order-Evaluation for Competency to Proceed (Rule 20.01)_2022-09-08_20240429040409.pdf</v>
      </c>
      <c r="C3128" s="1" t="n">
        <v>5</v>
      </c>
      <c r="D3128" s="1" t="n">
        <v>1</v>
      </c>
      <c r="E3128" s="1" t="n">
        <v>1</v>
      </c>
      <c r="F3128" s="3" t="s">
        <v>20</v>
      </c>
      <c r="G3128" s="3" t="s">
        <v>12598</v>
      </c>
      <c r="H3128" s="1" t="s">
        <v>22</v>
      </c>
      <c r="I3128" s="1" t="n">
        <v>20240429040409</v>
      </c>
      <c r="J3128" s="3" t="s">
        <v>12599</v>
      </c>
      <c r="K3128" s="3" t="s">
        <v>12600</v>
      </c>
      <c r="L3128" s="3" t="s">
        <v>12601</v>
      </c>
      <c r="M3128" s="3" t="n">
        <v>820940</v>
      </c>
      <c r="N3128" s="3" t="s">
        <v>7380</v>
      </c>
      <c r="O3128" s="1" t="n">
        <v>804554</v>
      </c>
      <c r="P3128" s="1" t="n">
        <v>98</v>
      </c>
      <c r="Q3128" s="1" t="s">
        <v>20</v>
      </c>
      <c r="R3128" s="1" t="s">
        <v>27</v>
      </c>
      <c r="S3128" s="1" t="s">
        <v>28</v>
      </c>
      <c r="T3128" s="1" t="s">
        <v>29</v>
      </c>
    </row>
    <row r="3129" customFormat="false" ht="18.7" hidden="false" customHeight="true" outlineLevel="0" collapsed="false">
      <c r="A3129" s="1" t="n">
        <v>3128</v>
      </c>
      <c r="B3129" s="6" t="str">
        <f aca="false">HYPERLINK("https://mncourtfraud.com/file/MCRO_27-CR-22-5532_Order-Evaluation for Competency to Proceed (Rule 20.01)_2023-02-14_20240429040405.pdf","MCRO_27-CR-22-5532_Order-Evaluation for Competency to Proceed (Rule 20.01)_2023-02-14_20240429040405.pdf")</f>
        <v>MCRO_27-CR-22-5532_Order-Evaluation for Competency to Proceed (Rule 20.01)_2023-02-14_20240429040405.pdf</v>
      </c>
      <c r="C3129" s="1" t="n">
        <v>7</v>
      </c>
      <c r="D3129" s="1" t="n">
        <v>2</v>
      </c>
      <c r="E3129" s="1" t="n">
        <v>2</v>
      </c>
      <c r="F3129" s="3" t="s">
        <v>27</v>
      </c>
      <c r="G3129" s="3" t="s">
        <v>12602</v>
      </c>
      <c r="H3129" s="1" t="s">
        <v>22</v>
      </c>
      <c r="I3129" s="1" t="n">
        <v>20240429040405</v>
      </c>
      <c r="J3129" s="3" t="s">
        <v>12603</v>
      </c>
      <c r="K3129" s="3" t="s">
        <v>12604</v>
      </c>
      <c r="L3129" s="3" t="s">
        <v>12605</v>
      </c>
      <c r="M3129" s="3" t="n">
        <v>880584</v>
      </c>
      <c r="N3129" s="3" t="s">
        <v>7385</v>
      </c>
      <c r="O3129" s="1" t="n">
        <v>864198</v>
      </c>
      <c r="P3129" s="1" t="n">
        <v>98.14</v>
      </c>
      <c r="Q3129" s="1" t="s">
        <v>20</v>
      </c>
      <c r="R3129" s="1" t="s">
        <v>27</v>
      </c>
      <c r="S3129" s="1" t="s">
        <v>28</v>
      </c>
      <c r="T3129" s="1" t="s">
        <v>29</v>
      </c>
    </row>
    <row r="3130" customFormat="false" ht="18.7" hidden="false" customHeight="true" outlineLevel="0" collapsed="false">
      <c r="A3130" s="1" t="n">
        <v>3129</v>
      </c>
      <c r="B3130" s="6" t="str">
        <f aca="false">HYPERLINK("https://mncourtfraud.com/file/MCRO_27-CR-22-5532_Order for Conditional Release_2022-03-25_20240429040418.pdf","MCRO_27-CR-22-5532_Order for Conditional Release_2022-03-25_20240429040418.pdf")</f>
        <v>MCRO_27-CR-22-5532_Order for Conditional Release_2022-03-25_20240429040418.pdf</v>
      </c>
      <c r="C3130" s="1" t="n">
        <v>5</v>
      </c>
      <c r="D3130" s="1" t="n">
        <v>54</v>
      </c>
      <c r="E3130" s="1" t="n">
        <v>2</v>
      </c>
      <c r="F3130" s="3" t="s">
        <v>27</v>
      </c>
      <c r="G3130" s="3" t="s">
        <v>12606</v>
      </c>
      <c r="H3130" s="1" t="s">
        <v>22</v>
      </c>
      <c r="I3130" s="1" t="n">
        <v>20240429040418</v>
      </c>
      <c r="J3130" s="3" t="s">
        <v>12607</v>
      </c>
      <c r="K3130" s="3" t="s">
        <v>12608</v>
      </c>
      <c r="L3130" s="3" t="s">
        <v>12609</v>
      </c>
      <c r="M3130" s="3" t="n">
        <v>347251</v>
      </c>
      <c r="N3130" s="3" t="s">
        <v>12610</v>
      </c>
      <c r="O3130" s="1" t="n">
        <v>330865</v>
      </c>
      <c r="P3130" s="1" t="n">
        <v>95.28</v>
      </c>
      <c r="Q3130" s="1" t="s">
        <v>20</v>
      </c>
      <c r="R3130" s="1" t="s">
        <v>27</v>
      </c>
      <c r="S3130" s="1" t="s">
        <v>28</v>
      </c>
      <c r="T3130" s="1" t="s">
        <v>29</v>
      </c>
    </row>
    <row r="3131" customFormat="false" ht="18.7" hidden="false" customHeight="true" outlineLevel="0" collapsed="false">
      <c r="A3131" s="1" t="n">
        <v>3130</v>
      </c>
      <c r="B3131" s="6" t="str">
        <f aca="false">HYPERLINK("https://mncourtfraud.com/file/MCRO_27-CR-22-5532_Order for Conditional Release_2022-06-21_20240429040410.pdf","MCRO_27-CR-22-5532_Order for Conditional Release_2022-06-21_20240429040410.pdf")</f>
        <v>MCRO_27-CR-22-5532_Order for Conditional Release_2022-06-21_20240429040410.pdf</v>
      </c>
      <c r="C3131" s="1" t="n">
        <v>4</v>
      </c>
      <c r="D3131" s="1" t="n">
        <v>1</v>
      </c>
      <c r="E3131" s="1" t="n">
        <v>1</v>
      </c>
      <c r="F3131" s="3" t="s">
        <v>20</v>
      </c>
      <c r="G3131" s="3" t="s">
        <v>12611</v>
      </c>
      <c r="H3131" s="1" t="s">
        <v>22</v>
      </c>
      <c r="I3131" s="1" t="n">
        <v>20240429040410</v>
      </c>
      <c r="J3131" s="3" t="s">
        <v>12612</v>
      </c>
      <c r="K3131" s="3" t="s">
        <v>12613</v>
      </c>
      <c r="L3131" s="3" t="s">
        <v>12614</v>
      </c>
      <c r="M3131" s="3" t="n">
        <v>745343</v>
      </c>
      <c r="N3131" s="3" t="s">
        <v>39</v>
      </c>
      <c r="O3131" s="1" t="n">
        <v>728957</v>
      </c>
      <c r="P3131" s="1" t="n">
        <v>97.8</v>
      </c>
      <c r="Q3131" s="1" t="s">
        <v>20</v>
      </c>
      <c r="R3131" s="1" t="s">
        <v>27</v>
      </c>
      <c r="S3131" s="1" t="s">
        <v>28</v>
      </c>
      <c r="T3131" s="1" t="s">
        <v>29</v>
      </c>
    </row>
    <row r="3132" customFormat="false" ht="18.7" hidden="false" customHeight="true" outlineLevel="0" collapsed="false">
      <c r="A3132" s="1" t="n">
        <v>3131</v>
      </c>
      <c r="B3132" s="6" t="str">
        <f aca="false">HYPERLINK("https://mncourtfraud.com/file/MCRO_27-CR-22-5532_Returned Mail_2022-05-20_20240429040412.pdf","MCRO_27-CR-22-5532_Returned Mail_2022-05-20_20240429040412.pdf")</f>
        <v>MCRO_27-CR-22-5532_Returned Mail_2022-05-20_20240429040412.pdf</v>
      </c>
      <c r="C3132" s="1" t="n">
        <v>4</v>
      </c>
      <c r="D3132" s="1" t="n">
        <v>1</v>
      </c>
      <c r="E3132" s="1" t="n">
        <v>1</v>
      </c>
      <c r="F3132" s="3" t="s">
        <v>20</v>
      </c>
      <c r="G3132" s="3" t="s">
        <v>12615</v>
      </c>
      <c r="H3132" s="1" t="s">
        <v>22</v>
      </c>
      <c r="I3132" s="1" t="n">
        <v>20240429040412</v>
      </c>
      <c r="J3132" s="3" t="s">
        <v>12616</v>
      </c>
      <c r="K3132" s="3" t="s">
        <v>12617</v>
      </c>
      <c r="L3132" s="3" t="s">
        <v>7415</v>
      </c>
      <c r="M3132" s="3" t="n">
        <v>71624</v>
      </c>
      <c r="N3132" s="3" t="s">
        <v>1307</v>
      </c>
      <c r="O3132" s="1" t="n">
        <v>55238</v>
      </c>
      <c r="P3132" s="1" t="n">
        <v>77.12</v>
      </c>
      <c r="Q3132" s="1" t="s">
        <v>20</v>
      </c>
      <c r="R3132" s="1" t="s">
        <v>27</v>
      </c>
      <c r="S3132" s="1" t="s">
        <v>28</v>
      </c>
      <c r="T3132" s="1" t="s">
        <v>29</v>
      </c>
    </row>
    <row r="3133" customFormat="false" ht="18.7" hidden="false" customHeight="true" outlineLevel="0" collapsed="false">
      <c r="A3133" s="1" t="n">
        <v>3132</v>
      </c>
      <c r="B3133" s="6" t="str">
        <f aca="false">HYPERLINK("https://mncourtfraud.com/file/MCRO_27-CR-22-5532_Returned Mail_2022-12-07_20240429040407.pdf","MCRO_27-CR-22-5532_Returned Mail_2022-12-07_20240429040407.pdf")</f>
        <v>MCRO_27-CR-22-5532_Returned Mail_2022-12-07_20240429040407.pdf</v>
      </c>
      <c r="C3133" s="1" t="n">
        <v>4</v>
      </c>
      <c r="D3133" s="1" t="n">
        <v>1</v>
      </c>
      <c r="E3133" s="1" t="n">
        <v>1</v>
      </c>
      <c r="F3133" s="3" t="s">
        <v>20</v>
      </c>
      <c r="G3133" s="3" t="s">
        <v>12618</v>
      </c>
      <c r="H3133" s="1" t="s">
        <v>22</v>
      </c>
      <c r="I3133" s="1" t="n">
        <v>20240429040407</v>
      </c>
      <c r="J3133" s="3" t="s">
        <v>12619</v>
      </c>
      <c r="K3133" s="3" t="s">
        <v>12620</v>
      </c>
      <c r="L3133" s="3" t="s">
        <v>12621</v>
      </c>
      <c r="M3133" s="3" t="n">
        <v>1092795</v>
      </c>
      <c r="N3133" s="3" t="s">
        <v>104</v>
      </c>
      <c r="O3133" s="1" t="n">
        <v>1076409</v>
      </c>
      <c r="P3133" s="1" t="n">
        <v>98.5</v>
      </c>
      <c r="Q3133" s="1" t="s">
        <v>20</v>
      </c>
      <c r="R3133" s="1" t="s">
        <v>27</v>
      </c>
      <c r="S3133" s="1" t="s">
        <v>28</v>
      </c>
      <c r="T3133" s="1" t="s">
        <v>29</v>
      </c>
    </row>
    <row r="3134" customFormat="false" ht="18.7" hidden="false" customHeight="true" outlineLevel="0" collapsed="false">
      <c r="A3134" s="1" t="n">
        <v>3133</v>
      </c>
      <c r="B3134" s="6" t="str">
        <f aca="false">HYPERLINK("https://mncourtfraud.com/file/MCRO_27-CR-22-5532_Returned Mail_2023-07-17_20240429040403.pdf","MCRO_27-CR-22-5532_Returned Mail_2023-07-17_20240429040403.pdf")</f>
        <v>MCRO_27-CR-22-5532_Returned Mail_2023-07-17_20240429040403.pdf</v>
      </c>
      <c r="C3134" s="1" t="n">
        <v>4</v>
      </c>
      <c r="D3134" s="1" t="n">
        <v>1</v>
      </c>
      <c r="E3134" s="1" t="n">
        <v>1</v>
      </c>
      <c r="F3134" s="3" t="s">
        <v>20</v>
      </c>
      <c r="G3134" s="3" t="s">
        <v>12622</v>
      </c>
      <c r="H3134" s="1" t="s">
        <v>22</v>
      </c>
      <c r="I3134" s="1" t="n">
        <v>20240429040403</v>
      </c>
      <c r="J3134" s="3" t="s">
        <v>12623</v>
      </c>
      <c r="K3134" s="3" t="s">
        <v>12624</v>
      </c>
      <c r="L3134" s="3" t="s">
        <v>12625</v>
      </c>
      <c r="M3134" s="3" t="n">
        <v>125749</v>
      </c>
      <c r="N3134" s="3" t="s">
        <v>3269</v>
      </c>
      <c r="O3134" s="1" t="n">
        <v>109363</v>
      </c>
      <c r="P3134" s="1" t="n">
        <v>86.97</v>
      </c>
      <c r="Q3134" s="1" t="s">
        <v>20</v>
      </c>
      <c r="R3134" s="1" t="s">
        <v>27</v>
      </c>
      <c r="S3134" s="1" t="s">
        <v>28</v>
      </c>
      <c r="T3134" s="1" t="s">
        <v>29</v>
      </c>
    </row>
    <row r="3135" customFormat="false" ht="18.7" hidden="false" customHeight="true" outlineLevel="0" collapsed="false">
      <c r="A3135" s="1" t="n">
        <v>3134</v>
      </c>
      <c r="B3135" s="6" t="str">
        <f aca="false">HYPERLINK("https://mncourtfraud.com/file/MCRO_27-CR-22-7797_Assignment of Bail_2022-05-03_20240429040537.pdf","MCRO_27-CR-22-7797_Assignment of Bail_2022-05-03_20240429040537.pdf")</f>
        <v>MCRO_27-CR-22-7797_Assignment of Bail_2022-05-03_20240429040537.pdf</v>
      </c>
      <c r="C3135" s="1" t="n">
        <v>4</v>
      </c>
      <c r="D3135" s="1" t="n">
        <v>1</v>
      </c>
      <c r="E3135" s="1" t="n">
        <v>1</v>
      </c>
      <c r="F3135" s="3" t="s">
        <v>20</v>
      </c>
      <c r="G3135" s="3" t="s">
        <v>12626</v>
      </c>
      <c r="H3135" s="1" t="s">
        <v>22</v>
      </c>
      <c r="I3135" s="1" t="n">
        <v>20240429040537</v>
      </c>
      <c r="J3135" s="3" t="s">
        <v>12627</v>
      </c>
      <c r="K3135" s="3" t="s">
        <v>12628</v>
      </c>
      <c r="L3135" s="3" t="s">
        <v>12629</v>
      </c>
      <c r="M3135" s="3" t="n">
        <v>160352</v>
      </c>
      <c r="N3135" s="3" t="s">
        <v>2813</v>
      </c>
      <c r="O3135" s="1" t="n">
        <v>143966</v>
      </c>
      <c r="P3135" s="1" t="n">
        <v>89.78</v>
      </c>
      <c r="Q3135" s="1" t="s">
        <v>20</v>
      </c>
      <c r="R3135" s="1" t="s">
        <v>27</v>
      </c>
      <c r="S3135" s="1" t="s">
        <v>28</v>
      </c>
      <c r="T3135" s="1" t="s">
        <v>29</v>
      </c>
    </row>
    <row r="3136" customFormat="false" ht="18.7" hidden="false" customHeight="true" outlineLevel="0" collapsed="false">
      <c r="A3136" s="1" t="n">
        <v>3135</v>
      </c>
      <c r="B3136" s="6" t="str">
        <f aca="false">HYPERLINK("https://mncourtfraud.com/file/MCRO_27-CR-22-7797_Demand or Request for Discovery_2022-05-02_20240429040538.pdf","MCRO_27-CR-22-7797_Demand or Request for Discovery_2022-05-02_20240429040538.pdf")</f>
        <v>MCRO_27-CR-22-7797_Demand or Request for Discovery_2022-05-02_20240429040538.pdf</v>
      </c>
      <c r="C3136" s="1" t="n">
        <v>3</v>
      </c>
      <c r="D3136" s="1" t="n">
        <v>1</v>
      </c>
      <c r="E3136" s="1" t="n">
        <v>1</v>
      </c>
      <c r="F3136" s="3" t="s">
        <v>20</v>
      </c>
      <c r="G3136" s="3" t="s">
        <v>12630</v>
      </c>
      <c r="H3136" s="1" t="s">
        <v>22</v>
      </c>
      <c r="I3136" s="1" t="n">
        <v>20240429040538</v>
      </c>
      <c r="J3136" s="3" t="s">
        <v>12631</v>
      </c>
      <c r="K3136" s="3" t="s">
        <v>12632</v>
      </c>
      <c r="L3136" s="3" t="s">
        <v>12633</v>
      </c>
      <c r="M3136" s="3" t="n">
        <v>418271</v>
      </c>
      <c r="N3136" s="3" t="s">
        <v>5159</v>
      </c>
      <c r="O3136" s="1" t="n">
        <v>401885</v>
      </c>
      <c r="P3136" s="1" t="n">
        <v>96.08</v>
      </c>
      <c r="Q3136" s="1" t="s">
        <v>20</v>
      </c>
      <c r="R3136" s="1" t="s">
        <v>27</v>
      </c>
      <c r="S3136" s="1" t="s">
        <v>28</v>
      </c>
      <c r="T3136" s="1" t="s">
        <v>29</v>
      </c>
    </row>
    <row r="3137" customFormat="false" ht="18.7" hidden="false" customHeight="true" outlineLevel="0" collapsed="false">
      <c r="A3137" s="1" t="n">
        <v>3136</v>
      </c>
      <c r="B3137" s="6" t="str">
        <f aca="false">HYPERLINK("https://mncourtfraud.com/file/MCRO_27-CR-22-7797_Finding of Incompetency and Order_2023-02-22_20240429040528.pdf","MCRO_27-CR-22-7797_Finding of Incompetency and Order_2023-02-22_20240429040528.pdf")</f>
        <v>MCRO_27-CR-22-7797_Finding of Incompetency and Order_2023-02-22_20240429040528.pdf</v>
      </c>
      <c r="C3137" s="1" t="n">
        <v>9</v>
      </c>
      <c r="D3137" s="1" t="n">
        <v>3</v>
      </c>
      <c r="E3137" s="1" t="n">
        <v>3</v>
      </c>
      <c r="F3137" s="3" t="s">
        <v>27</v>
      </c>
      <c r="G3137" s="3" t="s">
        <v>12634</v>
      </c>
      <c r="H3137" s="1" t="s">
        <v>22</v>
      </c>
      <c r="I3137" s="1" t="n">
        <v>20240429040528</v>
      </c>
      <c r="J3137" s="3" t="s">
        <v>12635</v>
      </c>
      <c r="K3137" s="3" t="s">
        <v>12636</v>
      </c>
      <c r="L3137" s="3" t="s">
        <v>12637</v>
      </c>
      <c r="M3137" s="3" t="n">
        <v>944797</v>
      </c>
      <c r="N3137" s="3" t="s">
        <v>5613</v>
      </c>
      <c r="O3137" s="1" t="n">
        <v>928411</v>
      </c>
      <c r="P3137" s="1" t="n">
        <v>98.27</v>
      </c>
      <c r="Q3137" s="1" t="s">
        <v>20</v>
      </c>
      <c r="R3137" s="1" t="s">
        <v>27</v>
      </c>
      <c r="S3137" s="1" t="s">
        <v>28</v>
      </c>
      <c r="T3137" s="1" t="s">
        <v>29</v>
      </c>
    </row>
    <row r="3138" customFormat="false" ht="18.7" hidden="false" customHeight="true" outlineLevel="0" collapsed="false">
      <c r="A3138" s="1" t="n">
        <v>3137</v>
      </c>
      <c r="B3138" s="6" t="str">
        <f aca="false">HYPERLINK("https://mncourtfraud.com/file/MCRO_27-CR-22-7797_Finding of Incompetency and Order_2024-03-05_20240429040524.pdf","MCRO_27-CR-22-7797_Finding of Incompetency and Order_2024-03-05_20240429040524.pdf")</f>
        <v>MCRO_27-CR-22-7797_Finding of Incompetency and Order_2024-03-05_20240429040524.pdf</v>
      </c>
      <c r="C3138" s="1" t="n">
        <v>5</v>
      </c>
      <c r="D3138" s="1" t="n">
        <v>1</v>
      </c>
      <c r="E3138" s="1" t="n">
        <v>1</v>
      </c>
      <c r="F3138" s="3" t="s">
        <v>20</v>
      </c>
      <c r="G3138" s="3" t="s">
        <v>12638</v>
      </c>
      <c r="H3138" s="1" t="s">
        <v>22</v>
      </c>
      <c r="I3138" s="1" t="n">
        <v>20240429040524</v>
      </c>
      <c r="J3138" s="3" t="s">
        <v>12639</v>
      </c>
      <c r="K3138" s="3" t="s">
        <v>12640</v>
      </c>
      <c r="L3138" s="3" t="s">
        <v>12641</v>
      </c>
      <c r="M3138" s="3" t="n">
        <v>854802</v>
      </c>
      <c r="N3138" s="3" t="s">
        <v>3673</v>
      </c>
      <c r="O3138" s="1" t="n">
        <v>838416</v>
      </c>
      <c r="P3138" s="1" t="n">
        <v>98.08</v>
      </c>
      <c r="Q3138" s="1" t="s">
        <v>20</v>
      </c>
      <c r="R3138" s="1" t="s">
        <v>27</v>
      </c>
      <c r="S3138" s="1" t="s">
        <v>28</v>
      </c>
      <c r="T3138" s="1" t="s">
        <v>29</v>
      </c>
    </row>
    <row r="3139" customFormat="false" ht="18.7" hidden="false" customHeight="true" outlineLevel="0" collapsed="false">
      <c r="A3139" s="1" t="n">
        <v>3138</v>
      </c>
      <c r="B3139" s="6" t="str">
        <f aca="false">HYPERLINK("https://mncourtfraud.com/file/MCRO_27-CR-22-7797_Findings and Order_2022-07-12_20240429040533.pdf","MCRO_27-CR-22-7797_Findings and Order_2022-07-12_20240429040533.pdf")</f>
        <v>MCRO_27-CR-22-7797_Findings and Order_2022-07-12_20240429040533.pdf</v>
      </c>
      <c r="C3139" s="1" t="n">
        <v>6</v>
      </c>
      <c r="D3139" s="1" t="n">
        <v>1</v>
      </c>
      <c r="E3139" s="1" t="n">
        <v>1</v>
      </c>
      <c r="F3139" s="3" t="s">
        <v>20</v>
      </c>
      <c r="G3139" s="3" t="s">
        <v>12642</v>
      </c>
      <c r="H3139" s="1" t="s">
        <v>22</v>
      </c>
      <c r="I3139" s="1" t="n">
        <v>20240429040533</v>
      </c>
      <c r="J3139" s="3" t="s">
        <v>12643</v>
      </c>
      <c r="K3139" s="3" t="s">
        <v>12644</v>
      </c>
      <c r="L3139" s="3" t="s">
        <v>12645</v>
      </c>
      <c r="M3139" s="3" t="n">
        <v>351898</v>
      </c>
      <c r="N3139" s="3" t="s">
        <v>7445</v>
      </c>
      <c r="O3139" s="1" t="n">
        <v>335512</v>
      </c>
      <c r="P3139" s="1" t="n">
        <v>95.34</v>
      </c>
      <c r="Q3139" s="1" t="s">
        <v>20</v>
      </c>
      <c r="R3139" s="1" t="s">
        <v>27</v>
      </c>
      <c r="S3139" s="1" t="s">
        <v>28</v>
      </c>
      <c r="T3139" s="1" t="s">
        <v>29</v>
      </c>
    </row>
    <row r="3140" customFormat="false" ht="18.7" hidden="false" customHeight="true" outlineLevel="0" collapsed="false">
      <c r="A3140" s="1" t="n">
        <v>3139</v>
      </c>
      <c r="B3140" s="6" t="str">
        <f aca="false">HYPERLINK("https://mncourtfraud.com/file/MCRO_27-CR-22-7797_Notice of Intent to Prosecute_2022-07-14_20240429040532.pdf","MCRO_27-CR-22-7797_Notice of Intent to Prosecute_2022-07-14_20240429040532.pdf")</f>
        <v>MCRO_27-CR-22-7797_Notice of Intent to Prosecute_2022-07-14_20240429040532.pdf</v>
      </c>
      <c r="C3140" s="1" t="n">
        <v>3</v>
      </c>
      <c r="D3140" s="1" t="n">
        <v>1</v>
      </c>
      <c r="E3140" s="1" t="n">
        <v>1</v>
      </c>
      <c r="F3140" s="3" t="s">
        <v>20</v>
      </c>
      <c r="G3140" s="3" t="s">
        <v>12646</v>
      </c>
      <c r="H3140" s="1" t="s">
        <v>22</v>
      </c>
      <c r="I3140" s="1" t="n">
        <v>20240429040532</v>
      </c>
      <c r="J3140" s="3" t="s">
        <v>12647</v>
      </c>
      <c r="K3140" s="3" t="s">
        <v>12648</v>
      </c>
      <c r="L3140" s="3" t="s">
        <v>12649</v>
      </c>
      <c r="M3140" s="3" t="n">
        <v>122173</v>
      </c>
      <c r="N3140" s="3" t="s">
        <v>3225</v>
      </c>
      <c r="O3140" s="1" t="n">
        <v>105787</v>
      </c>
      <c r="P3140" s="1" t="n">
        <v>86.59</v>
      </c>
      <c r="Q3140" s="1" t="s">
        <v>20</v>
      </c>
      <c r="R3140" s="1" t="s">
        <v>27</v>
      </c>
      <c r="S3140" s="1" t="s">
        <v>28</v>
      </c>
      <c r="T3140" s="1" t="s">
        <v>29</v>
      </c>
    </row>
    <row r="3141" customFormat="false" ht="18.7" hidden="false" customHeight="true" outlineLevel="0" collapsed="false">
      <c r="A3141" s="1" t="n">
        <v>3140</v>
      </c>
      <c r="B3141" s="6" t="str">
        <f aca="false">HYPERLINK("https://mncourtfraud.com/file/MCRO_27-CR-22-7797_Notice of Remote Hearing with Instructions_2024-03-05_20240429040523.pdf","MCRO_27-CR-22-7797_Notice of Remote Hearing with Instructions_2024-03-05_20240429040523.pdf")</f>
        <v>MCRO_27-CR-22-7797_Notice of Remote Hearing with Instructions_2024-03-05_20240429040523.pdf</v>
      </c>
      <c r="C3141" s="1" t="n">
        <v>4</v>
      </c>
      <c r="D3141" s="1" t="n">
        <v>1</v>
      </c>
      <c r="E3141" s="1" t="n">
        <v>1</v>
      </c>
      <c r="F3141" s="3" t="s">
        <v>20</v>
      </c>
      <c r="G3141" s="3" t="s">
        <v>12650</v>
      </c>
      <c r="H3141" s="1" t="s">
        <v>22</v>
      </c>
      <c r="I3141" s="1" t="n">
        <v>20240429040523</v>
      </c>
      <c r="J3141" s="3" t="s">
        <v>12651</v>
      </c>
      <c r="K3141" s="3" t="s">
        <v>12652</v>
      </c>
      <c r="L3141" s="3" t="s">
        <v>11939</v>
      </c>
      <c r="M3141" s="3" t="n">
        <v>256297</v>
      </c>
      <c r="N3141" s="3" t="s">
        <v>74</v>
      </c>
      <c r="O3141" s="1" t="n">
        <v>239911</v>
      </c>
      <c r="P3141" s="1" t="n">
        <v>93.61</v>
      </c>
      <c r="Q3141" s="1" t="s">
        <v>20</v>
      </c>
      <c r="R3141" s="1" t="s">
        <v>27</v>
      </c>
      <c r="S3141" s="1" t="s">
        <v>28</v>
      </c>
      <c r="T3141" s="1" t="s">
        <v>29</v>
      </c>
    </row>
    <row r="3142" customFormat="false" ht="18.7" hidden="false" customHeight="true" outlineLevel="0" collapsed="false">
      <c r="A3142" s="1" t="n">
        <v>3141</v>
      </c>
      <c r="B3142" s="6" t="str">
        <f aca="false">HYPERLINK("https://mncourtfraud.com/file/MCRO_27-CR-22-7797_Order-Evaluation for Competency to Proceed (Rule 20.01)_2022-05-18_20240429040534.pdf","MCRO_27-CR-22-7797_Order-Evaluation for Competency to Proceed (Rule 20.01)_2022-05-18_20240429040534.pdf")</f>
        <v>MCRO_27-CR-22-7797_Order-Evaluation for Competency to Proceed (Rule 20.01)_2022-05-18_20240429040534.pdf</v>
      </c>
      <c r="C3142" s="1" t="n">
        <v>3</v>
      </c>
      <c r="D3142" s="1" t="n">
        <v>1</v>
      </c>
      <c r="E3142" s="1" t="n">
        <v>1</v>
      </c>
      <c r="F3142" s="3" t="s">
        <v>20</v>
      </c>
      <c r="G3142" s="3" t="s">
        <v>12653</v>
      </c>
      <c r="H3142" s="1" t="s">
        <v>22</v>
      </c>
      <c r="I3142" s="1" t="n">
        <v>20240429040534</v>
      </c>
      <c r="J3142" s="3" t="s">
        <v>12654</v>
      </c>
      <c r="K3142" s="3" t="s">
        <v>12655</v>
      </c>
      <c r="L3142" s="3" t="s">
        <v>12656</v>
      </c>
      <c r="M3142" s="3" t="n">
        <v>372384</v>
      </c>
      <c r="N3142" s="3" t="s">
        <v>6104</v>
      </c>
      <c r="O3142" s="1" t="n">
        <v>355998</v>
      </c>
      <c r="P3142" s="1" t="n">
        <v>95.6</v>
      </c>
      <c r="Q3142" s="1" t="s">
        <v>20</v>
      </c>
      <c r="R3142" s="1" t="s">
        <v>27</v>
      </c>
      <c r="S3142" s="1" t="s">
        <v>28</v>
      </c>
      <c r="T3142" s="1" t="s">
        <v>29</v>
      </c>
    </row>
    <row r="3143" customFormat="false" ht="18.7" hidden="false" customHeight="true" outlineLevel="0" collapsed="false">
      <c r="A3143" s="1" t="n">
        <v>3142</v>
      </c>
      <c r="B3143" s="6" t="str">
        <f aca="false">HYPERLINK("https://mncourtfraud.com/file/MCRO_27-CR-22-7797_Order-Evaluation for Competency to Proceed (Rule 20.01)_2023-01-18_20240429040529.pdf","MCRO_27-CR-22-7797_Order-Evaluation for Competency to Proceed (Rule 20.01)_2023-01-18_20240429040529.pdf")</f>
        <v>MCRO_27-CR-22-7797_Order-Evaluation for Competency to Proceed (Rule 20.01)_2023-01-18_20240429040529.pdf</v>
      </c>
      <c r="C3143" s="1" t="n">
        <v>10</v>
      </c>
      <c r="D3143" s="1" t="n">
        <v>4</v>
      </c>
      <c r="E3143" s="1" t="n">
        <v>4</v>
      </c>
      <c r="F3143" s="3" t="s">
        <v>27</v>
      </c>
      <c r="G3143" s="3" t="s">
        <v>12657</v>
      </c>
      <c r="H3143" s="1" t="s">
        <v>22</v>
      </c>
      <c r="I3143" s="1" t="n">
        <v>20240429040529</v>
      </c>
      <c r="J3143" s="3" t="s">
        <v>12658</v>
      </c>
      <c r="K3143" s="3" t="s">
        <v>12659</v>
      </c>
      <c r="L3143" s="3" t="s">
        <v>12660</v>
      </c>
      <c r="M3143" s="3" t="n">
        <v>1176162</v>
      </c>
      <c r="N3143" s="3" t="s">
        <v>8347</v>
      </c>
      <c r="O3143" s="1" t="n">
        <v>1159776</v>
      </c>
      <c r="P3143" s="1" t="n">
        <v>98.61</v>
      </c>
      <c r="Q3143" s="1" t="s">
        <v>20</v>
      </c>
      <c r="R3143" s="1" t="s">
        <v>27</v>
      </c>
      <c r="S3143" s="1" t="s">
        <v>28</v>
      </c>
      <c r="T3143" s="1" t="s">
        <v>29</v>
      </c>
    </row>
    <row r="3144" customFormat="false" ht="18.7" hidden="false" customHeight="true" outlineLevel="0" collapsed="false">
      <c r="A3144" s="1" t="n">
        <v>3143</v>
      </c>
      <c r="B3144" s="6" t="str">
        <f aca="false">HYPERLINK("https://mncourtfraud.com/file/MCRO_27-CR-22-7797_Order-Evaluation for Competency to Proceed (Rule 20.01)_2023-06-12_20240429040526.pdf","MCRO_27-CR-22-7797_Order-Evaluation for Competency to Proceed (Rule 20.01)_2023-06-12_20240429040526.pdf")</f>
        <v>MCRO_27-CR-22-7797_Order-Evaluation for Competency to Proceed (Rule 20.01)_2023-06-12_20240429040526.pdf</v>
      </c>
      <c r="C3144" s="1" t="n">
        <v>6</v>
      </c>
      <c r="D3144" s="1" t="n">
        <v>2</v>
      </c>
      <c r="E3144" s="1" t="n">
        <v>2</v>
      </c>
      <c r="F3144" s="3" t="s">
        <v>27</v>
      </c>
      <c r="G3144" s="3" t="s">
        <v>12661</v>
      </c>
      <c r="H3144" s="1" t="s">
        <v>22</v>
      </c>
      <c r="I3144" s="1" t="n">
        <v>20240429040526</v>
      </c>
      <c r="J3144" s="3" t="s">
        <v>12662</v>
      </c>
      <c r="K3144" s="3" t="s">
        <v>12663</v>
      </c>
      <c r="L3144" s="3" t="s">
        <v>11947</v>
      </c>
      <c r="M3144" s="3" t="n">
        <v>894082</v>
      </c>
      <c r="N3144" s="3" t="s">
        <v>810</v>
      </c>
      <c r="O3144" s="1" t="n">
        <v>877696</v>
      </c>
      <c r="P3144" s="1" t="n">
        <v>98.17</v>
      </c>
      <c r="Q3144" s="1" t="s">
        <v>20</v>
      </c>
      <c r="R3144" s="1" t="s">
        <v>27</v>
      </c>
      <c r="S3144" s="1" t="s">
        <v>28</v>
      </c>
      <c r="T3144" s="1" t="s">
        <v>29</v>
      </c>
    </row>
    <row r="3145" customFormat="false" ht="18.7" hidden="false" customHeight="true" outlineLevel="0" collapsed="false">
      <c r="A3145" s="1" t="n">
        <v>3144</v>
      </c>
      <c r="B3145" s="6" t="str">
        <f aca="false">HYPERLINK("https://mncourtfraud.com/file/MCRO_27-CR-22-7797_Order-Evaluation for Competency to Proceed (Rule 20.01)_2024-02-02_20240429040525.pdf","MCRO_27-CR-22-7797_Order-Evaluation for Competency to Proceed (Rule 20.01)_2024-02-02_20240429040525.pdf")</f>
        <v>MCRO_27-CR-22-7797_Order-Evaluation for Competency to Proceed (Rule 20.01)_2024-02-02_20240429040525.pdf</v>
      </c>
      <c r="C3145" s="1" t="n">
        <v>4</v>
      </c>
      <c r="D3145" s="1" t="n">
        <v>1</v>
      </c>
      <c r="E3145" s="1" t="n">
        <v>1</v>
      </c>
      <c r="F3145" s="3" t="s">
        <v>20</v>
      </c>
      <c r="G3145" s="3" t="s">
        <v>12664</v>
      </c>
      <c r="H3145" s="1" t="s">
        <v>22</v>
      </c>
      <c r="I3145" s="1" t="n">
        <v>20240429040525</v>
      </c>
      <c r="J3145" s="3" t="s">
        <v>12665</v>
      </c>
      <c r="K3145" s="3" t="s">
        <v>12666</v>
      </c>
      <c r="L3145" s="3" t="s">
        <v>12667</v>
      </c>
      <c r="M3145" s="3" t="n">
        <v>145923</v>
      </c>
      <c r="N3145" s="3" t="s">
        <v>1159</v>
      </c>
      <c r="O3145" s="1" t="n">
        <v>129537</v>
      </c>
      <c r="P3145" s="1" t="n">
        <v>88.77</v>
      </c>
      <c r="Q3145" s="1" t="s">
        <v>20</v>
      </c>
      <c r="R3145" s="1" t="s">
        <v>27</v>
      </c>
      <c r="S3145" s="1" t="s">
        <v>28</v>
      </c>
      <c r="T3145" s="1" t="s">
        <v>29</v>
      </c>
    </row>
    <row r="3146" customFormat="false" ht="18.7" hidden="false" customHeight="true" outlineLevel="0" collapsed="false">
      <c r="A3146" s="1" t="n">
        <v>3145</v>
      </c>
      <c r="B3146" s="6" t="str">
        <f aca="false">HYPERLINK("https://mncourtfraud.com/file/MCRO_27-CR-22-7797_Order-Other_2022-12-09_20240429040530.pdf","MCRO_27-CR-22-7797_Order-Other_2022-12-09_20240429040530.pdf")</f>
        <v>MCRO_27-CR-22-7797_Order-Other_2022-12-09_20240429040530.pdf</v>
      </c>
      <c r="C3146" s="1" t="n">
        <v>3</v>
      </c>
      <c r="D3146" s="1" t="n">
        <v>1</v>
      </c>
      <c r="E3146" s="1" t="n">
        <v>1</v>
      </c>
      <c r="F3146" s="3" t="s">
        <v>20</v>
      </c>
      <c r="G3146" s="3" t="s">
        <v>12668</v>
      </c>
      <c r="H3146" s="1" t="s">
        <v>22</v>
      </c>
      <c r="I3146" s="1" t="n">
        <v>20240429040530</v>
      </c>
      <c r="J3146" s="3" t="s">
        <v>12669</v>
      </c>
      <c r="K3146" s="3" t="s">
        <v>12670</v>
      </c>
      <c r="L3146" s="3" t="s">
        <v>12671</v>
      </c>
      <c r="M3146" s="3" t="n">
        <v>243543</v>
      </c>
      <c r="N3146" s="3" t="s">
        <v>4292</v>
      </c>
      <c r="O3146" s="1" t="n">
        <v>227157</v>
      </c>
      <c r="P3146" s="1" t="n">
        <v>93.27</v>
      </c>
      <c r="Q3146" s="1" t="s">
        <v>20</v>
      </c>
      <c r="R3146" s="1" t="s">
        <v>27</v>
      </c>
      <c r="S3146" s="1" t="s">
        <v>28</v>
      </c>
      <c r="T3146" s="1" t="s">
        <v>29</v>
      </c>
    </row>
    <row r="3147" customFormat="false" ht="18.7" hidden="false" customHeight="true" outlineLevel="0" collapsed="false">
      <c r="A3147" s="1" t="n">
        <v>3146</v>
      </c>
      <c r="B3147" s="6" t="str">
        <f aca="false">HYPERLINK("https://mncourtfraud.com/file/MCRO_27-CR-22-7797_Order Revoking Interim Conditions of Release_2022-05-13_20240429040535.pdf","MCRO_27-CR-22-7797_Order Revoking Interim Conditions of Release_2022-05-13_20240429040535.pdf")</f>
        <v>MCRO_27-CR-22-7797_Order Revoking Interim Conditions of Release_2022-05-13_20240429040535.pdf</v>
      </c>
      <c r="C3147" s="1" t="n">
        <v>5</v>
      </c>
      <c r="D3147" s="1" t="n">
        <v>4</v>
      </c>
      <c r="E3147" s="1" t="n">
        <v>4</v>
      </c>
      <c r="F3147" s="3" t="s">
        <v>20</v>
      </c>
      <c r="G3147" s="3" t="s">
        <v>12672</v>
      </c>
      <c r="H3147" s="1" t="s">
        <v>22</v>
      </c>
      <c r="I3147" s="1" t="n">
        <v>20240429040535</v>
      </c>
      <c r="J3147" s="3" t="s">
        <v>12673</v>
      </c>
      <c r="K3147" s="3" t="s">
        <v>12674</v>
      </c>
      <c r="L3147" s="3" t="s">
        <v>12675</v>
      </c>
      <c r="M3147" s="3" t="n">
        <v>392962</v>
      </c>
      <c r="N3147" s="3" t="s">
        <v>1101</v>
      </c>
      <c r="O3147" s="1" t="n">
        <v>376576</v>
      </c>
      <c r="P3147" s="1" t="n">
        <v>95.83</v>
      </c>
      <c r="Q3147" s="1" t="s">
        <v>20</v>
      </c>
      <c r="R3147" s="1" t="s">
        <v>27</v>
      </c>
      <c r="S3147" s="1" t="s">
        <v>28</v>
      </c>
      <c r="T3147" s="1" t="s">
        <v>29</v>
      </c>
    </row>
    <row r="3148" customFormat="false" ht="18.7" hidden="false" customHeight="true" outlineLevel="0" collapsed="false">
      <c r="A3148" s="1" t="n">
        <v>3147</v>
      </c>
      <c r="B3148" s="6" t="str">
        <f aca="false">HYPERLINK("https://mncourtfraud.com/file/MCRO_27-CR-22-7797_Proposed Order or Document_2022-05-13_20240429040536.pdf","MCRO_27-CR-22-7797_Proposed Order or Document_2022-05-13_20240429040536.pdf")</f>
        <v>MCRO_27-CR-22-7797_Proposed Order or Document_2022-05-13_20240429040536.pdf</v>
      </c>
      <c r="C3148" s="1" t="n">
        <v>4</v>
      </c>
      <c r="D3148" s="1" t="n">
        <v>1</v>
      </c>
      <c r="E3148" s="1" t="n">
        <v>1</v>
      </c>
      <c r="F3148" s="3" t="s">
        <v>20</v>
      </c>
      <c r="G3148" s="3" t="s">
        <v>12676</v>
      </c>
      <c r="H3148" s="1" t="s">
        <v>22</v>
      </c>
      <c r="I3148" s="1" t="n">
        <v>20240429040536</v>
      </c>
      <c r="J3148" s="3" t="s">
        <v>12677</v>
      </c>
      <c r="K3148" s="3" t="s">
        <v>12678</v>
      </c>
      <c r="L3148" s="3" t="s">
        <v>12679</v>
      </c>
      <c r="M3148" s="3" t="n">
        <v>208939</v>
      </c>
      <c r="N3148" s="3" t="s">
        <v>12538</v>
      </c>
      <c r="O3148" s="1" t="n">
        <v>192553</v>
      </c>
      <c r="P3148" s="1" t="n">
        <v>92.16</v>
      </c>
      <c r="Q3148" s="1" t="s">
        <v>20</v>
      </c>
      <c r="R3148" s="1" t="s">
        <v>27</v>
      </c>
      <c r="S3148" s="1" t="s">
        <v>28</v>
      </c>
      <c r="T3148" s="1" t="s">
        <v>29</v>
      </c>
    </row>
    <row r="3149" customFormat="false" ht="18.7" hidden="false" customHeight="true" outlineLevel="0" collapsed="false">
      <c r="A3149" s="1" t="n">
        <v>3148</v>
      </c>
      <c r="B3149" s="6" t="str">
        <f aca="false">HYPERLINK("https://mncourtfraud.com/file/MCRO_27-CR-22-7797_Proposed Order or Document_2022-12-05_20240429040531.pdf","MCRO_27-CR-22-7797_Proposed Order or Document_2022-12-05_20240429040531.pdf")</f>
        <v>MCRO_27-CR-22-7797_Proposed Order or Document_2022-12-05_20240429040531.pdf</v>
      </c>
      <c r="C3149" s="1" t="n">
        <v>3</v>
      </c>
      <c r="D3149" s="1" t="n">
        <v>1</v>
      </c>
      <c r="E3149" s="1" t="n">
        <v>1</v>
      </c>
      <c r="F3149" s="3" t="s">
        <v>20</v>
      </c>
      <c r="G3149" s="3" t="s">
        <v>12680</v>
      </c>
      <c r="H3149" s="1" t="s">
        <v>22</v>
      </c>
      <c r="I3149" s="1" t="n">
        <v>20240429040531</v>
      </c>
      <c r="J3149" s="3" t="s">
        <v>12681</v>
      </c>
      <c r="K3149" s="3" t="s">
        <v>12682</v>
      </c>
      <c r="L3149" s="3" t="s">
        <v>12683</v>
      </c>
      <c r="M3149" s="3" t="n">
        <v>179487</v>
      </c>
      <c r="N3149" s="3" t="s">
        <v>1115</v>
      </c>
      <c r="O3149" s="1" t="n">
        <v>163101</v>
      </c>
      <c r="P3149" s="1" t="n">
        <v>90.87</v>
      </c>
      <c r="Q3149" s="1" t="s">
        <v>20</v>
      </c>
      <c r="R3149" s="1" t="s">
        <v>27</v>
      </c>
      <c r="S3149" s="1" t="s">
        <v>28</v>
      </c>
      <c r="T3149" s="1" t="s">
        <v>29</v>
      </c>
    </row>
    <row r="3150" customFormat="false" ht="18.7" hidden="false" customHeight="true" outlineLevel="0" collapsed="false">
      <c r="A3150" s="1" t="n">
        <v>3149</v>
      </c>
      <c r="B3150" s="6" t="str">
        <f aca="false">HYPERLINK("https://mncourtfraud.com/file/MCRO_27-CR-22-7797_Returned Mail_2024-03-11_20240429040522.pdf","MCRO_27-CR-22-7797_Returned Mail_2024-03-11_20240429040522.pdf")</f>
        <v>MCRO_27-CR-22-7797_Returned Mail_2024-03-11_20240429040522.pdf</v>
      </c>
      <c r="C3150" s="1" t="n">
        <v>4</v>
      </c>
      <c r="D3150" s="1" t="n">
        <v>1</v>
      </c>
      <c r="E3150" s="1" t="n">
        <v>1</v>
      </c>
      <c r="F3150" s="3" t="s">
        <v>20</v>
      </c>
      <c r="G3150" s="3" t="s">
        <v>12684</v>
      </c>
      <c r="H3150" s="1" t="s">
        <v>22</v>
      </c>
      <c r="I3150" s="1" t="n">
        <v>20240429040522</v>
      </c>
      <c r="J3150" s="3" t="s">
        <v>12685</v>
      </c>
      <c r="K3150" s="3" t="s">
        <v>12686</v>
      </c>
      <c r="L3150" s="3" t="s">
        <v>12687</v>
      </c>
      <c r="M3150" s="3" t="n">
        <v>112561</v>
      </c>
      <c r="N3150" s="3" t="s">
        <v>1159</v>
      </c>
      <c r="O3150" s="1" t="n">
        <v>96175</v>
      </c>
      <c r="P3150" s="1" t="n">
        <v>85.44</v>
      </c>
      <c r="Q3150" s="1" t="s">
        <v>20</v>
      </c>
      <c r="R3150" s="1" t="s">
        <v>27</v>
      </c>
      <c r="S3150" s="1" t="s">
        <v>28</v>
      </c>
      <c r="T3150" s="1" t="s">
        <v>29</v>
      </c>
    </row>
    <row r="3151" customFormat="false" ht="18.7" hidden="false" customHeight="true" outlineLevel="0" collapsed="false">
      <c r="A3151" s="1" t="n">
        <v>3150</v>
      </c>
      <c r="B3151" s="6" t="str">
        <f aca="false">HYPERLINK("https://mncourtfraud.com/file/MCRO_27-CR-22-7953_Demand or Request for Discovery_2022-05-02_20240429040647.pdf","MCRO_27-CR-22-7953_Demand or Request for Discovery_2022-05-02_20240429040647.pdf")</f>
        <v>MCRO_27-CR-22-7953_Demand or Request for Discovery_2022-05-02_20240429040647.pdf</v>
      </c>
      <c r="C3151" s="1" t="n">
        <v>3</v>
      </c>
      <c r="D3151" s="1" t="n">
        <v>1</v>
      </c>
      <c r="E3151" s="1" t="n">
        <v>1</v>
      </c>
      <c r="F3151" s="3" t="s">
        <v>20</v>
      </c>
      <c r="G3151" s="3" t="s">
        <v>12688</v>
      </c>
      <c r="H3151" s="1" t="s">
        <v>22</v>
      </c>
      <c r="I3151" s="1" t="n">
        <v>20240429040647</v>
      </c>
      <c r="J3151" s="3" t="s">
        <v>12689</v>
      </c>
      <c r="K3151" s="3" t="s">
        <v>12690</v>
      </c>
      <c r="L3151" s="3" t="s">
        <v>12691</v>
      </c>
      <c r="M3151" s="3" t="n">
        <v>614466</v>
      </c>
      <c r="N3151" s="3" t="s">
        <v>3699</v>
      </c>
      <c r="O3151" s="1" t="n">
        <v>598080</v>
      </c>
      <c r="P3151" s="1" t="n">
        <v>97.33</v>
      </c>
      <c r="Q3151" s="1" t="s">
        <v>20</v>
      </c>
      <c r="R3151" s="1" t="s">
        <v>27</v>
      </c>
      <c r="S3151" s="1" t="s">
        <v>28</v>
      </c>
      <c r="T3151" s="1" t="s">
        <v>29</v>
      </c>
    </row>
    <row r="3152" customFormat="false" ht="18.7" hidden="false" customHeight="true" outlineLevel="0" collapsed="false">
      <c r="A3152" s="1" t="n">
        <v>3151</v>
      </c>
      <c r="B3152" s="6" t="str">
        <f aca="false">HYPERLINK("https://mncourtfraud.com/file/MCRO_27-CR-22-7953_E-filed Comp-Warrant_2022-04-27_20240429040650.pdf","MCRO_27-CR-22-7953_E-filed Comp-Warrant_2022-04-27_20240429040650.pdf")</f>
        <v>MCRO_27-CR-22-7953_E-filed Comp-Warrant_2022-04-27_20240429040650.pdf</v>
      </c>
      <c r="C3152" s="1" t="n">
        <v>4</v>
      </c>
      <c r="D3152" s="1" t="n">
        <v>2</v>
      </c>
      <c r="E3152" s="1" t="n">
        <v>2</v>
      </c>
      <c r="F3152" s="3" t="s">
        <v>20</v>
      </c>
      <c r="G3152" s="3" t="s">
        <v>12692</v>
      </c>
      <c r="H3152" s="1" t="s">
        <v>22</v>
      </c>
      <c r="I3152" s="1" t="n">
        <v>20240429040650</v>
      </c>
      <c r="J3152" s="3" t="s">
        <v>12693</v>
      </c>
      <c r="K3152" s="3" t="s">
        <v>12694</v>
      </c>
      <c r="L3152" s="3" t="s">
        <v>12695</v>
      </c>
      <c r="M3152" s="3" t="n">
        <v>496921</v>
      </c>
      <c r="N3152" s="3" t="s">
        <v>1480</v>
      </c>
      <c r="O3152" s="1" t="n">
        <v>480535</v>
      </c>
      <c r="P3152" s="1" t="n">
        <v>96.7</v>
      </c>
      <c r="Q3152" s="1" t="s">
        <v>20</v>
      </c>
      <c r="R3152" s="1" t="s">
        <v>27</v>
      </c>
      <c r="S3152" s="1" t="s">
        <v>28</v>
      </c>
      <c r="T3152" s="1" t="s">
        <v>29</v>
      </c>
    </row>
    <row r="3153" customFormat="false" ht="18.7" hidden="false" customHeight="true" outlineLevel="0" collapsed="false">
      <c r="A3153" s="1" t="n">
        <v>3152</v>
      </c>
      <c r="B3153" s="6" t="str">
        <f aca="false">HYPERLINK("https://mncourtfraud.com/file/MCRO_27-CR-22-7953_Findings and Order_2022-05-17_20240429040645.pdf","MCRO_27-CR-22-7953_Findings and Order_2022-05-17_20240429040645.pdf")</f>
        <v>MCRO_27-CR-22-7953_Findings and Order_2022-05-17_20240429040645.pdf</v>
      </c>
      <c r="C3153" s="1" t="n">
        <v>4</v>
      </c>
      <c r="D3153" s="1" t="n">
        <v>1</v>
      </c>
      <c r="E3153" s="1" t="n">
        <v>1</v>
      </c>
      <c r="F3153" s="3" t="s">
        <v>20</v>
      </c>
      <c r="G3153" s="3" t="s">
        <v>12696</v>
      </c>
      <c r="H3153" s="1" t="s">
        <v>22</v>
      </c>
      <c r="I3153" s="1" t="n">
        <v>20240429040645</v>
      </c>
      <c r="J3153" s="3" t="s">
        <v>12697</v>
      </c>
      <c r="K3153" s="3" t="s">
        <v>12698</v>
      </c>
      <c r="L3153" s="3" t="s">
        <v>7338</v>
      </c>
      <c r="M3153" s="3" t="n">
        <v>356457</v>
      </c>
      <c r="N3153" s="3" t="s">
        <v>395</v>
      </c>
      <c r="O3153" s="1" t="n">
        <v>340071</v>
      </c>
      <c r="P3153" s="1" t="n">
        <v>95.4</v>
      </c>
      <c r="Q3153" s="1" t="s">
        <v>20</v>
      </c>
      <c r="R3153" s="1" t="s">
        <v>27</v>
      </c>
      <c r="S3153" s="1" t="s">
        <v>28</v>
      </c>
      <c r="T3153" s="1" t="s">
        <v>29</v>
      </c>
    </row>
    <row r="3154" customFormat="false" ht="18.7" hidden="false" customHeight="true" outlineLevel="0" collapsed="false">
      <c r="A3154" s="1" t="n">
        <v>3153</v>
      </c>
      <c r="B3154" s="6" t="str">
        <f aca="false">HYPERLINK("https://mncourtfraud.com/file/MCRO_27-CR-22-7953_Notice of Case Reassignment_2022-05-06_20240429040646.pdf","MCRO_27-CR-22-7953_Notice of Case Reassignment_2022-05-06_20240429040646.pdf")</f>
        <v>MCRO_27-CR-22-7953_Notice of Case Reassignment_2022-05-06_20240429040646.pdf</v>
      </c>
      <c r="C3154" s="1" t="n">
        <v>4</v>
      </c>
      <c r="D3154" s="1" t="n">
        <v>1</v>
      </c>
      <c r="E3154" s="1" t="n">
        <v>1</v>
      </c>
      <c r="F3154" s="3" t="s">
        <v>20</v>
      </c>
      <c r="G3154" s="3" t="s">
        <v>12699</v>
      </c>
      <c r="H3154" s="1" t="s">
        <v>22</v>
      </c>
      <c r="I3154" s="1" t="n">
        <v>20240429040646</v>
      </c>
      <c r="J3154" s="3" t="s">
        <v>12700</v>
      </c>
      <c r="K3154" s="3" t="s">
        <v>12701</v>
      </c>
      <c r="L3154" s="3" t="s">
        <v>12702</v>
      </c>
      <c r="M3154" s="3" t="n">
        <v>92667</v>
      </c>
      <c r="N3154" s="3" t="s">
        <v>456</v>
      </c>
      <c r="O3154" s="1" t="n">
        <v>76281</v>
      </c>
      <c r="P3154" s="1" t="n">
        <v>82.32</v>
      </c>
      <c r="Q3154" s="1" t="s">
        <v>20</v>
      </c>
      <c r="R3154" s="1" t="s">
        <v>27</v>
      </c>
      <c r="S3154" s="1" t="s">
        <v>28</v>
      </c>
      <c r="T3154" s="1" t="s">
        <v>29</v>
      </c>
    </row>
    <row r="3155" customFormat="false" ht="18.7" hidden="false" customHeight="true" outlineLevel="0" collapsed="false">
      <c r="A3155" s="1" t="n">
        <v>3154</v>
      </c>
      <c r="B3155" s="6" t="str">
        <f aca="false">HYPERLINK("https://mncourtfraud.com/file/MCRO_27-CR-22-7953_Notice of Case Reassignment_2023-01-20_20240429040637.pdf","MCRO_27-CR-22-7953_Notice of Case Reassignment_2023-01-20_20240429040637.pdf")</f>
        <v>MCRO_27-CR-22-7953_Notice of Case Reassignment_2023-01-20_20240429040637.pdf</v>
      </c>
      <c r="C3155" s="1" t="n">
        <v>4</v>
      </c>
      <c r="D3155" s="1" t="n">
        <v>1</v>
      </c>
      <c r="E3155" s="1" t="n">
        <v>1</v>
      </c>
      <c r="F3155" s="3" t="s">
        <v>20</v>
      </c>
      <c r="G3155" s="3" t="s">
        <v>12703</v>
      </c>
      <c r="H3155" s="1" t="s">
        <v>22</v>
      </c>
      <c r="I3155" s="1" t="n">
        <v>20240429040637</v>
      </c>
      <c r="J3155" s="3" t="s">
        <v>12704</v>
      </c>
      <c r="K3155" s="3" t="s">
        <v>12705</v>
      </c>
      <c r="L3155" s="3" t="s">
        <v>12706</v>
      </c>
      <c r="M3155" s="3" t="n">
        <v>89692</v>
      </c>
      <c r="N3155" s="3" t="s">
        <v>435</v>
      </c>
      <c r="O3155" s="1" t="n">
        <v>73306</v>
      </c>
      <c r="P3155" s="1" t="n">
        <v>81.73</v>
      </c>
      <c r="Q3155" s="1" t="s">
        <v>20</v>
      </c>
      <c r="R3155" s="1" t="s">
        <v>27</v>
      </c>
      <c r="S3155" s="1" t="s">
        <v>28</v>
      </c>
      <c r="T3155" s="1" t="s">
        <v>29</v>
      </c>
    </row>
    <row r="3156" customFormat="false" ht="18.7" hidden="false" customHeight="true" outlineLevel="0" collapsed="false">
      <c r="A3156" s="1" t="n">
        <v>3155</v>
      </c>
      <c r="B3156" s="6" t="str">
        <f aca="false">HYPERLINK("https://mncourtfraud.com/file/MCRO_27-CR-22-7953_Notice of Case Reassignment_2024-02-15_20240429040634.pdf","MCRO_27-CR-22-7953_Notice of Case Reassignment_2024-02-15_20240429040634.pdf")</f>
        <v>MCRO_27-CR-22-7953_Notice of Case Reassignment_2024-02-15_20240429040634.pdf</v>
      </c>
      <c r="C3156" s="1" t="n">
        <v>3</v>
      </c>
      <c r="D3156" s="1" t="n">
        <v>1</v>
      </c>
      <c r="E3156" s="1" t="n">
        <v>1</v>
      </c>
      <c r="F3156" s="3" t="s">
        <v>20</v>
      </c>
      <c r="G3156" s="3" t="s">
        <v>12707</v>
      </c>
      <c r="H3156" s="1" t="s">
        <v>22</v>
      </c>
      <c r="I3156" s="1" t="n">
        <v>20240429040634</v>
      </c>
      <c r="J3156" s="3" t="s">
        <v>12708</v>
      </c>
      <c r="K3156" s="3" t="s">
        <v>12709</v>
      </c>
      <c r="L3156" s="3" t="s">
        <v>12710</v>
      </c>
      <c r="M3156" s="3" t="n">
        <v>114047</v>
      </c>
      <c r="N3156" s="3" t="s">
        <v>128</v>
      </c>
      <c r="O3156" s="1" t="n">
        <v>97661</v>
      </c>
      <c r="P3156" s="1" t="n">
        <v>85.63</v>
      </c>
      <c r="Q3156" s="1" t="s">
        <v>20</v>
      </c>
      <c r="R3156" s="1" t="s">
        <v>27</v>
      </c>
      <c r="S3156" s="1" t="s">
        <v>28</v>
      </c>
      <c r="T3156" s="1" t="s">
        <v>29</v>
      </c>
    </row>
    <row r="3157" customFormat="false" ht="18.7" hidden="false" customHeight="true" outlineLevel="0" collapsed="false">
      <c r="A3157" s="1" t="n">
        <v>3156</v>
      </c>
      <c r="B3157" s="6" t="str">
        <f aca="false">HYPERLINK("https://mncourtfraud.com/file/MCRO_27-CR-22-7953_Notice of Hearing_2023-10-17_20240429040636.pdf","MCRO_27-CR-22-7953_Notice of Hearing_2023-10-17_20240429040636.pdf")</f>
        <v>MCRO_27-CR-22-7953_Notice of Hearing_2023-10-17_20240429040636.pdf</v>
      </c>
      <c r="C3157" s="1" t="n">
        <v>5</v>
      </c>
      <c r="D3157" s="1" t="n">
        <v>1</v>
      </c>
      <c r="E3157" s="1" t="n">
        <v>1</v>
      </c>
      <c r="F3157" s="3" t="s">
        <v>20</v>
      </c>
      <c r="G3157" s="3" t="s">
        <v>12711</v>
      </c>
      <c r="H3157" s="1" t="s">
        <v>22</v>
      </c>
      <c r="I3157" s="1" t="n">
        <v>20240429040636</v>
      </c>
      <c r="J3157" s="3" t="s">
        <v>12712</v>
      </c>
      <c r="K3157" s="3" t="s">
        <v>12713</v>
      </c>
      <c r="L3157" s="3" t="s">
        <v>12714</v>
      </c>
      <c r="M3157" s="3" t="n">
        <v>740074</v>
      </c>
      <c r="N3157" s="3" t="s">
        <v>2768</v>
      </c>
      <c r="O3157" s="1" t="n">
        <v>723688</v>
      </c>
      <c r="P3157" s="1" t="n">
        <v>97.79</v>
      </c>
      <c r="Q3157" s="1" t="s">
        <v>20</v>
      </c>
      <c r="R3157" s="1" t="s">
        <v>27</v>
      </c>
      <c r="S3157" s="1" t="s">
        <v>28</v>
      </c>
      <c r="T3157" s="1" t="s">
        <v>29</v>
      </c>
    </row>
    <row r="3158" customFormat="false" ht="18.7" hidden="false" customHeight="true" outlineLevel="0" collapsed="false">
      <c r="A3158" s="1" t="n">
        <v>3157</v>
      </c>
      <c r="B3158" s="6" t="str">
        <f aca="false">HYPERLINK("https://mncourtfraud.com/file/MCRO_27-CR-22-7953_Notice of Intent to Prosecute_2022-06-13_20240429040643.pdf","MCRO_27-CR-22-7953_Notice of Intent to Prosecute_2022-06-13_20240429040643.pdf")</f>
        <v>MCRO_27-CR-22-7953_Notice of Intent to Prosecute_2022-06-13_20240429040643.pdf</v>
      </c>
      <c r="C3158" s="1" t="n">
        <v>3</v>
      </c>
      <c r="D3158" s="1" t="n">
        <v>1</v>
      </c>
      <c r="E3158" s="1" t="n">
        <v>1</v>
      </c>
      <c r="F3158" s="3" t="s">
        <v>20</v>
      </c>
      <c r="G3158" s="3" t="s">
        <v>12715</v>
      </c>
      <c r="H3158" s="1" t="s">
        <v>22</v>
      </c>
      <c r="I3158" s="1" t="n">
        <v>20240429040643</v>
      </c>
      <c r="J3158" s="3" t="s">
        <v>12716</v>
      </c>
      <c r="K3158" s="3" t="s">
        <v>12717</v>
      </c>
      <c r="L3158" s="3" t="s">
        <v>12718</v>
      </c>
      <c r="M3158" s="3" t="n">
        <v>122284</v>
      </c>
      <c r="N3158" s="3" t="s">
        <v>3225</v>
      </c>
      <c r="O3158" s="1" t="n">
        <v>105898</v>
      </c>
      <c r="P3158" s="1" t="n">
        <v>86.6</v>
      </c>
      <c r="Q3158" s="1" t="s">
        <v>20</v>
      </c>
      <c r="R3158" s="1" t="s">
        <v>27</v>
      </c>
      <c r="S3158" s="1" t="s">
        <v>28</v>
      </c>
      <c r="T3158" s="1" t="s">
        <v>29</v>
      </c>
    </row>
    <row r="3159" customFormat="false" ht="18.7" hidden="false" customHeight="true" outlineLevel="0" collapsed="false">
      <c r="A3159" s="1" t="n">
        <v>3158</v>
      </c>
      <c r="B3159" s="6" t="str">
        <f aca="false">HYPERLINK("https://mncourtfraud.com/file/MCRO_27-CR-22-7953_Notice of Remote Hearing with Instructions_2022-11-15_20240429040640.pdf","MCRO_27-CR-22-7953_Notice of Remote Hearing with Instructions_2022-11-15_20240429040640.pdf")</f>
        <v>MCRO_27-CR-22-7953_Notice of Remote Hearing with Instructions_2022-11-15_20240429040640.pdf</v>
      </c>
      <c r="C3159" s="1" t="n">
        <v>6</v>
      </c>
      <c r="D3159" s="1" t="n">
        <v>1</v>
      </c>
      <c r="E3159" s="1" t="n">
        <v>1</v>
      </c>
      <c r="F3159" s="3" t="s">
        <v>20</v>
      </c>
      <c r="G3159" s="3" t="s">
        <v>12719</v>
      </c>
      <c r="H3159" s="1" t="s">
        <v>22</v>
      </c>
      <c r="I3159" s="1" t="n">
        <v>20240429040640</v>
      </c>
      <c r="J3159" s="3" t="s">
        <v>12720</v>
      </c>
      <c r="K3159" s="3" t="s">
        <v>12721</v>
      </c>
      <c r="L3159" s="3" t="s">
        <v>12722</v>
      </c>
      <c r="M3159" s="3" t="n">
        <v>362079</v>
      </c>
      <c r="N3159" s="3" t="s">
        <v>7367</v>
      </c>
      <c r="O3159" s="1" t="n">
        <v>345693</v>
      </c>
      <c r="P3159" s="1" t="n">
        <v>95.47</v>
      </c>
      <c r="Q3159" s="1" t="s">
        <v>20</v>
      </c>
      <c r="R3159" s="1" t="s">
        <v>27</v>
      </c>
      <c r="S3159" s="1" t="s">
        <v>28</v>
      </c>
      <c r="T3159" s="1" t="s">
        <v>29</v>
      </c>
    </row>
    <row r="3160" customFormat="false" ht="18.7" hidden="false" customHeight="true" outlineLevel="0" collapsed="false">
      <c r="A3160" s="1" t="n">
        <v>3159</v>
      </c>
      <c r="B3160" s="6" t="str">
        <f aca="false">HYPERLINK("https://mncourtfraud.com/file/MCRO_27-CR-22-7953_Order-Evaluation for Competency to Proceed (Rule 20.01)_2022-09-08_20240429040641.pdf","MCRO_27-CR-22-7953_Order-Evaluation for Competency to Proceed (Rule 20.01)_2022-09-08_20240429040641.pdf")</f>
        <v>MCRO_27-CR-22-7953_Order-Evaluation for Competency to Proceed (Rule 20.01)_2022-09-08_20240429040641.pdf</v>
      </c>
      <c r="C3160" s="1" t="n">
        <v>5</v>
      </c>
      <c r="D3160" s="1" t="n">
        <v>1</v>
      </c>
      <c r="E3160" s="1" t="n">
        <v>1</v>
      </c>
      <c r="F3160" s="3" t="s">
        <v>20</v>
      </c>
      <c r="G3160" s="3" t="s">
        <v>12723</v>
      </c>
      <c r="H3160" s="1" t="s">
        <v>22</v>
      </c>
      <c r="I3160" s="1" t="n">
        <v>20240429040641</v>
      </c>
      <c r="J3160" s="3" t="s">
        <v>12724</v>
      </c>
      <c r="K3160" s="3" t="s">
        <v>12725</v>
      </c>
      <c r="L3160" s="3" t="s">
        <v>12726</v>
      </c>
      <c r="M3160" s="3" t="n">
        <v>820941</v>
      </c>
      <c r="N3160" s="3" t="s">
        <v>7380</v>
      </c>
      <c r="O3160" s="1" t="n">
        <v>804555</v>
      </c>
      <c r="P3160" s="1" t="n">
        <v>98</v>
      </c>
      <c r="Q3160" s="1" t="s">
        <v>20</v>
      </c>
      <c r="R3160" s="1" t="s">
        <v>27</v>
      </c>
      <c r="S3160" s="1" t="s">
        <v>28</v>
      </c>
      <c r="T3160" s="1" t="s">
        <v>29</v>
      </c>
    </row>
    <row r="3161" customFormat="false" ht="18.7" hidden="false" customHeight="true" outlineLevel="0" collapsed="false">
      <c r="A3161" s="1" t="n">
        <v>3160</v>
      </c>
      <c r="B3161" s="6" t="str">
        <f aca="false">HYPERLINK("https://mncourtfraud.com/file/MCRO_27-CR-22-7953_Order-Evaluation for Competency to Proceed (Rule 20.01)_2023-02-14_20240429040637.pdf","MCRO_27-CR-22-7953_Order-Evaluation for Competency to Proceed (Rule 20.01)_2023-02-14_20240429040637.pdf")</f>
        <v>MCRO_27-CR-22-7953_Order-Evaluation for Competency to Proceed (Rule 20.01)_2023-02-14_20240429040637.pdf</v>
      </c>
      <c r="C3161" s="1" t="n">
        <v>7</v>
      </c>
      <c r="D3161" s="1" t="n">
        <v>2</v>
      </c>
      <c r="E3161" s="1" t="n">
        <v>2</v>
      </c>
      <c r="F3161" s="3" t="s">
        <v>27</v>
      </c>
      <c r="G3161" s="3" t="s">
        <v>12727</v>
      </c>
      <c r="H3161" s="1" t="s">
        <v>22</v>
      </c>
      <c r="I3161" s="1" t="n">
        <v>20240429040637</v>
      </c>
      <c r="J3161" s="3" t="s">
        <v>12728</v>
      </c>
      <c r="K3161" s="3" t="s">
        <v>12729</v>
      </c>
      <c r="L3161" s="3" t="s">
        <v>12730</v>
      </c>
      <c r="M3161" s="3" t="n">
        <v>880584</v>
      </c>
      <c r="N3161" s="3" t="s">
        <v>7385</v>
      </c>
      <c r="O3161" s="1" t="n">
        <v>864198</v>
      </c>
      <c r="P3161" s="1" t="n">
        <v>98.14</v>
      </c>
      <c r="Q3161" s="1" t="s">
        <v>20</v>
      </c>
      <c r="R3161" s="1" t="s">
        <v>27</v>
      </c>
      <c r="S3161" s="1" t="s">
        <v>28</v>
      </c>
      <c r="T3161" s="1" t="s">
        <v>29</v>
      </c>
    </row>
    <row r="3162" customFormat="false" ht="18.7" hidden="false" customHeight="true" outlineLevel="0" collapsed="false">
      <c r="A3162" s="1" t="n">
        <v>3161</v>
      </c>
      <c r="B3162" s="6" t="str">
        <f aca="false">HYPERLINK("https://mncourtfraud.com/file/MCRO_27-CR-22-7953_Order for Conditional Release_2022-04-28_20240429040649.pdf","MCRO_27-CR-22-7953_Order for Conditional Release_2022-04-28_20240429040649.pdf")</f>
        <v>MCRO_27-CR-22-7953_Order for Conditional Release_2022-04-28_20240429040649.pdf</v>
      </c>
      <c r="C3162" s="1" t="n">
        <v>4</v>
      </c>
      <c r="D3162" s="1" t="n">
        <v>1</v>
      </c>
      <c r="E3162" s="1" t="n">
        <v>1</v>
      </c>
      <c r="F3162" s="3" t="s">
        <v>20</v>
      </c>
      <c r="G3162" s="3" t="s">
        <v>12731</v>
      </c>
      <c r="H3162" s="1" t="s">
        <v>22</v>
      </c>
      <c r="I3162" s="1" t="n">
        <v>20240429040649</v>
      </c>
      <c r="J3162" s="3" t="s">
        <v>12732</v>
      </c>
      <c r="K3162" s="3" t="s">
        <v>12733</v>
      </c>
      <c r="L3162" s="3" t="s">
        <v>12734</v>
      </c>
      <c r="M3162" s="3" t="n">
        <v>146344</v>
      </c>
      <c r="N3162" s="3" t="s">
        <v>614</v>
      </c>
      <c r="O3162" s="1" t="n">
        <v>129958</v>
      </c>
      <c r="P3162" s="1" t="n">
        <v>88.8</v>
      </c>
      <c r="Q3162" s="1" t="s">
        <v>20</v>
      </c>
      <c r="R3162" s="1" t="s">
        <v>27</v>
      </c>
      <c r="S3162" s="1" t="s">
        <v>28</v>
      </c>
      <c r="T3162" s="1" t="s">
        <v>29</v>
      </c>
    </row>
    <row r="3163" customFormat="false" ht="18.7" hidden="false" customHeight="true" outlineLevel="0" collapsed="false">
      <c r="A3163" s="1" t="n">
        <v>3162</v>
      </c>
      <c r="B3163" s="6" t="str">
        <f aca="false">HYPERLINK("https://mncourtfraud.com/file/MCRO_27-CR-22-7953_Order for Conditional Release_2022-06-21_20240429040642.pdf","MCRO_27-CR-22-7953_Order for Conditional Release_2022-06-21_20240429040642.pdf")</f>
        <v>MCRO_27-CR-22-7953_Order for Conditional Release_2022-06-21_20240429040642.pdf</v>
      </c>
      <c r="C3163" s="1" t="n">
        <v>4</v>
      </c>
      <c r="D3163" s="1" t="n">
        <v>1</v>
      </c>
      <c r="E3163" s="1" t="n">
        <v>1</v>
      </c>
      <c r="F3163" s="3" t="s">
        <v>20</v>
      </c>
      <c r="G3163" s="3" t="s">
        <v>12735</v>
      </c>
      <c r="H3163" s="1" t="s">
        <v>22</v>
      </c>
      <c r="I3163" s="1" t="n">
        <v>20240429040642</v>
      </c>
      <c r="J3163" s="3" t="s">
        <v>12736</v>
      </c>
      <c r="K3163" s="3" t="s">
        <v>12737</v>
      </c>
      <c r="L3163" s="3" t="s">
        <v>12614</v>
      </c>
      <c r="M3163" s="3" t="n">
        <v>745343</v>
      </c>
      <c r="N3163" s="3" t="s">
        <v>39</v>
      </c>
      <c r="O3163" s="1" t="n">
        <v>728957</v>
      </c>
      <c r="P3163" s="1" t="n">
        <v>97.8</v>
      </c>
      <c r="Q3163" s="1" t="s">
        <v>20</v>
      </c>
      <c r="R3163" s="1" t="s">
        <v>27</v>
      </c>
      <c r="S3163" s="1" t="s">
        <v>28</v>
      </c>
      <c r="T3163" s="1" t="s">
        <v>29</v>
      </c>
    </row>
    <row r="3164" customFormat="false" ht="18.7" hidden="false" customHeight="true" outlineLevel="0" collapsed="false">
      <c r="A3164" s="1" t="n">
        <v>3163</v>
      </c>
      <c r="B3164" s="6" t="str">
        <f aca="false">HYPERLINK("https://mncourtfraud.com/file/MCRO_27-CR-22-7953_Other Document_2022-04-28_20240429040648.pdf","MCRO_27-CR-22-7953_Other Document_2022-04-28_20240429040648.pdf")</f>
        <v>MCRO_27-CR-22-7953_Other Document_2022-04-28_20240429040648.pdf</v>
      </c>
      <c r="C3164" s="1" t="n">
        <v>5</v>
      </c>
      <c r="D3164" s="1" t="n">
        <v>1</v>
      </c>
      <c r="E3164" s="1" t="n">
        <v>1</v>
      </c>
      <c r="F3164" s="3" t="s">
        <v>20</v>
      </c>
      <c r="G3164" s="3" t="s">
        <v>12738</v>
      </c>
      <c r="H3164" s="1" t="s">
        <v>22</v>
      </c>
      <c r="I3164" s="1" t="n">
        <v>20240429040648</v>
      </c>
      <c r="J3164" s="3" t="s">
        <v>12739</v>
      </c>
      <c r="K3164" s="3" t="s">
        <v>12740</v>
      </c>
      <c r="L3164" s="3" t="s">
        <v>12741</v>
      </c>
      <c r="M3164" s="3" t="n">
        <v>777460</v>
      </c>
      <c r="N3164" s="3" t="s">
        <v>741</v>
      </c>
      <c r="O3164" s="1" t="n">
        <v>761074</v>
      </c>
      <c r="P3164" s="1" t="n">
        <v>97.89</v>
      </c>
      <c r="Q3164" s="1" t="s">
        <v>20</v>
      </c>
      <c r="R3164" s="1" t="s">
        <v>27</v>
      </c>
      <c r="S3164" s="1" t="s">
        <v>28</v>
      </c>
      <c r="T3164" s="1" t="s">
        <v>29</v>
      </c>
    </row>
    <row r="3165" customFormat="false" ht="18.7" hidden="false" customHeight="true" outlineLevel="0" collapsed="false">
      <c r="A3165" s="1" t="n">
        <v>3164</v>
      </c>
      <c r="B3165" s="6" t="str">
        <f aca="false">HYPERLINK("https://mncourtfraud.com/file/MCRO_27-CR-22-7953_Returned Mail_2022-05-20_20240429040644.pdf","MCRO_27-CR-22-7953_Returned Mail_2022-05-20_20240429040644.pdf")</f>
        <v>MCRO_27-CR-22-7953_Returned Mail_2022-05-20_20240429040644.pdf</v>
      </c>
      <c r="C3165" s="1" t="n">
        <v>4</v>
      </c>
      <c r="D3165" s="1" t="n">
        <v>1</v>
      </c>
      <c r="E3165" s="1" t="n">
        <v>1</v>
      </c>
      <c r="F3165" s="3" t="s">
        <v>20</v>
      </c>
      <c r="G3165" s="3" t="s">
        <v>12742</v>
      </c>
      <c r="H3165" s="1" t="s">
        <v>22</v>
      </c>
      <c r="I3165" s="1" t="n">
        <v>20240429040644</v>
      </c>
      <c r="J3165" s="3" t="s">
        <v>12743</v>
      </c>
      <c r="K3165" s="3" t="s">
        <v>12744</v>
      </c>
      <c r="L3165" s="3" t="s">
        <v>7415</v>
      </c>
      <c r="M3165" s="3" t="n">
        <v>71624</v>
      </c>
      <c r="N3165" s="3" t="s">
        <v>1307</v>
      </c>
      <c r="O3165" s="1" t="n">
        <v>55238</v>
      </c>
      <c r="P3165" s="1" t="n">
        <v>77.12</v>
      </c>
      <c r="Q3165" s="1" t="s">
        <v>20</v>
      </c>
      <c r="R3165" s="1" t="s">
        <v>27</v>
      </c>
      <c r="S3165" s="1" t="s">
        <v>28</v>
      </c>
      <c r="T3165" s="1" t="s">
        <v>29</v>
      </c>
    </row>
    <row r="3166" customFormat="false" ht="18.7" hidden="false" customHeight="true" outlineLevel="0" collapsed="false">
      <c r="A3166" s="1" t="n">
        <v>3165</v>
      </c>
      <c r="B3166" s="6" t="str">
        <f aca="false">HYPERLINK("https://mncourtfraud.com/file/MCRO_27-CR-22-7953_Returned Mail_2022-12-07_20240429040639.pdf","MCRO_27-CR-22-7953_Returned Mail_2022-12-07_20240429040639.pdf")</f>
        <v>MCRO_27-CR-22-7953_Returned Mail_2022-12-07_20240429040639.pdf</v>
      </c>
      <c r="C3166" s="1" t="n">
        <v>4</v>
      </c>
      <c r="D3166" s="1" t="n">
        <v>1</v>
      </c>
      <c r="E3166" s="1" t="n">
        <v>1</v>
      </c>
      <c r="F3166" s="3" t="s">
        <v>20</v>
      </c>
      <c r="G3166" s="3" t="s">
        <v>12745</v>
      </c>
      <c r="H3166" s="1" t="s">
        <v>22</v>
      </c>
      <c r="I3166" s="1" t="n">
        <v>20240429040639</v>
      </c>
      <c r="J3166" s="3" t="s">
        <v>12746</v>
      </c>
      <c r="K3166" s="3" t="s">
        <v>12747</v>
      </c>
      <c r="L3166" s="3" t="s">
        <v>12748</v>
      </c>
      <c r="M3166" s="3" t="n">
        <v>1139969</v>
      </c>
      <c r="N3166" s="3" t="s">
        <v>104</v>
      </c>
      <c r="O3166" s="1" t="n">
        <v>1123583</v>
      </c>
      <c r="P3166" s="1" t="n">
        <v>98.56</v>
      </c>
      <c r="Q3166" s="1" t="s">
        <v>20</v>
      </c>
      <c r="R3166" s="1" t="s">
        <v>27</v>
      </c>
      <c r="S3166" s="1" t="s">
        <v>28</v>
      </c>
      <c r="T3166" s="1" t="s">
        <v>29</v>
      </c>
    </row>
    <row r="3167" customFormat="false" ht="18.7" hidden="false" customHeight="true" outlineLevel="0" collapsed="false">
      <c r="A3167" s="1" t="n">
        <v>3166</v>
      </c>
      <c r="B3167" s="6" t="str">
        <f aca="false">HYPERLINK("https://mncourtfraud.com/file/MCRO_27-CR-22-9720_Citation Data Summary_2022-05-23_20240429152455.pdf","MCRO_27-CR-22-9720_Citation Data Summary_2022-05-23_20240429152455.pdf")</f>
        <v>MCRO_27-CR-22-9720_Citation Data Summary_2022-05-23_20240429152455.pdf</v>
      </c>
      <c r="C3167" s="1" t="n">
        <v>4</v>
      </c>
      <c r="D3167" s="1" t="n">
        <v>2</v>
      </c>
      <c r="E3167" s="1" t="n">
        <v>2</v>
      </c>
      <c r="F3167" s="3" t="s">
        <v>20</v>
      </c>
      <c r="G3167" s="3" t="s">
        <v>12749</v>
      </c>
      <c r="H3167" s="1" t="s">
        <v>22</v>
      </c>
      <c r="I3167" s="1" t="n">
        <v>20240429152455</v>
      </c>
      <c r="J3167" s="3" t="s">
        <v>12750</v>
      </c>
      <c r="K3167" s="3" t="s">
        <v>12751</v>
      </c>
      <c r="L3167" s="3" t="s">
        <v>12752</v>
      </c>
      <c r="M3167" s="3" t="n">
        <v>112918</v>
      </c>
      <c r="N3167" s="3" t="s">
        <v>3445</v>
      </c>
      <c r="O3167" s="1" t="n">
        <v>96532</v>
      </c>
      <c r="P3167" s="1" t="n">
        <v>85.49</v>
      </c>
      <c r="Q3167" s="1" t="s">
        <v>20</v>
      </c>
      <c r="R3167" s="1" t="s">
        <v>27</v>
      </c>
      <c r="S3167" s="1" t="s">
        <v>28</v>
      </c>
      <c r="T3167" s="1" t="s">
        <v>29</v>
      </c>
    </row>
    <row r="3168" customFormat="false" ht="18.7" hidden="false" customHeight="true" outlineLevel="0" collapsed="false">
      <c r="A3168" s="1" t="n">
        <v>3167</v>
      </c>
      <c r="B3168" s="6" t="str">
        <f aca="false">HYPERLINK("https://mncourtfraud.com/file/MCRO_27-CR-22-9720_Finding of Incompetency and Order_2024-02-02_20240429152432.pdf","MCRO_27-CR-22-9720_Finding of Incompetency and Order_2024-02-02_20240429152432.pdf")</f>
        <v>MCRO_27-CR-22-9720_Finding of Incompetency and Order_2024-02-02_20240429152432.pdf</v>
      </c>
      <c r="C3168" s="1" t="n">
        <v>6</v>
      </c>
      <c r="D3168" s="1" t="n">
        <v>2</v>
      </c>
      <c r="E3168" s="1" t="n">
        <v>2</v>
      </c>
      <c r="F3168" s="3" t="s">
        <v>20</v>
      </c>
      <c r="G3168" s="3" t="s">
        <v>12753</v>
      </c>
      <c r="H3168" s="1" t="s">
        <v>22</v>
      </c>
      <c r="I3168" s="1" t="n">
        <v>20240429152432</v>
      </c>
      <c r="J3168" s="3" t="s">
        <v>12754</v>
      </c>
      <c r="K3168" s="3" t="s">
        <v>12755</v>
      </c>
      <c r="L3168" s="3" t="s">
        <v>12756</v>
      </c>
      <c r="M3168" s="3" t="n">
        <v>775870</v>
      </c>
      <c r="N3168" s="3" t="s">
        <v>973</v>
      </c>
      <c r="O3168" s="1" t="n">
        <v>759484</v>
      </c>
      <c r="P3168" s="1" t="n">
        <v>97.89</v>
      </c>
      <c r="Q3168" s="1" t="s">
        <v>20</v>
      </c>
      <c r="R3168" s="1" t="s">
        <v>27</v>
      </c>
      <c r="S3168" s="1" t="s">
        <v>28</v>
      </c>
      <c r="T3168" s="1" t="s">
        <v>29</v>
      </c>
    </row>
    <row r="3169" customFormat="false" ht="18.7" hidden="false" customHeight="true" outlineLevel="0" collapsed="false">
      <c r="A3169" s="1" t="n">
        <v>3168</v>
      </c>
      <c r="B3169" s="6" t="str">
        <f aca="false">HYPERLINK("https://mncourtfraud.com/file/MCRO_27-CR-22-9720_Notice of Hearing_2022-10-27_20240429152453.pdf","MCRO_27-CR-22-9720_Notice of Hearing_2022-10-27_20240429152453.pdf")</f>
        <v>MCRO_27-CR-22-9720_Notice of Hearing_2022-10-27_20240429152453.pdf</v>
      </c>
      <c r="C3169" s="1" t="n">
        <v>4</v>
      </c>
      <c r="D3169" s="1" t="n">
        <v>1</v>
      </c>
      <c r="E3169" s="1" t="n">
        <v>1</v>
      </c>
      <c r="F3169" s="3" t="s">
        <v>20</v>
      </c>
      <c r="G3169" s="3" t="s">
        <v>12757</v>
      </c>
      <c r="H3169" s="1" t="s">
        <v>22</v>
      </c>
      <c r="I3169" s="1" t="n">
        <v>20240429152453</v>
      </c>
      <c r="J3169" s="3" t="s">
        <v>12758</v>
      </c>
      <c r="K3169" s="3" t="s">
        <v>12759</v>
      </c>
      <c r="L3169" s="3" t="s">
        <v>12760</v>
      </c>
      <c r="M3169" s="3" t="n">
        <v>475273</v>
      </c>
      <c r="N3169" s="3" t="s">
        <v>158</v>
      </c>
      <c r="O3169" s="1" t="n">
        <v>458887</v>
      </c>
      <c r="P3169" s="1" t="n">
        <v>96.55</v>
      </c>
      <c r="Q3169" s="1" t="s">
        <v>20</v>
      </c>
      <c r="R3169" s="1" t="s">
        <v>27</v>
      </c>
      <c r="S3169" s="1" t="s">
        <v>28</v>
      </c>
      <c r="T3169" s="1" t="s">
        <v>29</v>
      </c>
    </row>
    <row r="3170" customFormat="false" ht="18.7" hidden="false" customHeight="true" outlineLevel="0" collapsed="false">
      <c r="A3170" s="1" t="n">
        <v>3169</v>
      </c>
      <c r="B3170" s="6" t="str">
        <f aca="false">HYPERLINK("https://mncourtfraud.com/file/MCRO_27-CR-22-9720_Notice of Hearing_2022-12-14_20240429152450.pdf","MCRO_27-CR-22-9720_Notice of Hearing_2022-12-14_20240429152450.pdf")</f>
        <v>MCRO_27-CR-22-9720_Notice of Hearing_2022-12-14_20240429152450.pdf</v>
      </c>
      <c r="C3170" s="1" t="n">
        <v>4</v>
      </c>
      <c r="D3170" s="1" t="n">
        <v>1</v>
      </c>
      <c r="E3170" s="1" t="n">
        <v>1</v>
      </c>
      <c r="F3170" s="3" t="s">
        <v>20</v>
      </c>
      <c r="G3170" s="3" t="s">
        <v>12761</v>
      </c>
      <c r="H3170" s="1" t="s">
        <v>22</v>
      </c>
      <c r="I3170" s="1" t="n">
        <v>20240429152450</v>
      </c>
      <c r="J3170" s="3" t="s">
        <v>12762</v>
      </c>
      <c r="K3170" s="3" t="s">
        <v>12763</v>
      </c>
      <c r="L3170" s="3" t="s">
        <v>12764</v>
      </c>
      <c r="M3170" s="3" t="n">
        <v>99353</v>
      </c>
      <c r="N3170" s="3" t="s">
        <v>435</v>
      </c>
      <c r="O3170" s="1" t="n">
        <v>82967</v>
      </c>
      <c r="P3170" s="1" t="n">
        <v>83.51</v>
      </c>
      <c r="Q3170" s="1" t="s">
        <v>20</v>
      </c>
      <c r="R3170" s="1" t="s">
        <v>27</v>
      </c>
      <c r="S3170" s="1" t="s">
        <v>28</v>
      </c>
      <c r="T3170" s="1" t="s">
        <v>29</v>
      </c>
    </row>
    <row r="3171" customFormat="false" ht="18.7" hidden="false" customHeight="true" outlineLevel="0" collapsed="false">
      <c r="A3171" s="1" t="n">
        <v>3170</v>
      </c>
      <c r="B3171" s="6" t="str">
        <f aca="false">HYPERLINK("https://mncourtfraud.com/file/MCRO_27-CR-22-9720_Notice of Hearing_2022-12-14_20240429152451.pdf","MCRO_27-CR-22-9720_Notice of Hearing_2022-12-14_20240429152451.pdf")</f>
        <v>MCRO_27-CR-22-9720_Notice of Hearing_2022-12-14_20240429152451.pdf</v>
      </c>
      <c r="C3171" s="1" t="n">
        <v>4</v>
      </c>
      <c r="D3171" s="1" t="n">
        <v>1</v>
      </c>
      <c r="E3171" s="1" t="n">
        <v>1</v>
      </c>
      <c r="F3171" s="3" t="s">
        <v>20</v>
      </c>
      <c r="G3171" s="3" t="s">
        <v>12765</v>
      </c>
      <c r="H3171" s="1" t="s">
        <v>22</v>
      </c>
      <c r="I3171" s="1" t="n">
        <v>20240429152451</v>
      </c>
      <c r="J3171" s="3" t="s">
        <v>12766</v>
      </c>
      <c r="K3171" s="3" t="s">
        <v>12767</v>
      </c>
      <c r="L3171" s="3" t="s">
        <v>12768</v>
      </c>
      <c r="M3171" s="3" t="n">
        <v>100229</v>
      </c>
      <c r="N3171" s="3" t="s">
        <v>435</v>
      </c>
      <c r="O3171" s="1" t="n">
        <v>83843</v>
      </c>
      <c r="P3171" s="1" t="n">
        <v>83.65</v>
      </c>
      <c r="Q3171" s="1" t="s">
        <v>20</v>
      </c>
      <c r="R3171" s="1" t="s">
        <v>27</v>
      </c>
      <c r="S3171" s="1" t="s">
        <v>28</v>
      </c>
      <c r="T3171" s="1" t="s">
        <v>29</v>
      </c>
    </row>
    <row r="3172" customFormat="false" ht="18.7" hidden="false" customHeight="true" outlineLevel="0" collapsed="false">
      <c r="A3172" s="1" t="n">
        <v>3171</v>
      </c>
      <c r="B3172" s="6" t="str">
        <f aca="false">HYPERLINK("https://mncourtfraud.com/file/MCRO_27-CR-22-9720_Notice of Hearing_2023-02-23_20240429152448.pdf","MCRO_27-CR-22-9720_Notice of Hearing_2023-02-23_20240429152448.pdf")</f>
        <v>MCRO_27-CR-22-9720_Notice of Hearing_2023-02-23_20240429152448.pdf</v>
      </c>
      <c r="C3172" s="1" t="n">
        <v>4</v>
      </c>
      <c r="D3172" s="1" t="n">
        <v>1</v>
      </c>
      <c r="E3172" s="1" t="n">
        <v>1</v>
      </c>
      <c r="F3172" s="3" t="s">
        <v>20</v>
      </c>
      <c r="G3172" s="3" t="s">
        <v>12769</v>
      </c>
      <c r="H3172" s="1" t="s">
        <v>22</v>
      </c>
      <c r="I3172" s="1" t="n">
        <v>20240429152448</v>
      </c>
      <c r="J3172" s="3" t="s">
        <v>12770</v>
      </c>
      <c r="K3172" s="3" t="s">
        <v>12771</v>
      </c>
      <c r="L3172" s="3" t="s">
        <v>12772</v>
      </c>
      <c r="M3172" s="3" t="n">
        <v>422978</v>
      </c>
      <c r="N3172" s="3" t="s">
        <v>158</v>
      </c>
      <c r="O3172" s="1" t="n">
        <v>406592</v>
      </c>
      <c r="P3172" s="1" t="n">
        <v>96.13</v>
      </c>
      <c r="Q3172" s="1" t="s">
        <v>20</v>
      </c>
      <c r="R3172" s="1" t="s">
        <v>27</v>
      </c>
      <c r="S3172" s="1" t="s">
        <v>28</v>
      </c>
      <c r="T3172" s="1" t="s">
        <v>29</v>
      </c>
    </row>
    <row r="3173" customFormat="false" ht="18.7" hidden="false" customHeight="true" outlineLevel="0" collapsed="false">
      <c r="A3173" s="1" t="n">
        <v>3172</v>
      </c>
      <c r="B3173" s="6" t="str">
        <f aca="false">HYPERLINK("https://mncourtfraud.com/file/MCRO_27-CR-22-9720_Notice of Hearing_2023-07-19_20240429152442.pdf","MCRO_27-CR-22-9720_Notice of Hearing_2023-07-19_20240429152442.pdf")</f>
        <v>MCRO_27-CR-22-9720_Notice of Hearing_2023-07-19_20240429152442.pdf</v>
      </c>
      <c r="C3173" s="1" t="n">
        <v>4</v>
      </c>
      <c r="D3173" s="1" t="n">
        <v>1</v>
      </c>
      <c r="E3173" s="1" t="n">
        <v>1</v>
      </c>
      <c r="F3173" s="3" t="s">
        <v>20</v>
      </c>
      <c r="G3173" s="3" t="s">
        <v>12773</v>
      </c>
      <c r="H3173" s="1" t="s">
        <v>22</v>
      </c>
      <c r="I3173" s="1" t="n">
        <v>20240429152442</v>
      </c>
      <c r="J3173" s="3" t="s">
        <v>12774</v>
      </c>
      <c r="K3173" s="3" t="s">
        <v>12775</v>
      </c>
      <c r="L3173" s="3" t="s">
        <v>12776</v>
      </c>
      <c r="M3173" s="3" t="n">
        <v>100161</v>
      </c>
      <c r="N3173" s="3" t="s">
        <v>435</v>
      </c>
      <c r="O3173" s="1" t="n">
        <v>83775</v>
      </c>
      <c r="P3173" s="1" t="n">
        <v>83.64</v>
      </c>
      <c r="Q3173" s="1" t="s">
        <v>20</v>
      </c>
      <c r="R3173" s="1" t="s">
        <v>27</v>
      </c>
      <c r="S3173" s="1" t="s">
        <v>28</v>
      </c>
      <c r="T3173" s="1" t="s">
        <v>29</v>
      </c>
    </row>
    <row r="3174" customFormat="false" ht="18.7" hidden="false" customHeight="true" outlineLevel="0" collapsed="false">
      <c r="A3174" s="1" t="n">
        <v>3173</v>
      </c>
      <c r="B3174" s="6" t="str">
        <f aca="false">HYPERLINK("https://mncourtfraud.com/file/MCRO_27-CR-22-9720_Notice of Hearing_2023-11-28_20240429152437.pdf","MCRO_27-CR-22-9720_Notice of Hearing_2023-11-28_20240429152437.pdf")</f>
        <v>MCRO_27-CR-22-9720_Notice of Hearing_2023-11-28_20240429152437.pdf</v>
      </c>
      <c r="C3174" s="1" t="n">
        <v>4</v>
      </c>
      <c r="D3174" s="1" t="n">
        <v>1</v>
      </c>
      <c r="E3174" s="1" t="n">
        <v>1</v>
      </c>
      <c r="F3174" s="3" t="s">
        <v>20</v>
      </c>
      <c r="G3174" s="3" t="s">
        <v>12777</v>
      </c>
      <c r="H3174" s="1" t="s">
        <v>22</v>
      </c>
      <c r="I3174" s="1" t="n">
        <v>20240429152437</v>
      </c>
      <c r="J3174" s="3" t="s">
        <v>12778</v>
      </c>
      <c r="K3174" s="3" t="s">
        <v>12779</v>
      </c>
      <c r="L3174" s="3" t="s">
        <v>12780</v>
      </c>
      <c r="M3174" s="3" t="n">
        <v>102798</v>
      </c>
      <c r="N3174" s="3" t="s">
        <v>435</v>
      </c>
      <c r="O3174" s="1" t="n">
        <v>86412</v>
      </c>
      <c r="P3174" s="1" t="n">
        <v>84.06</v>
      </c>
      <c r="Q3174" s="1" t="s">
        <v>20</v>
      </c>
      <c r="R3174" s="1" t="s">
        <v>27</v>
      </c>
      <c r="S3174" s="1" t="s">
        <v>28</v>
      </c>
      <c r="T3174" s="1" t="s">
        <v>29</v>
      </c>
    </row>
    <row r="3175" customFormat="false" ht="18.7" hidden="false" customHeight="true" outlineLevel="0" collapsed="false">
      <c r="A3175" s="1" t="n">
        <v>3174</v>
      </c>
      <c r="B3175" s="6" t="str">
        <f aca="false">HYPERLINK("https://mncourtfraud.com/file/MCRO_27-CR-22-9720_Notice of Remote Hearing with Instructions_2023-04-05_20240429152446.pdf","MCRO_27-CR-22-9720_Notice of Remote Hearing with Instructions_2023-04-05_20240429152446.pdf")</f>
        <v>MCRO_27-CR-22-9720_Notice of Remote Hearing with Instructions_2023-04-05_20240429152446.pdf</v>
      </c>
      <c r="C3175" s="1" t="n">
        <v>5</v>
      </c>
      <c r="D3175" s="1" t="n">
        <v>1</v>
      </c>
      <c r="E3175" s="1" t="n">
        <v>1</v>
      </c>
      <c r="F3175" s="3" t="s">
        <v>20</v>
      </c>
      <c r="G3175" s="3" t="s">
        <v>12781</v>
      </c>
      <c r="H3175" s="1" t="s">
        <v>22</v>
      </c>
      <c r="I3175" s="1" t="n">
        <v>20240429152446</v>
      </c>
      <c r="J3175" s="3" t="s">
        <v>12782</v>
      </c>
      <c r="K3175" s="3" t="s">
        <v>12783</v>
      </c>
      <c r="L3175" s="3" t="s">
        <v>12784</v>
      </c>
      <c r="M3175" s="3" t="n">
        <v>850506</v>
      </c>
      <c r="N3175" s="3" t="s">
        <v>505</v>
      </c>
      <c r="O3175" s="1" t="n">
        <v>834120</v>
      </c>
      <c r="P3175" s="1" t="n">
        <v>98.07</v>
      </c>
      <c r="Q3175" s="1" t="s">
        <v>20</v>
      </c>
      <c r="R3175" s="1" t="s">
        <v>27</v>
      </c>
      <c r="S3175" s="1" t="s">
        <v>28</v>
      </c>
      <c r="T3175" s="1" t="s">
        <v>29</v>
      </c>
    </row>
    <row r="3176" customFormat="false" ht="18.7" hidden="false" customHeight="true" outlineLevel="0" collapsed="false">
      <c r="A3176" s="1" t="n">
        <v>3175</v>
      </c>
      <c r="B3176" s="6" t="str">
        <f aca="false">HYPERLINK("https://mncourtfraud.com/file/MCRO_27-CR-22-9720_Notice of Remote Hearing with Instructions_2023-06-12_20240429152444.pdf","MCRO_27-CR-22-9720_Notice of Remote Hearing with Instructions_2023-06-12_20240429152444.pdf")</f>
        <v>MCRO_27-CR-22-9720_Notice of Remote Hearing with Instructions_2023-06-12_20240429152444.pdf</v>
      </c>
      <c r="C3176" s="1" t="n">
        <v>5</v>
      </c>
      <c r="D3176" s="1" t="n">
        <v>1</v>
      </c>
      <c r="E3176" s="1" t="n">
        <v>1</v>
      </c>
      <c r="F3176" s="3" t="s">
        <v>20</v>
      </c>
      <c r="G3176" s="3" t="s">
        <v>12785</v>
      </c>
      <c r="H3176" s="1" t="s">
        <v>22</v>
      </c>
      <c r="I3176" s="1" t="n">
        <v>20240429152444</v>
      </c>
      <c r="J3176" s="3" t="s">
        <v>12786</v>
      </c>
      <c r="K3176" s="3" t="s">
        <v>12787</v>
      </c>
      <c r="L3176" s="3" t="s">
        <v>12788</v>
      </c>
      <c r="M3176" s="3" t="n">
        <v>847841</v>
      </c>
      <c r="N3176" s="3" t="s">
        <v>7367</v>
      </c>
      <c r="O3176" s="1" t="n">
        <v>831455</v>
      </c>
      <c r="P3176" s="1" t="n">
        <v>98.07</v>
      </c>
      <c r="Q3176" s="1" t="s">
        <v>20</v>
      </c>
      <c r="R3176" s="1" t="s">
        <v>27</v>
      </c>
      <c r="S3176" s="1" t="s">
        <v>28</v>
      </c>
      <c r="T3176" s="1" t="s">
        <v>29</v>
      </c>
    </row>
    <row r="3177" customFormat="false" ht="18.7" hidden="false" customHeight="true" outlineLevel="0" collapsed="false">
      <c r="A3177" s="1" t="n">
        <v>3176</v>
      </c>
      <c r="B3177" s="6" t="str">
        <f aca="false">HYPERLINK("https://mncourtfraud.com/file/MCRO_27-CR-22-9720_Notice of Remote Hearing with Instructions_2023-07-19_20240429152441.pdf","MCRO_27-CR-22-9720_Notice of Remote Hearing with Instructions_2023-07-19_20240429152441.pdf")</f>
        <v>MCRO_27-CR-22-9720_Notice of Remote Hearing with Instructions_2023-07-19_20240429152441.pdf</v>
      </c>
      <c r="C3177" s="1" t="n">
        <v>4</v>
      </c>
      <c r="D3177" s="1" t="n">
        <v>1</v>
      </c>
      <c r="E3177" s="1" t="n">
        <v>1</v>
      </c>
      <c r="F3177" s="3" t="s">
        <v>20</v>
      </c>
      <c r="G3177" s="3" t="s">
        <v>12789</v>
      </c>
      <c r="H3177" s="1" t="s">
        <v>22</v>
      </c>
      <c r="I3177" s="1" t="n">
        <v>20240429152441</v>
      </c>
      <c r="J3177" s="3" t="s">
        <v>12790</v>
      </c>
      <c r="K3177" s="3" t="s">
        <v>12791</v>
      </c>
      <c r="L3177" s="3" t="s">
        <v>12792</v>
      </c>
      <c r="M3177" s="3" t="n">
        <v>135063</v>
      </c>
      <c r="N3177" s="3" t="s">
        <v>1159</v>
      </c>
      <c r="O3177" s="1" t="n">
        <v>118677</v>
      </c>
      <c r="P3177" s="1" t="n">
        <v>87.87</v>
      </c>
      <c r="Q3177" s="1" t="s">
        <v>20</v>
      </c>
      <c r="R3177" s="1" t="s">
        <v>27</v>
      </c>
      <c r="S3177" s="1" t="s">
        <v>28</v>
      </c>
      <c r="T3177" s="1" t="s">
        <v>29</v>
      </c>
    </row>
    <row r="3178" customFormat="false" ht="18.7" hidden="false" customHeight="true" outlineLevel="0" collapsed="false">
      <c r="A3178" s="1" t="n">
        <v>3177</v>
      </c>
      <c r="B3178" s="6" t="str">
        <f aca="false">HYPERLINK("https://mncourtfraud.com/file/MCRO_27-CR-22-9720_Notice of Remote Hearing with Instructions_2023-09-19_20240429152439.pdf","MCRO_27-CR-22-9720_Notice of Remote Hearing with Instructions_2023-09-19_20240429152439.pdf")</f>
        <v>MCRO_27-CR-22-9720_Notice of Remote Hearing with Instructions_2023-09-19_20240429152439.pdf</v>
      </c>
      <c r="C3178" s="1" t="n">
        <v>4</v>
      </c>
      <c r="D3178" s="1" t="n">
        <v>1</v>
      </c>
      <c r="E3178" s="1" t="n">
        <v>1</v>
      </c>
      <c r="F3178" s="3" t="s">
        <v>20</v>
      </c>
      <c r="G3178" s="3" t="s">
        <v>12793</v>
      </c>
      <c r="H3178" s="1" t="s">
        <v>22</v>
      </c>
      <c r="I3178" s="1" t="n">
        <v>20240429152439</v>
      </c>
      <c r="J3178" s="3" t="s">
        <v>12794</v>
      </c>
      <c r="K3178" s="3" t="s">
        <v>12795</v>
      </c>
      <c r="L3178" s="3" t="s">
        <v>12796</v>
      </c>
      <c r="M3178" s="3" t="n">
        <v>259147</v>
      </c>
      <c r="N3178" s="3" t="s">
        <v>936</v>
      </c>
      <c r="O3178" s="1" t="n">
        <v>242761</v>
      </c>
      <c r="P3178" s="1" t="n">
        <v>93.68</v>
      </c>
      <c r="Q3178" s="1" t="s">
        <v>20</v>
      </c>
      <c r="R3178" s="1" t="s">
        <v>27</v>
      </c>
      <c r="S3178" s="1" t="s">
        <v>28</v>
      </c>
      <c r="T3178" s="1" t="s">
        <v>29</v>
      </c>
    </row>
    <row r="3179" customFormat="false" ht="18.7" hidden="false" customHeight="true" outlineLevel="0" collapsed="false">
      <c r="A3179" s="1" t="n">
        <v>3178</v>
      </c>
      <c r="B3179" s="6" t="str">
        <f aca="false">HYPERLINK("https://mncourtfraud.com/file/MCRO_27-CR-22-9720_Notice of Remote Hearing with Instructions_2023-11-21_20240429152438.pdf","MCRO_27-CR-22-9720_Notice of Remote Hearing with Instructions_2023-11-21_20240429152438.pdf")</f>
        <v>MCRO_27-CR-22-9720_Notice of Remote Hearing with Instructions_2023-11-21_20240429152438.pdf</v>
      </c>
      <c r="C3179" s="1" t="n">
        <v>6</v>
      </c>
      <c r="D3179" s="1" t="n">
        <v>1</v>
      </c>
      <c r="E3179" s="1" t="n">
        <v>1</v>
      </c>
      <c r="F3179" s="3" t="s">
        <v>20</v>
      </c>
      <c r="G3179" s="3" t="s">
        <v>12797</v>
      </c>
      <c r="H3179" s="1" t="s">
        <v>22</v>
      </c>
      <c r="I3179" s="1" t="n">
        <v>20240429152438</v>
      </c>
      <c r="J3179" s="3" t="s">
        <v>12798</v>
      </c>
      <c r="K3179" s="3" t="s">
        <v>12799</v>
      </c>
      <c r="L3179" s="3" t="s">
        <v>12800</v>
      </c>
      <c r="M3179" s="3" t="n">
        <v>910364</v>
      </c>
      <c r="N3179" s="3" t="s">
        <v>109</v>
      </c>
      <c r="O3179" s="1" t="n">
        <v>893978</v>
      </c>
      <c r="P3179" s="1" t="n">
        <v>98.2</v>
      </c>
      <c r="Q3179" s="1" t="s">
        <v>20</v>
      </c>
      <c r="R3179" s="1" t="s">
        <v>27</v>
      </c>
      <c r="S3179" s="1" t="s">
        <v>28</v>
      </c>
      <c r="T3179" s="1" t="s">
        <v>29</v>
      </c>
    </row>
    <row r="3180" customFormat="false" ht="18.7" hidden="false" customHeight="true" outlineLevel="0" collapsed="false">
      <c r="A3180" s="1" t="n">
        <v>3179</v>
      </c>
      <c r="B3180" s="6" t="str">
        <f aca="false">HYPERLINK("https://mncourtfraud.com/file/MCRO_27-CR-22-9720_Notice of Remote Hearing with Instructions_2023-11-28_20240429152436.pdf","MCRO_27-CR-22-9720_Notice of Remote Hearing with Instructions_2023-11-28_20240429152436.pdf")</f>
        <v>MCRO_27-CR-22-9720_Notice of Remote Hearing with Instructions_2023-11-28_20240429152436.pdf</v>
      </c>
      <c r="C3180" s="1" t="n">
        <v>4</v>
      </c>
      <c r="D3180" s="1" t="n">
        <v>1</v>
      </c>
      <c r="E3180" s="1" t="n">
        <v>1</v>
      </c>
      <c r="F3180" s="3" t="s">
        <v>20</v>
      </c>
      <c r="G3180" s="3" t="s">
        <v>12801</v>
      </c>
      <c r="H3180" s="1" t="s">
        <v>22</v>
      </c>
      <c r="I3180" s="1" t="n">
        <v>20240429152436</v>
      </c>
      <c r="J3180" s="3" t="s">
        <v>12802</v>
      </c>
      <c r="K3180" s="3" t="s">
        <v>12803</v>
      </c>
      <c r="L3180" s="3" t="s">
        <v>12804</v>
      </c>
      <c r="M3180" s="3" t="n">
        <v>139082</v>
      </c>
      <c r="N3180" s="3" t="s">
        <v>1159</v>
      </c>
      <c r="O3180" s="1" t="n">
        <v>122696</v>
      </c>
      <c r="P3180" s="1" t="n">
        <v>88.22</v>
      </c>
      <c r="Q3180" s="1" t="s">
        <v>20</v>
      </c>
      <c r="R3180" s="1" t="s">
        <v>27</v>
      </c>
      <c r="S3180" s="1" t="s">
        <v>28</v>
      </c>
      <c r="T3180" s="1" t="s">
        <v>29</v>
      </c>
    </row>
    <row r="3181" customFormat="false" ht="18.7" hidden="false" customHeight="true" outlineLevel="0" collapsed="false">
      <c r="A3181" s="1" t="n">
        <v>3180</v>
      </c>
      <c r="B3181" s="6" t="str">
        <f aca="false">HYPERLINK("https://mncourtfraud.com/file/MCRO_27-CR-22-9720_Notice of Remote Hearing with Instructions_2023-12-12_20240429152434.pdf","MCRO_27-CR-22-9720_Notice of Remote Hearing with Instructions_2023-12-12_20240429152434.pdf")</f>
        <v>MCRO_27-CR-22-9720_Notice of Remote Hearing with Instructions_2023-12-12_20240429152434.pdf</v>
      </c>
      <c r="C3181" s="1" t="n">
        <v>3</v>
      </c>
      <c r="D3181" s="1" t="n">
        <v>1</v>
      </c>
      <c r="E3181" s="1" t="n">
        <v>1</v>
      </c>
      <c r="F3181" s="3" t="s">
        <v>20</v>
      </c>
      <c r="G3181" s="3" t="s">
        <v>12805</v>
      </c>
      <c r="H3181" s="1" t="s">
        <v>22</v>
      </c>
      <c r="I3181" s="1" t="n">
        <v>20240429152434</v>
      </c>
      <c r="J3181" s="3" t="s">
        <v>12806</v>
      </c>
      <c r="K3181" s="3" t="s">
        <v>12807</v>
      </c>
      <c r="L3181" s="3" t="s">
        <v>12808</v>
      </c>
      <c r="M3181" s="3" t="n">
        <v>832283</v>
      </c>
      <c r="N3181" s="3" t="s">
        <v>3251</v>
      </c>
      <c r="O3181" s="1" t="n">
        <v>815897</v>
      </c>
      <c r="P3181" s="1" t="n">
        <v>98.03</v>
      </c>
      <c r="Q3181" s="1" t="s">
        <v>20</v>
      </c>
      <c r="R3181" s="1" t="s">
        <v>27</v>
      </c>
      <c r="S3181" s="1" t="s">
        <v>28</v>
      </c>
      <c r="T3181" s="1" t="s">
        <v>29</v>
      </c>
    </row>
    <row r="3182" customFormat="false" ht="18.7" hidden="false" customHeight="true" outlineLevel="0" collapsed="false">
      <c r="A3182" s="1" t="n">
        <v>3181</v>
      </c>
      <c r="B3182" s="6" t="str">
        <f aca="false">HYPERLINK("https://mncourtfraud.com/file/MCRO_27-CR-22-9720_Notice of Remote Hearing with Instructions_2024-01-02_20240429152433.pdf","MCRO_27-CR-22-9720_Notice of Remote Hearing with Instructions_2024-01-02_20240429152433.pdf")</f>
        <v>MCRO_27-CR-22-9720_Notice of Remote Hearing with Instructions_2024-01-02_20240429152433.pdf</v>
      </c>
      <c r="C3182" s="1" t="n">
        <v>4</v>
      </c>
      <c r="D3182" s="1" t="n">
        <v>1</v>
      </c>
      <c r="E3182" s="1" t="n">
        <v>1</v>
      </c>
      <c r="F3182" s="3" t="s">
        <v>20</v>
      </c>
      <c r="G3182" s="3" t="s">
        <v>12809</v>
      </c>
      <c r="H3182" s="1" t="s">
        <v>22</v>
      </c>
      <c r="I3182" s="1" t="n">
        <v>20240429152433</v>
      </c>
      <c r="J3182" s="3" t="s">
        <v>12810</v>
      </c>
      <c r="K3182" s="3" t="s">
        <v>12811</v>
      </c>
      <c r="L3182" s="3" t="s">
        <v>10213</v>
      </c>
      <c r="M3182" s="3" t="n">
        <v>885880</v>
      </c>
      <c r="N3182" s="3" t="s">
        <v>5604</v>
      </c>
      <c r="O3182" s="1" t="n">
        <v>869494</v>
      </c>
      <c r="P3182" s="1" t="n">
        <v>98.15</v>
      </c>
      <c r="Q3182" s="1" t="s">
        <v>20</v>
      </c>
      <c r="R3182" s="1" t="s">
        <v>27</v>
      </c>
      <c r="S3182" s="1" t="s">
        <v>28</v>
      </c>
      <c r="T3182" s="1" t="s">
        <v>29</v>
      </c>
    </row>
    <row r="3183" customFormat="false" ht="18.7" hidden="false" customHeight="true" outlineLevel="0" collapsed="false">
      <c r="A3183" s="1" t="n">
        <v>3182</v>
      </c>
      <c r="B3183" s="6" t="str">
        <f aca="false">HYPERLINK("https://mncourtfraud.com/file/MCRO_27-CR-22-9720_Order-Evaluation for Competency to Proceed (Rule 20.01)_2022-12-14_20240429152452.pdf","MCRO_27-CR-22-9720_Order-Evaluation for Competency to Proceed (Rule 20.01)_2022-12-14_20240429152452.pdf")</f>
        <v>MCRO_27-CR-22-9720_Order-Evaluation for Competency to Proceed (Rule 20.01)_2022-12-14_20240429152452.pdf</v>
      </c>
      <c r="C3183" s="1" t="n">
        <v>4</v>
      </c>
      <c r="D3183" s="1" t="n">
        <v>1</v>
      </c>
      <c r="E3183" s="1" t="n">
        <v>1</v>
      </c>
      <c r="F3183" s="3" t="s">
        <v>20</v>
      </c>
      <c r="G3183" s="3" t="s">
        <v>12812</v>
      </c>
      <c r="H3183" s="1" t="s">
        <v>22</v>
      </c>
      <c r="I3183" s="1" t="n">
        <v>20240429152452</v>
      </c>
      <c r="J3183" s="3" t="s">
        <v>12813</v>
      </c>
      <c r="K3183" s="3" t="s">
        <v>12814</v>
      </c>
      <c r="L3183" s="3" t="s">
        <v>12815</v>
      </c>
      <c r="M3183" s="3" t="n">
        <v>95229</v>
      </c>
      <c r="N3183" s="3" t="s">
        <v>435</v>
      </c>
      <c r="O3183" s="1" t="n">
        <v>78843</v>
      </c>
      <c r="P3183" s="1" t="n">
        <v>82.79</v>
      </c>
      <c r="Q3183" s="1" t="s">
        <v>20</v>
      </c>
      <c r="R3183" s="1" t="s">
        <v>27</v>
      </c>
      <c r="S3183" s="1" t="s">
        <v>28</v>
      </c>
      <c r="T3183" s="1" t="s">
        <v>29</v>
      </c>
    </row>
    <row r="3184" customFormat="false" ht="18.7" hidden="false" customHeight="true" outlineLevel="0" collapsed="false">
      <c r="A3184" s="1" t="n">
        <v>3183</v>
      </c>
      <c r="B3184" s="6" t="str">
        <f aca="false">HYPERLINK("https://mncourtfraud.com/file/MCRO_27-CR-22-9720_Order-Evaluation for Competency to Proceed (Rule 20.01)_2023-04-04_20240429152447.pdf","MCRO_27-CR-22-9720_Order-Evaluation for Competency to Proceed (Rule 20.01)_2023-04-04_20240429152447.pdf")</f>
        <v>MCRO_27-CR-22-9720_Order-Evaluation for Competency to Proceed (Rule 20.01)_2023-04-04_20240429152447.pdf</v>
      </c>
      <c r="C3184" s="1" t="n">
        <v>5</v>
      </c>
      <c r="D3184" s="1" t="n">
        <v>1</v>
      </c>
      <c r="E3184" s="1" t="n">
        <v>1</v>
      </c>
      <c r="F3184" s="3" t="s">
        <v>20</v>
      </c>
      <c r="G3184" s="3" t="s">
        <v>12816</v>
      </c>
      <c r="H3184" s="1" t="s">
        <v>22</v>
      </c>
      <c r="I3184" s="1" t="n">
        <v>20240429152447</v>
      </c>
      <c r="J3184" s="3" t="s">
        <v>12817</v>
      </c>
      <c r="K3184" s="3" t="s">
        <v>12818</v>
      </c>
      <c r="L3184" s="3" t="s">
        <v>12819</v>
      </c>
      <c r="M3184" s="3" t="n">
        <v>760523</v>
      </c>
      <c r="N3184" s="3" t="s">
        <v>1091</v>
      </c>
      <c r="O3184" s="1" t="n">
        <v>744137</v>
      </c>
      <c r="P3184" s="1" t="n">
        <v>97.85</v>
      </c>
      <c r="Q3184" s="1" t="s">
        <v>20</v>
      </c>
      <c r="R3184" s="1" t="s">
        <v>27</v>
      </c>
      <c r="S3184" s="1" t="s">
        <v>28</v>
      </c>
      <c r="T3184" s="1" t="s">
        <v>29</v>
      </c>
    </row>
    <row r="3185" customFormat="false" ht="18.7" hidden="false" customHeight="true" outlineLevel="0" collapsed="false">
      <c r="A3185" s="1" t="n">
        <v>3184</v>
      </c>
      <c r="B3185" s="6" t="str">
        <f aca="false">HYPERLINK("https://mncourtfraud.com/file/MCRO_27-CR-22-9720_Order-Evaluation for Competency to Proceed (Rule 20.01)_2023-07-19_20240429152440.pdf","MCRO_27-CR-22-9720_Order-Evaluation for Competency to Proceed (Rule 20.01)_2023-07-19_20240429152440.pdf")</f>
        <v>MCRO_27-CR-22-9720_Order-Evaluation for Competency to Proceed (Rule 20.01)_2023-07-19_20240429152440.pdf</v>
      </c>
      <c r="C3185" s="1" t="n">
        <v>4</v>
      </c>
      <c r="D3185" s="1" t="n">
        <v>1</v>
      </c>
      <c r="E3185" s="1" t="n">
        <v>1</v>
      </c>
      <c r="F3185" s="3" t="s">
        <v>20</v>
      </c>
      <c r="G3185" s="3" t="s">
        <v>12820</v>
      </c>
      <c r="H3185" s="1" t="s">
        <v>22</v>
      </c>
      <c r="I3185" s="1" t="n">
        <v>20240429152440</v>
      </c>
      <c r="J3185" s="3" t="s">
        <v>12821</v>
      </c>
      <c r="K3185" s="3" t="s">
        <v>12822</v>
      </c>
      <c r="L3185" s="3" t="s">
        <v>12823</v>
      </c>
      <c r="M3185" s="3" t="n">
        <v>139302</v>
      </c>
      <c r="N3185" s="3" t="s">
        <v>1159</v>
      </c>
      <c r="O3185" s="1" t="n">
        <v>122916</v>
      </c>
      <c r="P3185" s="1" t="n">
        <v>88.24</v>
      </c>
      <c r="Q3185" s="1" t="s">
        <v>20</v>
      </c>
      <c r="R3185" s="1" t="s">
        <v>27</v>
      </c>
      <c r="S3185" s="1" t="s">
        <v>28</v>
      </c>
      <c r="T3185" s="1" t="s">
        <v>29</v>
      </c>
    </row>
    <row r="3186" customFormat="false" ht="18.7" hidden="false" customHeight="true" outlineLevel="0" collapsed="false">
      <c r="A3186" s="1" t="n">
        <v>3185</v>
      </c>
      <c r="B3186" s="6" t="str">
        <f aca="false">HYPERLINK("https://mncourtfraud.com/file/MCRO_27-CR-22-9720_Order-Evaluation for Competency to Proceed (Rule 20.01)_2023-11-28_20240429152435.pdf","MCRO_27-CR-22-9720_Order-Evaluation for Competency to Proceed (Rule 20.01)_2023-11-28_20240429152435.pdf")</f>
        <v>MCRO_27-CR-22-9720_Order-Evaluation for Competency to Proceed (Rule 20.01)_2023-11-28_20240429152435.pdf</v>
      </c>
      <c r="C3186" s="1" t="n">
        <v>4</v>
      </c>
      <c r="D3186" s="1" t="n">
        <v>1</v>
      </c>
      <c r="E3186" s="1" t="n">
        <v>1</v>
      </c>
      <c r="F3186" s="3" t="s">
        <v>20</v>
      </c>
      <c r="G3186" s="3" t="s">
        <v>12824</v>
      </c>
      <c r="H3186" s="1" t="s">
        <v>22</v>
      </c>
      <c r="I3186" s="1" t="n">
        <v>20240429152435</v>
      </c>
      <c r="J3186" s="3" t="s">
        <v>12825</v>
      </c>
      <c r="K3186" s="3" t="s">
        <v>12826</v>
      </c>
      <c r="L3186" s="3" t="s">
        <v>12827</v>
      </c>
      <c r="M3186" s="3" t="n">
        <v>143644</v>
      </c>
      <c r="N3186" s="3" t="s">
        <v>1159</v>
      </c>
      <c r="O3186" s="1" t="n">
        <v>127258</v>
      </c>
      <c r="P3186" s="1" t="n">
        <v>88.59</v>
      </c>
      <c r="Q3186" s="1" t="s">
        <v>20</v>
      </c>
      <c r="R3186" s="1" t="s">
        <v>27</v>
      </c>
      <c r="S3186" s="1" t="s">
        <v>28</v>
      </c>
      <c r="T3186" s="1" t="s">
        <v>29</v>
      </c>
    </row>
    <row r="3187" customFormat="false" ht="18.7" hidden="false" customHeight="true" outlineLevel="0" collapsed="false">
      <c r="A3187" s="1" t="n">
        <v>3186</v>
      </c>
      <c r="B3187" s="6" t="str">
        <f aca="false">HYPERLINK("https://mncourtfraud.com/file/MCRO_27-CR-22-9720_Returned Mail_2023-03-17_20240429152447.pdf","MCRO_27-CR-22-9720_Returned Mail_2023-03-17_20240429152447.pdf")</f>
        <v>MCRO_27-CR-22-9720_Returned Mail_2023-03-17_20240429152447.pdf</v>
      </c>
      <c r="C3187" s="1" t="n">
        <v>4</v>
      </c>
      <c r="D3187" s="1" t="n">
        <v>1</v>
      </c>
      <c r="E3187" s="1" t="n">
        <v>1</v>
      </c>
      <c r="F3187" s="3" t="s">
        <v>20</v>
      </c>
      <c r="G3187" s="3" t="s">
        <v>12828</v>
      </c>
      <c r="H3187" s="1" t="s">
        <v>22</v>
      </c>
      <c r="I3187" s="1" t="n">
        <v>20240429152447</v>
      </c>
      <c r="J3187" s="3" t="s">
        <v>12829</v>
      </c>
      <c r="K3187" s="3" t="s">
        <v>12830</v>
      </c>
      <c r="L3187" s="3" t="s">
        <v>12831</v>
      </c>
      <c r="M3187" s="3" t="n">
        <v>279744</v>
      </c>
      <c r="N3187" s="3" t="s">
        <v>158</v>
      </c>
      <c r="O3187" s="1" t="n">
        <v>263358</v>
      </c>
      <c r="P3187" s="1" t="n">
        <v>94.14</v>
      </c>
      <c r="Q3187" s="1" t="s">
        <v>20</v>
      </c>
      <c r="R3187" s="1" t="s">
        <v>27</v>
      </c>
      <c r="S3187" s="1" t="s">
        <v>28</v>
      </c>
      <c r="T3187" s="1" t="s">
        <v>29</v>
      </c>
    </row>
    <row r="3188" customFormat="false" ht="18.7" hidden="false" customHeight="true" outlineLevel="0" collapsed="false">
      <c r="A3188" s="1" t="n">
        <v>3187</v>
      </c>
      <c r="B3188" s="6" t="str">
        <f aca="false">HYPERLINK("https://mncourtfraud.com/file/MCRO_27-CR-22-9720_Returned Mail_2023-06-22_20240429152443.pdf","MCRO_27-CR-22-9720_Returned Mail_2023-06-22_20240429152443.pdf")</f>
        <v>MCRO_27-CR-22-9720_Returned Mail_2023-06-22_20240429152443.pdf</v>
      </c>
      <c r="C3188" s="1" t="n">
        <v>4</v>
      </c>
      <c r="D3188" s="1" t="n">
        <v>1</v>
      </c>
      <c r="E3188" s="1" t="n">
        <v>1</v>
      </c>
      <c r="F3188" s="3" t="s">
        <v>20</v>
      </c>
      <c r="G3188" s="3" t="s">
        <v>12832</v>
      </c>
      <c r="H3188" s="1" t="s">
        <v>22</v>
      </c>
      <c r="I3188" s="1" t="n">
        <v>20240429152443</v>
      </c>
      <c r="J3188" s="3" t="s">
        <v>12833</v>
      </c>
      <c r="K3188" s="3" t="s">
        <v>12834</v>
      </c>
      <c r="L3188" s="3" t="s">
        <v>12835</v>
      </c>
      <c r="M3188" s="3" t="n">
        <v>268473</v>
      </c>
      <c r="N3188" s="3" t="s">
        <v>158</v>
      </c>
      <c r="O3188" s="1" t="n">
        <v>252087</v>
      </c>
      <c r="P3188" s="1" t="n">
        <v>93.9</v>
      </c>
      <c r="Q3188" s="1" t="s">
        <v>20</v>
      </c>
      <c r="R3188" s="1" t="s">
        <v>27</v>
      </c>
      <c r="S3188" s="1" t="s">
        <v>28</v>
      </c>
      <c r="T3188" s="1" t="s">
        <v>29</v>
      </c>
    </row>
    <row r="3189" customFormat="false" ht="18.7" hidden="false" customHeight="true" outlineLevel="0" collapsed="false">
      <c r="A3189" s="1" t="n">
        <v>3188</v>
      </c>
      <c r="B3189" s="6" t="str">
        <f aca="false">HYPERLINK("https://mncourtfraud.com/file/MCRO_27-CR-22-9720_Summons_2022-08-12_20240429152454.pdf","MCRO_27-CR-22-9720_Summons_2022-08-12_20240429152454.pdf")</f>
        <v>MCRO_27-CR-22-9720_Summons_2022-08-12_20240429152454.pdf</v>
      </c>
      <c r="C3189" s="1" t="n">
        <v>5</v>
      </c>
      <c r="D3189" s="1" t="n">
        <v>1</v>
      </c>
      <c r="E3189" s="1" t="n">
        <v>1</v>
      </c>
      <c r="F3189" s="3" t="s">
        <v>20</v>
      </c>
      <c r="G3189" s="3" t="s">
        <v>12836</v>
      </c>
      <c r="H3189" s="1" t="s">
        <v>22</v>
      </c>
      <c r="I3189" s="1" t="n">
        <v>20240429152454</v>
      </c>
      <c r="J3189" s="3" t="s">
        <v>12837</v>
      </c>
      <c r="K3189" s="3" t="s">
        <v>12838</v>
      </c>
      <c r="L3189" s="3" t="s">
        <v>12839</v>
      </c>
      <c r="M3189" s="3" t="n">
        <v>703049</v>
      </c>
      <c r="N3189" s="3" t="s">
        <v>2723</v>
      </c>
      <c r="O3189" s="1" t="n">
        <v>686663</v>
      </c>
      <c r="P3189" s="1" t="n">
        <v>97.67</v>
      </c>
      <c r="Q3189" s="1" t="s">
        <v>20</v>
      </c>
      <c r="R3189" s="1" t="s">
        <v>27</v>
      </c>
      <c r="S3189" s="1" t="s">
        <v>28</v>
      </c>
      <c r="T3189" s="1" t="s">
        <v>29</v>
      </c>
    </row>
    <row r="3190" customFormat="false" ht="18.7" hidden="false" customHeight="true" outlineLevel="0" collapsed="false">
      <c r="A3190" s="1" t="n">
        <v>3189</v>
      </c>
      <c r="B3190" s="6" t="str">
        <f aca="false">HYPERLINK("https://mncourtfraud.com/file/MCRO_27-CR-23-10954_Notice of Hearing_2023-05-26_20240430073852.pdf","MCRO_27-CR-23-10954_Notice of Hearing_2023-05-26_20240430073852.pdf")</f>
        <v>MCRO_27-CR-23-10954_Notice of Hearing_2023-05-26_20240430073852.pdf</v>
      </c>
      <c r="C3190" s="1" t="n">
        <v>4</v>
      </c>
      <c r="D3190" s="1" t="n">
        <v>1</v>
      </c>
      <c r="E3190" s="1" t="n">
        <v>1</v>
      </c>
      <c r="F3190" s="3" t="s">
        <v>20</v>
      </c>
      <c r="G3190" s="3" t="s">
        <v>12840</v>
      </c>
      <c r="H3190" s="1" t="s">
        <v>22</v>
      </c>
      <c r="I3190" s="1" t="n">
        <v>20240430073852</v>
      </c>
      <c r="J3190" s="3" t="s">
        <v>12841</v>
      </c>
      <c r="K3190" s="3" t="s">
        <v>12842</v>
      </c>
      <c r="L3190" s="3" t="s">
        <v>12843</v>
      </c>
      <c r="M3190" s="3" t="n">
        <v>439773</v>
      </c>
      <c r="N3190" s="3" t="s">
        <v>158</v>
      </c>
      <c r="O3190" s="1" t="n">
        <v>423387</v>
      </c>
      <c r="P3190" s="1" t="n">
        <v>96.27</v>
      </c>
      <c r="Q3190" s="1" t="s">
        <v>20</v>
      </c>
      <c r="R3190" s="1" t="s">
        <v>27</v>
      </c>
      <c r="S3190" s="1" t="s">
        <v>28</v>
      </c>
      <c r="T3190" s="1" t="s">
        <v>29</v>
      </c>
    </row>
    <row r="3191" customFormat="false" ht="18.7" hidden="false" customHeight="true" outlineLevel="0" collapsed="false">
      <c r="A3191" s="1" t="n">
        <v>3190</v>
      </c>
      <c r="B3191" s="6" t="str">
        <f aca="false">HYPERLINK("https://mncourtfraud.com/file/MCRO_27-CR-23-10954_Notice of Hearing_2023-09-12_20240430073847.pdf","MCRO_27-CR-23-10954_Notice of Hearing_2023-09-12_20240430073847.pdf")</f>
        <v>MCRO_27-CR-23-10954_Notice of Hearing_2023-09-12_20240430073847.pdf</v>
      </c>
      <c r="C3191" s="1" t="n">
        <v>4</v>
      </c>
      <c r="D3191" s="1" t="n">
        <v>1</v>
      </c>
      <c r="E3191" s="1" t="n">
        <v>1</v>
      </c>
      <c r="F3191" s="3" t="s">
        <v>20</v>
      </c>
      <c r="G3191" s="3" t="s">
        <v>12844</v>
      </c>
      <c r="H3191" s="1" t="s">
        <v>22</v>
      </c>
      <c r="I3191" s="1" t="n">
        <v>20240430073847</v>
      </c>
      <c r="J3191" s="3" t="s">
        <v>12845</v>
      </c>
      <c r="K3191" s="3" t="s">
        <v>12846</v>
      </c>
      <c r="L3191" s="3" t="s">
        <v>6928</v>
      </c>
      <c r="M3191" s="3" t="n">
        <v>730183</v>
      </c>
      <c r="N3191" s="3" t="s">
        <v>913</v>
      </c>
      <c r="O3191" s="1" t="n">
        <v>713797</v>
      </c>
      <c r="P3191" s="1" t="n">
        <v>97.76</v>
      </c>
      <c r="Q3191" s="1" t="s">
        <v>20</v>
      </c>
      <c r="R3191" s="1" t="s">
        <v>27</v>
      </c>
      <c r="S3191" s="1" t="s">
        <v>28</v>
      </c>
      <c r="T3191" s="1" t="s">
        <v>29</v>
      </c>
    </row>
    <row r="3192" customFormat="false" ht="18.7" hidden="false" customHeight="true" outlineLevel="0" collapsed="false">
      <c r="A3192" s="1" t="n">
        <v>3191</v>
      </c>
      <c r="B3192" s="6" t="str">
        <f aca="false">HYPERLINK("https://mncourtfraud.com/file/MCRO_27-CR-23-10954_Notice of Hearing_2023-10-18_20240430073845.pdf","MCRO_27-CR-23-10954_Notice of Hearing_2023-10-18_20240430073845.pdf")</f>
        <v>MCRO_27-CR-23-10954_Notice of Hearing_2023-10-18_20240430073845.pdf</v>
      </c>
      <c r="C3192" s="1" t="n">
        <v>4</v>
      </c>
      <c r="D3192" s="1" t="n">
        <v>1</v>
      </c>
      <c r="E3192" s="1" t="n">
        <v>1</v>
      </c>
      <c r="F3192" s="3" t="s">
        <v>20</v>
      </c>
      <c r="G3192" s="3" t="s">
        <v>12847</v>
      </c>
      <c r="H3192" s="1" t="s">
        <v>22</v>
      </c>
      <c r="I3192" s="1" t="n">
        <v>20240430073845</v>
      </c>
      <c r="J3192" s="3" t="s">
        <v>12848</v>
      </c>
      <c r="K3192" s="3" t="s">
        <v>12849</v>
      </c>
      <c r="L3192" s="3" t="s">
        <v>12850</v>
      </c>
      <c r="M3192" s="3" t="n">
        <v>714579</v>
      </c>
      <c r="N3192" s="3" t="s">
        <v>500</v>
      </c>
      <c r="O3192" s="1" t="n">
        <v>698193</v>
      </c>
      <c r="P3192" s="1" t="n">
        <v>97.71</v>
      </c>
      <c r="Q3192" s="1" t="s">
        <v>20</v>
      </c>
      <c r="R3192" s="1" t="s">
        <v>27</v>
      </c>
      <c r="S3192" s="1" t="s">
        <v>28</v>
      </c>
      <c r="T3192" s="1" t="s">
        <v>29</v>
      </c>
    </row>
    <row r="3193" customFormat="false" ht="18.7" hidden="false" customHeight="true" outlineLevel="0" collapsed="false">
      <c r="A3193" s="1" t="n">
        <v>3192</v>
      </c>
      <c r="B3193" s="6" t="str">
        <f aca="false">HYPERLINK("https://mncourtfraud.com/file/MCRO_27-CR-23-10954_Notice of Hearing_2023-12-15_20240430073845.pdf","MCRO_27-CR-23-10954_Notice of Hearing_2023-12-15_20240430073845.pdf")</f>
        <v>MCRO_27-CR-23-10954_Notice of Hearing_2023-12-15_20240430073845.pdf</v>
      </c>
      <c r="C3193" s="1" t="n">
        <v>4</v>
      </c>
      <c r="D3193" s="1" t="n">
        <v>1</v>
      </c>
      <c r="E3193" s="1" t="n">
        <v>1</v>
      </c>
      <c r="F3193" s="3" t="s">
        <v>20</v>
      </c>
      <c r="G3193" s="3" t="s">
        <v>12851</v>
      </c>
      <c r="H3193" s="1" t="s">
        <v>22</v>
      </c>
      <c r="I3193" s="1" t="n">
        <v>20240430073845</v>
      </c>
      <c r="J3193" s="3" t="s">
        <v>12848</v>
      </c>
      <c r="K3193" s="3" t="s">
        <v>12849</v>
      </c>
      <c r="L3193" s="3" t="s">
        <v>6932</v>
      </c>
      <c r="M3193" s="3" t="n">
        <v>730177</v>
      </c>
      <c r="N3193" s="3" t="s">
        <v>913</v>
      </c>
      <c r="O3193" s="1" t="n">
        <v>713791</v>
      </c>
      <c r="P3193" s="1" t="n">
        <v>97.76</v>
      </c>
      <c r="Q3193" s="1" t="s">
        <v>20</v>
      </c>
      <c r="R3193" s="1" t="s">
        <v>27</v>
      </c>
      <c r="S3193" s="1" t="s">
        <v>28</v>
      </c>
      <c r="T3193" s="1" t="s">
        <v>29</v>
      </c>
    </row>
    <row r="3194" customFormat="false" ht="18.7" hidden="false" customHeight="true" outlineLevel="0" collapsed="false">
      <c r="A3194" s="1" t="n">
        <v>3193</v>
      </c>
      <c r="B3194" s="6" t="str">
        <f aca="false">HYPERLINK("https://mncourtfraud.com/file/MCRO_27-CR-23-10954_Notice of Remote Hearing with Instructions_2023-07-19_20240430073850.pdf","MCRO_27-CR-23-10954_Notice of Remote Hearing with Instructions_2023-07-19_20240430073850.pdf")</f>
        <v>MCRO_27-CR-23-10954_Notice of Remote Hearing with Instructions_2023-07-19_20240430073850.pdf</v>
      </c>
      <c r="C3194" s="1" t="n">
        <v>5</v>
      </c>
      <c r="D3194" s="1" t="n">
        <v>1</v>
      </c>
      <c r="E3194" s="1" t="n">
        <v>1</v>
      </c>
      <c r="F3194" s="3" t="s">
        <v>20</v>
      </c>
      <c r="G3194" s="3" t="s">
        <v>12852</v>
      </c>
      <c r="H3194" s="1" t="s">
        <v>22</v>
      </c>
      <c r="I3194" s="1" t="n">
        <v>20240430073850</v>
      </c>
      <c r="J3194" s="3" t="s">
        <v>12853</v>
      </c>
      <c r="K3194" s="3" t="s">
        <v>12854</v>
      </c>
      <c r="L3194" s="3" t="s">
        <v>12855</v>
      </c>
      <c r="M3194" s="3" t="n">
        <v>846246</v>
      </c>
      <c r="N3194" s="3" t="s">
        <v>11628</v>
      </c>
      <c r="O3194" s="1" t="n">
        <v>829860</v>
      </c>
      <c r="P3194" s="1" t="n">
        <v>98.06</v>
      </c>
      <c r="Q3194" s="1" t="s">
        <v>20</v>
      </c>
      <c r="R3194" s="1" t="s">
        <v>27</v>
      </c>
      <c r="S3194" s="1" t="s">
        <v>28</v>
      </c>
      <c r="T3194" s="1" t="s">
        <v>29</v>
      </c>
    </row>
    <row r="3195" customFormat="false" ht="18.7" hidden="false" customHeight="true" outlineLevel="0" collapsed="false">
      <c r="A3195" s="1" t="n">
        <v>3194</v>
      </c>
      <c r="B3195" s="6" t="str">
        <f aca="false">HYPERLINK("https://mncourtfraud.com/file/MCRO_27-CR-23-10954_Notice of Remote Hearing with Instructions_2023-08-29_20240430073848.pdf","MCRO_27-CR-23-10954_Notice of Remote Hearing with Instructions_2023-08-29_20240430073848.pdf")</f>
        <v>MCRO_27-CR-23-10954_Notice of Remote Hearing with Instructions_2023-08-29_20240430073848.pdf</v>
      </c>
      <c r="C3195" s="1" t="n">
        <v>5</v>
      </c>
      <c r="D3195" s="1" t="n">
        <v>1</v>
      </c>
      <c r="E3195" s="1" t="n">
        <v>1</v>
      </c>
      <c r="F3195" s="3" t="s">
        <v>20</v>
      </c>
      <c r="G3195" s="3" t="s">
        <v>12856</v>
      </c>
      <c r="H3195" s="1" t="s">
        <v>22</v>
      </c>
      <c r="I3195" s="1" t="n">
        <v>20240430073848</v>
      </c>
      <c r="J3195" s="3" t="s">
        <v>12857</v>
      </c>
      <c r="K3195" s="3" t="s">
        <v>12858</v>
      </c>
      <c r="L3195" s="3" t="s">
        <v>12859</v>
      </c>
      <c r="M3195" s="3" t="n">
        <v>854755</v>
      </c>
      <c r="N3195" s="3" t="s">
        <v>1248</v>
      </c>
      <c r="O3195" s="1" t="n">
        <v>838369</v>
      </c>
      <c r="P3195" s="1" t="n">
        <v>98.08</v>
      </c>
      <c r="Q3195" s="1" t="s">
        <v>20</v>
      </c>
      <c r="R3195" s="1" t="s">
        <v>27</v>
      </c>
      <c r="S3195" s="1" t="s">
        <v>28</v>
      </c>
      <c r="T3195" s="1" t="s">
        <v>29</v>
      </c>
    </row>
    <row r="3196" customFormat="false" ht="18.7" hidden="false" customHeight="true" outlineLevel="0" collapsed="false">
      <c r="A3196" s="1" t="n">
        <v>3195</v>
      </c>
      <c r="B3196" s="6" t="str">
        <f aca="false">HYPERLINK("https://mncourtfraud.com/file/MCRO_27-CR-23-10954_Notice of Remote Hearing with Instructions_2023-10-17_20240430073846.pdf","MCRO_27-CR-23-10954_Notice of Remote Hearing with Instructions_2023-10-17_20240430073846.pdf")</f>
        <v>MCRO_27-CR-23-10954_Notice of Remote Hearing with Instructions_2023-10-17_20240430073846.pdf</v>
      </c>
      <c r="C3196" s="1" t="n">
        <v>5</v>
      </c>
      <c r="D3196" s="1" t="n">
        <v>1</v>
      </c>
      <c r="E3196" s="1" t="n">
        <v>1</v>
      </c>
      <c r="F3196" s="3" t="s">
        <v>20</v>
      </c>
      <c r="G3196" s="3" t="s">
        <v>12860</v>
      </c>
      <c r="H3196" s="1" t="s">
        <v>22</v>
      </c>
      <c r="I3196" s="1" t="n">
        <v>20240430073846</v>
      </c>
      <c r="J3196" s="3" t="s">
        <v>12861</v>
      </c>
      <c r="K3196" s="3" t="s">
        <v>12862</v>
      </c>
      <c r="L3196" s="3" t="s">
        <v>12863</v>
      </c>
      <c r="M3196" s="3" t="n">
        <v>843092</v>
      </c>
      <c r="N3196" s="3" t="s">
        <v>12864</v>
      </c>
      <c r="O3196" s="1" t="n">
        <v>826706</v>
      </c>
      <c r="P3196" s="1" t="n">
        <v>98.06</v>
      </c>
      <c r="Q3196" s="1" t="s">
        <v>20</v>
      </c>
      <c r="R3196" s="1" t="s">
        <v>27</v>
      </c>
      <c r="S3196" s="1" t="s">
        <v>28</v>
      </c>
      <c r="T3196" s="1" t="s">
        <v>29</v>
      </c>
    </row>
    <row r="3197" customFormat="false" ht="18.7" hidden="false" customHeight="true" outlineLevel="0" collapsed="false">
      <c r="A3197" s="1" t="n">
        <v>3196</v>
      </c>
      <c r="B3197" s="6" t="str">
        <f aca="false">HYPERLINK("https://mncourtfraud.com/file/MCRO_27-CR-23-10954_Order for Conditional Release_2023-05-26_20240430073851.pdf","MCRO_27-CR-23-10954_Order for Conditional Release_2023-05-26_20240430073851.pdf")</f>
        <v>MCRO_27-CR-23-10954_Order for Conditional Release_2023-05-26_20240430073851.pdf</v>
      </c>
      <c r="C3197" s="1" t="n">
        <v>4</v>
      </c>
      <c r="D3197" s="1" t="n">
        <v>1</v>
      </c>
      <c r="E3197" s="1" t="n">
        <v>1</v>
      </c>
      <c r="F3197" s="3" t="s">
        <v>20</v>
      </c>
      <c r="G3197" s="3" t="s">
        <v>12865</v>
      </c>
      <c r="H3197" s="1" t="s">
        <v>22</v>
      </c>
      <c r="I3197" s="1" t="n">
        <v>20240430073851</v>
      </c>
      <c r="J3197" s="3" t="s">
        <v>12866</v>
      </c>
      <c r="K3197" s="3" t="s">
        <v>12867</v>
      </c>
      <c r="L3197" s="3" t="s">
        <v>12868</v>
      </c>
      <c r="M3197" s="3" t="n">
        <v>832969</v>
      </c>
      <c r="N3197" s="3" t="s">
        <v>158</v>
      </c>
      <c r="O3197" s="1" t="n">
        <v>816583</v>
      </c>
      <c r="P3197" s="1" t="n">
        <v>98.03</v>
      </c>
      <c r="Q3197" s="1" t="s">
        <v>20</v>
      </c>
      <c r="R3197" s="1" t="s">
        <v>27</v>
      </c>
      <c r="S3197" s="1" t="s">
        <v>28</v>
      </c>
      <c r="T3197" s="1" t="s">
        <v>29</v>
      </c>
    </row>
    <row r="3198" customFormat="false" ht="18.7" hidden="false" customHeight="true" outlineLevel="0" collapsed="false">
      <c r="A3198" s="1" t="n">
        <v>3197</v>
      </c>
      <c r="B3198" s="6" t="str">
        <f aca="false">HYPERLINK("https://mncourtfraud.com/file/MCRO_27-CR-23-1101_Amended Criminal Complaint_2023-01-17_20240430072140.pdf","MCRO_27-CR-23-1101_Amended Criminal Complaint_2023-01-17_20240430072140.pdf")</f>
        <v>MCRO_27-CR-23-1101_Amended Criminal Complaint_2023-01-17_20240430072140.pdf</v>
      </c>
      <c r="C3198" s="1" t="n">
        <v>5</v>
      </c>
      <c r="D3198" s="1" t="n">
        <v>1</v>
      </c>
      <c r="E3198" s="1" t="n">
        <v>1</v>
      </c>
      <c r="F3198" s="3" t="s">
        <v>20</v>
      </c>
      <c r="G3198" s="3" t="s">
        <v>12869</v>
      </c>
      <c r="H3198" s="1" t="s">
        <v>22</v>
      </c>
      <c r="I3198" s="1" t="n">
        <v>20240430072140</v>
      </c>
      <c r="J3198" s="3" t="s">
        <v>12870</v>
      </c>
      <c r="K3198" s="3" t="s">
        <v>12871</v>
      </c>
      <c r="L3198" s="3" t="s">
        <v>12872</v>
      </c>
      <c r="M3198" s="3" t="n">
        <v>1403191</v>
      </c>
      <c r="N3198" s="3" t="s">
        <v>12873</v>
      </c>
      <c r="O3198" s="1" t="n">
        <v>1386805</v>
      </c>
      <c r="P3198" s="1" t="n">
        <v>98.83</v>
      </c>
      <c r="Q3198" s="1" t="s">
        <v>20</v>
      </c>
      <c r="R3198" s="1" t="s">
        <v>27</v>
      </c>
      <c r="S3198" s="1" t="s">
        <v>28</v>
      </c>
      <c r="T3198" s="1" t="s">
        <v>29</v>
      </c>
    </row>
    <row r="3199" customFormat="false" ht="18.7" hidden="false" customHeight="true" outlineLevel="0" collapsed="false">
      <c r="A3199" s="1" t="n">
        <v>3198</v>
      </c>
      <c r="B3199" s="6" t="str">
        <f aca="false">HYPERLINK("https://mncourtfraud.com/file/MCRO_27-CR-23-1101_Amended Criminal Complaint_2023-04-12_20240430072138.pdf","MCRO_27-CR-23-1101_Amended Criminal Complaint_2023-04-12_20240430072138.pdf")</f>
        <v>MCRO_27-CR-23-1101_Amended Criminal Complaint_2023-04-12_20240430072138.pdf</v>
      </c>
      <c r="C3199" s="1" t="n">
        <v>4</v>
      </c>
      <c r="D3199" s="1" t="n">
        <v>1</v>
      </c>
      <c r="E3199" s="1" t="n">
        <v>1</v>
      </c>
      <c r="F3199" s="3" t="s">
        <v>20</v>
      </c>
      <c r="G3199" s="3" t="s">
        <v>12874</v>
      </c>
      <c r="H3199" s="1" t="s">
        <v>22</v>
      </c>
      <c r="I3199" s="1" t="n">
        <v>20240430072138</v>
      </c>
      <c r="J3199" s="3" t="s">
        <v>12875</v>
      </c>
      <c r="K3199" s="3" t="s">
        <v>12876</v>
      </c>
      <c r="L3199" s="3" t="s">
        <v>12877</v>
      </c>
      <c r="M3199" s="3" t="n">
        <v>1023658</v>
      </c>
      <c r="N3199" s="3" t="s">
        <v>12864</v>
      </c>
      <c r="O3199" s="1" t="n">
        <v>1007272</v>
      </c>
      <c r="P3199" s="1" t="n">
        <v>98.4</v>
      </c>
      <c r="Q3199" s="1" t="s">
        <v>20</v>
      </c>
      <c r="R3199" s="1" t="s">
        <v>27</v>
      </c>
      <c r="S3199" s="1" t="s">
        <v>28</v>
      </c>
      <c r="T3199" s="1" t="s">
        <v>29</v>
      </c>
    </row>
    <row r="3200" customFormat="false" ht="18.7" hidden="false" customHeight="true" outlineLevel="0" collapsed="false">
      <c r="A3200" s="1" t="n">
        <v>3199</v>
      </c>
      <c r="B3200" s="6" t="str">
        <f aca="false">HYPERLINK("https://mncourtfraud.com/file/MCRO_27-CR-23-1101_Amended Criminal Complaint_2023-04-17_20240430072137.pdf","MCRO_27-CR-23-1101_Amended Criminal Complaint_2023-04-17_20240430072137.pdf")</f>
        <v>MCRO_27-CR-23-1101_Amended Criminal Complaint_2023-04-17_20240430072137.pdf</v>
      </c>
      <c r="C3200" s="1" t="n">
        <v>5</v>
      </c>
      <c r="D3200" s="1" t="n">
        <v>1</v>
      </c>
      <c r="E3200" s="1" t="n">
        <v>1</v>
      </c>
      <c r="F3200" s="3" t="s">
        <v>20</v>
      </c>
      <c r="G3200" s="3" t="s">
        <v>12878</v>
      </c>
      <c r="H3200" s="1" t="s">
        <v>22</v>
      </c>
      <c r="I3200" s="1" t="n">
        <v>20240430072137</v>
      </c>
      <c r="J3200" s="3" t="s">
        <v>12879</v>
      </c>
      <c r="K3200" s="3" t="s">
        <v>12880</v>
      </c>
      <c r="L3200" s="3" t="s">
        <v>12881</v>
      </c>
      <c r="M3200" s="3" t="n">
        <v>1399726</v>
      </c>
      <c r="N3200" s="3" t="s">
        <v>12882</v>
      </c>
      <c r="O3200" s="1" t="n">
        <v>1383340</v>
      </c>
      <c r="P3200" s="1" t="n">
        <v>98.83</v>
      </c>
      <c r="Q3200" s="1" t="s">
        <v>20</v>
      </c>
      <c r="R3200" s="1" t="s">
        <v>27</v>
      </c>
      <c r="S3200" s="1" t="s">
        <v>28</v>
      </c>
      <c r="T3200" s="1" t="s">
        <v>29</v>
      </c>
    </row>
    <row r="3201" customFormat="false" ht="18.7" hidden="false" customHeight="true" outlineLevel="0" collapsed="false">
      <c r="A3201" s="1" t="n">
        <v>3200</v>
      </c>
      <c r="B3201" s="6" t="str">
        <f aca="false">HYPERLINK("https://mncourtfraud.com/file/MCRO_27-CR-23-1101_Finding of Incompetency and Order_2023-08-30_20240430072129.pdf","MCRO_27-CR-23-1101_Finding of Incompetency and Order_2023-08-30_20240430072129.pdf")</f>
        <v>MCRO_27-CR-23-1101_Finding of Incompetency and Order_2023-08-30_20240430072129.pdf</v>
      </c>
      <c r="C3201" s="1" t="n">
        <v>7</v>
      </c>
      <c r="D3201" s="1" t="n">
        <v>2</v>
      </c>
      <c r="E3201" s="1" t="n">
        <v>2</v>
      </c>
      <c r="F3201" s="3" t="s">
        <v>27</v>
      </c>
      <c r="G3201" s="3" t="s">
        <v>12883</v>
      </c>
      <c r="H3201" s="1" t="s">
        <v>22</v>
      </c>
      <c r="I3201" s="1" t="n">
        <v>20240430072129</v>
      </c>
      <c r="J3201" s="3" t="s">
        <v>12884</v>
      </c>
      <c r="K3201" s="3" t="s">
        <v>12885</v>
      </c>
      <c r="L3201" s="3" t="s">
        <v>12886</v>
      </c>
      <c r="M3201" s="3" t="n">
        <v>900079</v>
      </c>
      <c r="N3201" s="3" t="s">
        <v>9997</v>
      </c>
      <c r="O3201" s="1" t="n">
        <v>883693</v>
      </c>
      <c r="P3201" s="1" t="n">
        <v>98.18</v>
      </c>
      <c r="Q3201" s="1" t="s">
        <v>20</v>
      </c>
      <c r="R3201" s="1" t="s">
        <v>27</v>
      </c>
      <c r="S3201" s="1" t="s">
        <v>28</v>
      </c>
      <c r="T3201" s="1" t="s">
        <v>29</v>
      </c>
    </row>
    <row r="3202" customFormat="false" ht="18.7" hidden="false" customHeight="true" outlineLevel="0" collapsed="false">
      <c r="A3202" s="1" t="n">
        <v>3201</v>
      </c>
      <c r="B3202" s="6" t="str">
        <f aca="false">HYPERLINK("https://mncourtfraud.com/file/MCRO_27-CR-23-1101_Finding of Incompetency and Order_2024-04-04_20240430072125.pdf","MCRO_27-CR-23-1101_Finding of Incompetency and Order_2024-04-04_20240430072125.pdf")</f>
        <v>MCRO_27-CR-23-1101_Finding of Incompetency and Order_2024-04-04_20240430072125.pdf</v>
      </c>
      <c r="C3202" s="1" t="n">
        <v>5</v>
      </c>
      <c r="D3202" s="1" t="n">
        <v>1</v>
      </c>
      <c r="E3202" s="1" t="n">
        <v>1</v>
      </c>
      <c r="F3202" s="3" t="s">
        <v>20</v>
      </c>
      <c r="G3202" s="3" t="s">
        <v>12887</v>
      </c>
      <c r="H3202" s="1" t="s">
        <v>22</v>
      </c>
      <c r="I3202" s="1" t="n">
        <v>20240430072125</v>
      </c>
      <c r="J3202" s="3" t="s">
        <v>12888</v>
      </c>
      <c r="K3202" s="3" t="s">
        <v>12889</v>
      </c>
      <c r="L3202" s="3" t="s">
        <v>12890</v>
      </c>
      <c r="M3202" s="3" t="n">
        <v>809740</v>
      </c>
      <c r="N3202" s="3" t="s">
        <v>2342</v>
      </c>
      <c r="O3202" s="1" t="n">
        <v>793354</v>
      </c>
      <c r="P3202" s="1" t="n">
        <v>97.98</v>
      </c>
      <c r="Q3202" s="1" t="s">
        <v>20</v>
      </c>
      <c r="R3202" s="1" t="s">
        <v>27</v>
      </c>
      <c r="S3202" s="1" t="s">
        <v>28</v>
      </c>
      <c r="T3202" s="1" t="s">
        <v>29</v>
      </c>
    </row>
    <row r="3203" customFormat="false" ht="18.7" hidden="false" customHeight="true" outlineLevel="0" collapsed="false">
      <c r="A3203" s="1" t="n">
        <v>3202</v>
      </c>
      <c r="B3203" s="6" t="str">
        <f aca="false">HYPERLINK("https://mncourtfraud.com/file/MCRO_27-CR-23-1101_Notice of Hearing_2023-04-11_20240430072139.pdf","MCRO_27-CR-23-1101_Notice of Hearing_2023-04-11_20240430072139.pdf")</f>
        <v>MCRO_27-CR-23-1101_Notice of Hearing_2023-04-11_20240430072139.pdf</v>
      </c>
      <c r="C3203" s="1" t="n">
        <v>4</v>
      </c>
      <c r="D3203" s="1" t="n">
        <v>1</v>
      </c>
      <c r="E3203" s="1" t="n">
        <v>1</v>
      </c>
      <c r="F3203" s="3" t="s">
        <v>20</v>
      </c>
      <c r="G3203" s="3" t="s">
        <v>12891</v>
      </c>
      <c r="H3203" s="1" t="s">
        <v>22</v>
      </c>
      <c r="I3203" s="1" t="n">
        <v>20240430072139</v>
      </c>
      <c r="J3203" s="3" t="s">
        <v>12892</v>
      </c>
      <c r="K3203" s="3" t="s">
        <v>12893</v>
      </c>
      <c r="L3203" s="3" t="s">
        <v>12894</v>
      </c>
      <c r="M3203" s="3" t="n">
        <v>103048</v>
      </c>
      <c r="N3203" s="3" t="s">
        <v>435</v>
      </c>
      <c r="O3203" s="1" t="n">
        <v>86662</v>
      </c>
      <c r="P3203" s="1" t="n">
        <v>84.1</v>
      </c>
      <c r="Q3203" s="1" t="s">
        <v>20</v>
      </c>
      <c r="R3203" s="1" t="s">
        <v>27</v>
      </c>
      <c r="S3203" s="1" t="s">
        <v>28</v>
      </c>
      <c r="T3203" s="1" t="s">
        <v>29</v>
      </c>
    </row>
    <row r="3204" customFormat="false" ht="18.7" hidden="false" customHeight="true" outlineLevel="0" collapsed="false">
      <c r="A3204" s="1" t="n">
        <v>3203</v>
      </c>
      <c r="B3204" s="6" t="str">
        <f aca="false">HYPERLINK("https://mncourtfraud.com/file/MCRO_27-CR-23-1101_Notice of Hearing_2023-04-26_20240430072134.pdf","MCRO_27-CR-23-1101_Notice of Hearing_2023-04-26_20240430072134.pdf")</f>
        <v>MCRO_27-CR-23-1101_Notice of Hearing_2023-04-26_20240430072134.pdf</v>
      </c>
      <c r="C3204" s="1" t="n">
        <v>4</v>
      </c>
      <c r="D3204" s="1" t="n">
        <v>1</v>
      </c>
      <c r="E3204" s="1" t="n">
        <v>1</v>
      </c>
      <c r="F3204" s="3" t="s">
        <v>20</v>
      </c>
      <c r="G3204" s="3" t="s">
        <v>12895</v>
      </c>
      <c r="H3204" s="1" t="s">
        <v>22</v>
      </c>
      <c r="I3204" s="1" t="n">
        <v>20240430072134</v>
      </c>
      <c r="J3204" s="3" t="s">
        <v>12896</v>
      </c>
      <c r="K3204" s="3" t="s">
        <v>12897</v>
      </c>
      <c r="L3204" s="3" t="s">
        <v>12898</v>
      </c>
      <c r="M3204" s="3" t="n">
        <v>101669</v>
      </c>
      <c r="N3204" s="3" t="s">
        <v>435</v>
      </c>
      <c r="O3204" s="1" t="n">
        <v>85283</v>
      </c>
      <c r="P3204" s="1" t="n">
        <v>83.88</v>
      </c>
      <c r="Q3204" s="1" t="s">
        <v>20</v>
      </c>
      <c r="R3204" s="1" t="s">
        <v>27</v>
      </c>
      <c r="S3204" s="1" t="s">
        <v>28</v>
      </c>
      <c r="T3204" s="1" t="s">
        <v>29</v>
      </c>
    </row>
    <row r="3205" customFormat="false" ht="18.7" hidden="false" customHeight="true" outlineLevel="0" collapsed="false">
      <c r="A3205" s="1" t="n">
        <v>3204</v>
      </c>
      <c r="B3205" s="6" t="str">
        <f aca="false">HYPERLINK("https://mncourtfraud.com/file/MCRO_27-CR-23-1101_Notice of Hearing_2023-08-01_20240430072132.pdf","MCRO_27-CR-23-1101_Notice of Hearing_2023-08-01_20240430072132.pdf")</f>
        <v>MCRO_27-CR-23-1101_Notice of Hearing_2023-08-01_20240430072132.pdf</v>
      </c>
      <c r="C3205" s="1" t="n">
        <v>4</v>
      </c>
      <c r="D3205" s="1" t="n">
        <v>1</v>
      </c>
      <c r="E3205" s="1" t="n">
        <v>1</v>
      </c>
      <c r="F3205" s="3" t="s">
        <v>20</v>
      </c>
      <c r="G3205" s="3" t="s">
        <v>12899</v>
      </c>
      <c r="H3205" s="1" t="s">
        <v>22</v>
      </c>
      <c r="I3205" s="1" t="n">
        <v>20240430072132</v>
      </c>
      <c r="J3205" s="3" t="s">
        <v>12900</v>
      </c>
      <c r="K3205" s="3" t="s">
        <v>12901</v>
      </c>
      <c r="L3205" s="3" t="s">
        <v>12902</v>
      </c>
      <c r="M3205" s="3" t="n">
        <v>616503</v>
      </c>
      <c r="N3205" s="3" t="s">
        <v>158</v>
      </c>
      <c r="O3205" s="1" t="n">
        <v>600117</v>
      </c>
      <c r="P3205" s="1" t="n">
        <v>97.34</v>
      </c>
      <c r="Q3205" s="1" t="s">
        <v>20</v>
      </c>
      <c r="R3205" s="1" t="s">
        <v>27</v>
      </c>
      <c r="S3205" s="1" t="s">
        <v>28</v>
      </c>
      <c r="T3205" s="1" t="s">
        <v>29</v>
      </c>
    </row>
    <row r="3206" customFormat="false" ht="18.7" hidden="false" customHeight="true" outlineLevel="0" collapsed="false">
      <c r="A3206" s="1" t="n">
        <v>3205</v>
      </c>
      <c r="B3206" s="6" t="str">
        <f aca="false">HYPERLINK("https://mncourtfraud.com/file/MCRO_27-CR-23-1101_Notice of Intent to Prosecute_2023-08-29_20240430072131.pdf","MCRO_27-CR-23-1101_Notice of Intent to Prosecute_2023-08-29_20240430072131.pdf")</f>
        <v>MCRO_27-CR-23-1101_Notice of Intent to Prosecute_2023-08-29_20240430072131.pdf</v>
      </c>
      <c r="C3206" s="1" t="n">
        <v>3</v>
      </c>
      <c r="D3206" s="1" t="n">
        <v>1</v>
      </c>
      <c r="E3206" s="1" t="n">
        <v>1</v>
      </c>
      <c r="F3206" s="3" t="s">
        <v>20</v>
      </c>
      <c r="G3206" s="3" t="s">
        <v>12903</v>
      </c>
      <c r="H3206" s="1" t="s">
        <v>22</v>
      </c>
      <c r="I3206" s="1" t="n">
        <v>20240430072131</v>
      </c>
      <c r="J3206" s="3" t="s">
        <v>12904</v>
      </c>
      <c r="K3206" s="3" t="s">
        <v>12905</v>
      </c>
      <c r="L3206" s="3" t="s">
        <v>12906</v>
      </c>
      <c r="M3206" s="3" t="n">
        <v>136430</v>
      </c>
      <c r="N3206" s="3" t="s">
        <v>12907</v>
      </c>
      <c r="O3206" s="1" t="n">
        <v>120044</v>
      </c>
      <c r="P3206" s="1" t="n">
        <v>87.99</v>
      </c>
      <c r="Q3206" s="1" t="s">
        <v>20</v>
      </c>
      <c r="R3206" s="1" t="s">
        <v>27</v>
      </c>
      <c r="S3206" s="1" t="s">
        <v>28</v>
      </c>
      <c r="T3206" s="1" t="s">
        <v>29</v>
      </c>
    </row>
    <row r="3207" customFormat="false" ht="18.7" hidden="false" customHeight="true" outlineLevel="0" collapsed="false">
      <c r="A3207" s="1" t="n">
        <v>3206</v>
      </c>
      <c r="B3207" s="6" t="str">
        <f aca="false">HYPERLINK("https://mncourtfraud.com/file/MCRO_27-CR-23-1101_Notice of Remote Hearing with Instructions_2023-04-26_20240430072133.pdf","MCRO_27-CR-23-1101_Notice of Remote Hearing with Instructions_2023-04-26_20240430072133.pdf")</f>
        <v>MCRO_27-CR-23-1101_Notice of Remote Hearing with Instructions_2023-04-26_20240430072133.pdf</v>
      </c>
      <c r="C3207" s="1" t="n">
        <v>4</v>
      </c>
      <c r="D3207" s="1" t="n">
        <v>1</v>
      </c>
      <c r="E3207" s="1" t="n">
        <v>1</v>
      </c>
      <c r="F3207" s="3" t="s">
        <v>20</v>
      </c>
      <c r="G3207" s="3" t="s">
        <v>12908</v>
      </c>
      <c r="H3207" s="1" t="s">
        <v>22</v>
      </c>
      <c r="I3207" s="1" t="n">
        <v>20240430072133</v>
      </c>
      <c r="J3207" s="3" t="s">
        <v>12909</v>
      </c>
      <c r="K3207" s="3" t="s">
        <v>12910</v>
      </c>
      <c r="L3207" s="3" t="s">
        <v>12911</v>
      </c>
      <c r="M3207" s="3" t="n">
        <v>136720</v>
      </c>
      <c r="N3207" s="3" t="s">
        <v>1159</v>
      </c>
      <c r="O3207" s="1" t="n">
        <v>120334</v>
      </c>
      <c r="P3207" s="1" t="n">
        <v>88.01</v>
      </c>
      <c r="Q3207" s="1" t="s">
        <v>20</v>
      </c>
      <c r="R3207" s="1" t="s">
        <v>27</v>
      </c>
      <c r="S3207" s="1" t="s">
        <v>28</v>
      </c>
      <c r="T3207" s="1" t="s">
        <v>29</v>
      </c>
    </row>
    <row r="3208" customFormat="false" ht="18.7" hidden="false" customHeight="true" outlineLevel="0" collapsed="false">
      <c r="A3208" s="1" t="n">
        <v>3207</v>
      </c>
      <c r="B3208" s="6" t="str">
        <f aca="false">HYPERLINK("https://mncourtfraud.com/file/MCRO_27-CR-23-1101_Notice of Remote Hearing with Instructions_2023-08-29_20240430072130.pdf","MCRO_27-CR-23-1101_Notice of Remote Hearing with Instructions_2023-08-29_20240430072130.pdf")</f>
        <v>MCRO_27-CR-23-1101_Notice of Remote Hearing with Instructions_2023-08-29_20240430072130.pdf</v>
      </c>
      <c r="C3208" s="1" t="n">
        <v>5</v>
      </c>
      <c r="D3208" s="1" t="n">
        <v>1</v>
      </c>
      <c r="E3208" s="1" t="n">
        <v>1</v>
      </c>
      <c r="F3208" s="3" t="s">
        <v>20</v>
      </c>
      <c r="G3208" s="3" t="s">
        <v>12912</v>
      </c>
      <c r="H3208" s="1" t="s">
        <v>22</v>
      </c>
      <c r="I3208" s="1" t="n">
        <v>20240430072130</v>
      </c>
      <c r="J3208" s="3" t="s">
        <v>12913</v>
      </c>
      <c r="K3208" s="3" t="s">
        <v>12914</v>
      </c>
      <c r="L3208" s="3" t="s">
        <v>12915</v>
      </c>
      <c r="M3208" s="3" t="n">
        <v>854995</v>
      </c>
      <c r="N3208" s="3" t="s">
        <v>1248</v>
      </c>
      <c r="O3208" s="1" t="n">
        <v>838609</v>
      </c>
      <c r="P3208" s="1" t="n">
        <v>98.08</v>
      </c>
      <c r="Q3208" s="1" t="s">
        <v>20</v>
      </c>
      <c r="R3208" s="1" t="s">
        <v>27</v>
      </c>
      <c r="S3208" s="1" t="s">
        <v>28</v>
      </c>
      <c r="T3208" s="1" t="s">
        <v>29</v>
      </c>
    </row>
    <row r="3209" customFormat="false" ht="18.7" hidden="false" customHeight="true" outlineLevel="0" collapsed="false">
      <c r="A3209" s="1" t="n">
        <v>3208</v>
      </c>
      <c r="B3209" s="6" t="str">
        <f aca="false">HYPERLINK("https://mncourtfraud.com/file/MCRO_27-CR-23-1101_Notice of Remote Hearing with Instructions_2024-04-02_20240430072126.pdf","MCRO_27-CR-23-1101_Notice of Remote Hearing with Instructions_2024-04-02_20240430072126.pdf")</f>
        <v>MCRO_27-CR-23-1101_Notice of Remote Hearing with Instructions_2024-04-02_20240430072126.pdf</v>
      </c>
      <c r="C3209" s="1" t="n">
        <v>4</v>
      </c>
      <c r="D3209" s="1" t="n">
        <v>1</v>
      </c>
      <c r="E3209" s="1" t="n">
        <v>1</v>
      </c>
      <c r="F3209" s="3" t="s">
        <v>20</v>
      </c>
      <c r="G3209" s="3" t="s">
        <v>12916</v>
      </c>
      <c r="H3209" s="1" t="s">
        <v>22</v>
      </c>
      <c r="I3209" s="1" t="n">
        <v>20240430072126</v>
      </c>
      <c r="J3209" s="3" t="s">
        <v>12917</v>
      </c>
      <c r="K3209" s="3" t="s">
        <v>12918</v>
      </c>
      <c r="L3209" s="3" t="s">
        <v>12919</v>
      </c>
      <c r="M3209" s="3" t="n">
        <v>255717</v>
      </c>
      <c r="N3209" s="3" t="s">
        <v>74</v>
      </c>
      <c r="O3209" s="1" t="n">
        <v>239331</v>
      </c>
      <c r="P3209" s="1" t="n">
        <v>93.59</v>
      </c>
      <c r="Q3209" s="1" t="s">
        <v>20</v>
      </c>
      <c r="R3209" s="1" t="s">
        <v>27</v>
      </c>
      <c r="S3209" s="1" t="s">
        <v>28</v>
      </c>
      <c r="T3209" s="1" t="s">
        <v>29</v>
      </c>
    </row>
    <row r="3210" customFormat="false" ht="18.7" hidden="false" customHeight="true" outlineLevel="0" collapsed="false">
      <c r="A3210" s="1" t="n">
        <v>3209</v>
      </c>
      <c r="B3210" s="6" t="str">
        <f aca="false">HYPERLINK("https://mncourtfraud.com/file/MCRO_27-CR-23-1101_Order-Evaluation for Competency to Proceed (Rule 20.01)_2023-04-26_20240430072135.pdf","MCRO_27-CR-23-1101_Order-Evaluation for Competency to Proceed (Rule 20.01)_2023-04-26_20240430072135.pdf")</f>
        <v>MCRO_27-CR-23-1101_Order-Evaluation for Competency to Proceed (Rule 20.01)_2023-04-26_20240430072135.pdf</v>
      </c>
      <c r="C3210" s="1" t="n">
        <v>4</v>
      </c>
      <c r="D3210" s="1" t="n">
        <v>1</v>
      </c>
      <c r="E3210" s="1" t="n">
        <v>1</v>
      </c>
      <c r="F3210" s="3" t="s">
        <v>20</v>
      </c>
      <c r="G3210" s="3" t="s">
        <v>12920</v>
      </c>
      <c r="H3210" s="1" t="s">
        <v>22</v>
      </c>
      <c r="I3210" s="1" t="n">
        <v>20240430072135</v>
      </c>
      <c r="J3210" s="3" t="s">
        <v>12921</v>
      </c>
      <c r="K3210" s="3" t="s">
        <v>12922</v>
      </c>
      <c r="L3210" s="3" t="s">
        <v>12923</v>
      </c>
      <c r="M3210" s="3" t="n">
        <v>141461</v>
      </c>
      <c r="N3210" s="3" t="s">
        <v>1159</v>
      </c>
      <c r="O3210" s="1" t="n">
        <v>125075</v>
      </c>
      <c r="P3210" s="1" t="n">
        <v>88.42</v>
      </c>
      <c r="Q3210" s="1" t="s">
        <v>20</v>
      </c>
      <c r="R3210" s="1" t="s">
        <v>27</v>
      </c>
      <c r="S3210" s="1" t="s">
        <v>28</v>
      </c>
      <c r="T3210" s="1" t="s">
        <v>29</v>
      </c>
    </row>
    <row r="3211" customFormat="false" ht="18.7" hidden="false" customHeight="true" outlineLevel="0" collapsed="false">
      <c r="A3211" s="1" t="n">
        <v>3210</v>
      </c>
      <c r="B3211" s="6" t="str">
        <f aca="false">HYPERLINK("https://mncourtfraud.com/file/MCRO_27-CR-23-1101_Order-Evaluation for Competency to Proceed (Rule 20.01)_2023-12-22_20240430072127.pdf","MCRO_27-CR-23-1101_Order-Evaluation for Competency to Proceed (Rule 20.01)_2023-12-22_20240430072127.pdf")</f>
        <v>MCRO_27-CR-23-1101_Order-Evaluation for Competency to Proceed (Rule 20.01)_2023-12-22_20240430072127.pdf</v>
      </c>
      <c r="C3211" s="1" t="n">
        <v>4</v>
      </c>
      <c r="D3211" s="1" t="n">
        <v>1</v>
      </c>
      <c r="E3211" s="1" t="n">
        <v>1</v>
      </c>
      <c r="F3211" s="3" t="s">
        <v>20</v>
      </c>
      <c r="G3211" s="3" t="s">
        <v>12924</v>
      </c>
      <c r="H3211" s="1" t="s">
        <v>22</v>
      </c>
      <c r="I3211" s="1" t="n">
        <v>20240430072127</v>
      </c>
      <c r="J3211" s="3" t="s">
        <v>12925</v>
      </c>
      <c r="K3211" s="3" t="s">
        <v>12926</v>
      </c>
      <c r="L3211" s="3" t="s">
        <v>12927</v>
      </c>
      <c r="M3211" s="3" t="n">
        <v>742936</v>
      </c>
      <c r="N3211" s="3" t="s">
        <v>3169</v>
      </c>
      <c r="O3211" s="1" t="n">
        <v>726550</v>
      </c>
      <c r="P3211" s="1" t="n">
        <v>97.79</v>
      </c>
      <c r="Q3211" s="1" t="s">
        <v>20</v>
      </c>
      <c r="R3211" s="1" t="s">
        <v>27</v>
      </c>
      <c r="S3211" s="1" t="s">
        <v>28</v>
      </c>
      <c r="T3211" s="1" t="s">
        <v>29</v>
      </c>
    </row>
    <row r="3212" customFormat="false" ht="18.7" hidden="false" customHeight="true" outlineLevel="0" collapsed="false">
      <c r="A3212" s="1" t="n">
        <v>3211</v>
      </c>
      <c r="B3212" s="6" t="str">
        <f aca="false">HYPERLINK("https://mncourtfraud.com/file/MCRO_27-CR-23-1101_Returned Mail_2023-09-14_20240430072128.pdf","MCRO_27-CR-23-1101_Returned Mail_2023-09-14_20240430072128.pdf")</f>
        <v>MCRO_27-CR-23-1101_Returned Mail_2023-09-14_20240430072128.pdf</v>
      </c>
      <c r="C3212" s="1" t="n">
        <v>4</v>
      </c>
      <c r="D3212" s="1" t="n">
        <v>1</v>
      </c>
      <c r="E3212" s="1" t="n">
        <v>1</v>
      </c>
      <c r="F3212" s="3" t="s">
        <v>20</v>
      </c>
      <c r="G3212" s="3" t="s">
        <v>12928</v>
      </c>
      <c r="H3212" s="1" t="s">
        <v>22</v>
      </c>
      <c r="I3212" s="1" t="n">
        <v>20240430072128</v>
      </c>
      <c r="J3212" s="3" t="s">
        <v>12929</v>
      </c>
      <c r="K3212" s="3" t="s">
        <v>12930</v>
      </c>
      <c r="L3212" s="3" t="s">
        <v>12931</v>
      </c>
      <c r="M3212" s="3" t="n">
        <v>96669</v>
      </c>
      <c r="N3212" s="3" t="s">
        <v>435</v>
      </c>
      <c r="O3212" s="1" t="n">
        <v>80283</v>
      </c>
      <c r="P3212" s="1" t="n">
        <v>83.05</v>
      </c>
      <c r="Q3212" s="1" t="s">
        <v>20</v>
      </c>
      <c r="R3212" s="1" t="s">
        <v>27</v>
      </c>
      <c r="S3212" s="1" t="s">
        <v>28</v>
      </c>
      <c r="T3212" s="1" t="s">
        <v>29</v>
      </c>
    </row>
    <row r="3213" customFormat="false" ht="18.7" hidden="false" customHeight="true" outlineLevel="0" collapsed="false">
      <c r="A3213" s="1" t="n">
        <v>3212</v>
      </c>
      <c r="B3213" s="6" t="str">
        <f aca="false">HYPERLINK("https://mncourtfraud.com/file/MCRO_27-CR-23-12360_Certificate of Representation_2023-08-22_20240430073930.pdf","MCRO_27-CR-23-12360_Certificate of Representation_2023-08-22_20240430073930.pdf")</f>
        <v>MCRO_27-CR-23-12360_Certificate of Representation_2023-08-22_20240430073930.pdf</v>
      </c>
      <c r="C3213" s="1" t="n">
        <v>3</v>
      </c>
      <c r="D3213" s="1" t="n">
        <v>1</v>
      </c>
      <c r="E3213" s="1" t="n">
        <v>1</v>
      </c>
      <c r="F3213" s="3" t="s">
        <v>20</v>
      </c>
      <c r="G3213" s="3" t="s">
        <v>12932</v>
      </c>
      <c r="H3213" s="1" t="s">
        <v>22</v>
      </c>
      <c r="I3213" s="1" t="n">
        <v>20240430073930</v>
      </c>
      <c r="J3213" s="3" t="s">
        <v>12933</v>
      </c>
      <c r="K3213" s="3" t="s">
        <v>12934</v>
      </c>
      <c r="L3213" s="3" t="s">
        <v>12935</v>
      </c>
      <c r="M3213" s="3" t="n">
        <v>173651</v>
      </c>
      <c r="N3213" s="3" t="s">
        <v>2347</v>
      </c>
      <c r="O3213" s="1" t="n">
        <v>157265</v>
      </c>
      <c r="P3213" s="1" t="n">
        <v>90.56</v>
      </c>
      <c r="Q3213" s="1" t="s">
        <v>20</v>
      </c>
      <c r="R3213" s="1" t="s">
        <v>27</v>
      </c>
      <c r="S3213" s="1" t="s">
        <v>28</v>
      </c>
      <c r="T3213" s="1" t="s">
        <v>29</v>
      </c>
    </row>
    <row r="3214" customFormat="false" ht="18.7" hidden="false" customHeight="true" outlineLevel="0" collapsed="false">
      <c r="A3214" s="1" t="n">
        <v>3213</v>
      </c>
      <c r="B3214" s="6" t="str">
        <f aca="false">HYPERLINK("https://mncourtfraud.com/file/MCRO_27-CR-23-12360_E-filed Comp-Order for Detention_2023-06-14_20240430073934.pdf","MCRO_27-CR-23-12360_E-filed Comp-Order for Detention_2023-06-14_20240430073934.pdf")</f>
        <v>MCRO_27-CR-23-12360_E-filed Comp-Order for Detention_2023-06-14_20240430073934.pdf</v>
      </c>
      <c r="C3214" s="1" t="n">
        <v>5</v>
      </c>
      <c r="D3214" s="1" t="n">
        <v>2</v>
      </c>
      <c r="E3214" s="1" t="n">
        <v>2</v>
      </c>
      <c r="F3214" s="3" t="s">
        <v>20</v>
      </c>
      <c r="G3214" s="3" t="s">
        <v>12936</v>
      </c>
      <c r="H3214" s="1" t="s">
        <v>22</v>
      </c>
      <c r="I3214" s="1" t="n">
        <v>20240430073934</v>
      </c>
      <c r="J3214" s="3" t="s">
        <v>12937</v>
      </c>
      <c r="K3214" s="3" t="s">
        <v>12938</v>
      </c>
      <c r="L3214" s="3" t="s">
        <v>12939</v>
      </c>
      <c r="M3214" s="3" t="n">
        <v>451094</v>
      </c>
      <c r="N3214" s="3" t="s">
        <v>11968</v>
      </c>
      <c r="O3214" s="1" t="n">
        <v>434708</v>
      </c>
      <c r="P3214" s="1" t="n">
        <v>96.37</v>
      </c>
      <c r="Q3214" s="1" t="s">
        <v>20</v>
      </c>
      <c r="R3214" s="1" t="s">
        <v>27</v>
      </c>
      <c r="S3214" s="1" t="s">
        <v>28</v>
      </c>
      <c r="T3214" s="1" t="s">
        <v>29</v>
      </c>
    </row>
    <row r="3215" customFormat="false" ht="18.7" hidden="false" customHeight="true" outlineLevel="0" collapsed="false">
      <c r="A3215" s="1" t="n">
        <v>3214</v>
      </c>
      <c r="B3215" s="6" t="str">
        <f aca="false">HYPERLINK("https://mncourtfraud.com/file/MCRO_27-CR-23-12360_Finding of Incompetency and Order_2023-07-26_20240430073932.pdf","MCRO_27-CR-23-12360_Finding of Incompetency and Order_2023-07-26_20240430073932.pdf")</f>
        <v>MCRO_27-CR-23-12360_Finding of Incompetency and Order_2023-07-26_20240430073932.pdf</v>
      </c>
      <c r="C3215" s="1" t="n">
        <v>7</v>
      </c>
      <c r="D3215" s="1" t="n">
        <v>2</v>
      </c>
      <c r="E3215" s="1" t="n">
        <v>2</v>
      </c>
      <c r="F3215" s="3" t="s">
        <v>27</v>
      </c>
      <c r="G3215" s="3" t="s">
        <v>12940</v>
      </c>
      <c r="H3215" s="1" t="s">
        <v>22</v>
      </c>
      <c r="I3215" s="1" t="n">
        <v>20240430073932</v>
      </c>
      <c r="J3215" s="3" t="s">
        <v>12941</v>
      </c>
      <c r="K3215" s="3" t="s">
        <v>12942</v>
      </c>
      <c r="L3215" s="3" t="s">
        <v>12943</v>
      </c>
      <c r="M3215" s="3" t="n">
        <v>889824</v>
      </c>
      <c r="N3215" s="3" t="s">
        <v>2728</v>
      </c>
      <c r="O3215" s="1" t="n">
        <v>873438</v>
      </c>
      <c r="P3215" s="1" t="n">
        <v>98.16</v>
      </c>
      <c r="Q3215" s="1" t="s">
        <v>20</v>
      </c>
      <c r="R3215" s="1" t="s">
        <v>27</v>
      </c>
      <c r="S3215" s="1" t="s">
        <v>28</v>
      </c>
      <c r="T3215" s="1" t="s">
        <v>29</v>
      </c>
    </row>
    <row r="3216" customFormat="false" ht="18.7" hidden="false" customHeight="true" outlineLevel="0" collapsed="false">
      <c r="A3216" s="1" t="n">
        <v>3215</v>
      </c>
      <c r="B3216" s="6" t="str">
        <f aca="false">HYPERLINK("https://mncourtfraud.com/file/MCRO_27-CR-23-12360_Notice of Intent to Prosecute_2023-11-21_20240430073928.pdf","MCRO_27-CR-23-12360_Notice of Intent to Prosecute_2023-11-21_20240430073928.pdf")</f>
        <v>MCRO_27-CR-23-12360_Notice of Intent to Prosecute_2023-11-21_20240430073928.pdf</v>
      </c>
      <c r="C3216" s="1" t="n">
        <v>3</v>
      </c>
      <c r="D3216" s="1" t="n">
        <v>1</v>
      </c>
      <c r="E3216" s="1" t="n">
        <v>1</v>
      </c>
      <c r="F3216" s="3" t="s">
        <v>20</v>
      </c>
      <c r="G3216" s="3" t="s">
        <v>12944</v>
      </c>
      <c r="H3216" s="1" t="s">
        <v>22</v>
      </c>
      <c r="I3216" s="1" t="n">
        <v>20240430073928</v>
      </c>
      <c r="J3216" s="3" t="s">
        <v>12945</v>
      </c>
      <c r="K3216" s="3" t="s">
        <v>12946</v>
      </c>
      <c r="L3216" s="3" t="s">
        <v>12947</v>
      </c>
      <c r="M3216" s="3" t="n">
        <v>118448</v>
      </c>
      <c r="N3216" s="3" t="s">
        <v>736</v>
      </c>
      <c r="O3216" s="1" t="n">
        <v>102062</v>
      </c>
      <c r="P3216" s="1" t="n">
        <v>86.17</v>
      </c>
      <c r="Q3216" s="1" t="s">
        <v>20</v>
      </c>
      <c r="R3216" s="1" t="s">
        <v>27</v>
      </c>
      <c r="S3216" s="1" t="s">
        <v>28</v>
      </c>
      <c r="T3216" s="1" t="s">
        <v>29</v>
      </c>
    </row>
    <row r="3217" customFormat="false" ht="18.7" hidden="false" customHeight="true" outlineLevel="0" collapsed="false">
      <c r="A3217" s="1" t="n">
        <v>3216</v>
      </c>
      <c r="B3217" s="6" t="str">
        <f aca="false">HYPERLINK("https://mncourtfraud.com/file/MCRO_27-CR-23-12360_Notice of Remote Hearing with Instructions_2023-09-05_20240430073929.pdf","MCRO_27-CR-23-12360_Notice of Remote Hearing with Instructions_2023-09-05_20240430073929.pdf")</f>
        <v>MCRO_27-CR-23-12360_Notice of Remote Hearing with Instructions_2023-09-05_20240430073929.pdf</v>
      </c>
      <c r="C3217" s="1" t="n">
        <v>5</v>
      </c>
      <c r="D3217" s="1" t="n">
        <v>1</v>
      </c>
      <c r="E3217" s="1" t="n">
        <v>1</v>
      </c>
      <c r="F3217" s="3" t="s">
        <v>20</v>
      </c>
      <c r="G3217" s="3" t="s">
        <v>12948</v>
      </c>
      <c r="H3217" s="1" t="s">
        <v>22</v>
      </c>
      <c r="I3217" s="1" t="n">
        <v>20240430073929</v>
      </c>
      <c r="J3217" s="3" t="s">
        <v>12949</v>
      </c>
      <c r="K3217" s="3" t="s">
        <v>12950</v>
      </c>
      <c r="L3217" s="3" t="s">
        <v>12951</v>
      </c>
      <c r="M3217" s="3" t="n">
        <v>860238</v>
      </c>
      <c r="N3217" s="3" t="s">
        <v>1009</v>
      </c>
      <c r="O3217" s="1" t="n">
        <v>843852</v>
      </c>
      <c r="P3217" s="1" t="n">
        <v>98.1</v>
      </c>
      <c r="Q3217" s="1" t="s">
        <v>20</v>
      </c>
      <c r="R3217" s="1" t="s">
        <v>27</v>
      </c>
      <c r="S3217" s="1" t="s">
        <v>28</v>
      </c>
      <c r="T3217" s="1" t="s">
        <v>29</v>
      </c>
    </row>
    <row r="3218" customFormat="false" ht="18.7" hidden="false" customHeight="true" outlineLevel="0" collapsed="false">
      <c r="A3218" s="1" t="n">
        <v>3217</v>
      </c>
      <c r="B3218" s="6" t="str">
        <f aca="false">HYPERLINK("https://mncourtfraud.com/file/MCRO_27-CR-23-12360_Notice of Remote Hearing with Instructions_2024-01-16_20240430073927.pdf","MCRO_27-CR-23-12360_Notice of Remote Hearing with Instructions_2024-01-16_20240430073927.pdf")</f>
        <v>MCRO_27-CR-23-12360_Notice of Remote Hearing with Instructions_2024-01-16_20240430073927.pdf</v>
      </c>
      <c r="C3218" s="1" t="n">
        <v>4</v>
      </c>
      <c r="D3218" s="1" t="n">
        <v>1</v>
      </c>
      <c r="E3218" s="1" t="n">
        <v>1</v>
      </c>
      <c r="F3218" s="3" t="s">
        <v>20</v>
      </c>
      <c r="G3218" s="3" t="s">
        <v>12952</v>
      </c>
      <c r="H3218" s="1" t="s">
        <v>22</v>
      </c>
      <c r="I3218" s="1" t="n">
        <v>20240430073927</v>
      </c>
      <c r="J3218" s="3" t="s">
        <v>12953</v>
      </c>
      <c r="K3218" s="3" t="s">
        <v>12954</v>
      </c>
      <c r="L3218" s="3" t="s">
        <v>12955</v>
      </c>
      <c r="M3218" s="3" t="n">
        <v>261618</v>
      </c>
      <c r="N3218" s="3" t="s">
        <v>8498</v>
      </c>
      <c r="O3218" s="1" t="n">
        <v>245232</v>
      </c>
      <c r="P3218" s="1" t="n">
        <v>93.74</v>
      </c>
      <c r="Q3218" s="1" t="s">
        <v>20</v>
      </c>
      <c r="R3218" s="1" t="s">
        <v>27</v>
      </c>
      <c r="S3218" s="1" t="s">
        <v>28</v>
      </c>
      <c r="T3218" s="1" t="s">
        <v>29</v>
      </c>
    </row>
    <row r="3219" customFormat="false" ht="18.7" hidden="false" customHeight="true" outlineLevel="0" collapsed="false">
      <c r="A3219" s="1" t="n">
        <v>3218</v>
      </c>
      <c r="B3219" s="6" t="str">
        <f aca="false">HYPERLINK("https://mncourtfraud.com/file/MCRO_27-CR-23-12360_Order-Evaluation for Competency to Proceed (Rule 20.01)_2023-06-15_20240430073933.pdf","MCRO_27-CR-23-12360_Order-Evaluation for Competency to Proceed (Rule 20.01)_2023-06-15_20240430073933.pdf")</f>
        <v>MCRO_27-CR-23-12360_Order-Evaluation for Competency to Proceed (Rule 20.01)_2023-06-15_20240430073933.pdf</v>
      </c>
      <c r="C3219" s="1" t="n">
        <v>4</v>
      </c>
      <c r="D3219" s="1" t="n">
        <v>1</v>
      </c>
      <c r="E3219" s="1" t="n">
        <v>1</v>
      </c>
      <c r="F3219" s="3" t="s">
        <v>20</v>
      </c>
      <c r="G3219" s="3" t="s">
        <v>12956</v>
      </c>
      <c r="H3219" s="1" t="s">
        <v>22</v>
      </c>
      <c r="I3219" s="1" t="n">
        <v>20240430073933</v>
      </c>
      <c r="J3219" s="3" t="s">
        <v>12957</v>
      </c>
      <c r="K3219" s="3" t="s">
        <v>12958</v>
      </c>
      <c r="L3219" s="3" t="s">
        <v>12959</v>
      </c>
      <c r="M3219" s="3" t="n">
        <v>136307</v>
      </c>
      <c r="N3219" s="3" t="s">
        <v>1159</v>
      </c>
      <c r="O3219" s="1" t="n">
        <v>119921</v>
      </c>
      <c r="P3219" s="1" t="n">
        <v>87.98</v>
      </c>
      <c r="Q3219" s="1" t="s">
        <v>20</v>
      </c>
      <c r="R3219" s="1" t="s">
        <v>27</v>
      </c>
      <c r="S3219" s="1" t="s">
        <v>28</v>
      </c>
      <c r="T3219" s="1" t="s">
        <v>29</v>
      </c>
    </row>
    <row r="3220" customFormat="false" ht="18.7" hidden="false" customHeight="true" outlineLevel="0" collapsed="false">
      <c r="A3220" s="1" t="n">
        <v>3219</v>
      </c>
      <c r="B3220" s="6" t="str">
        <f aca="false">HYPERLINK("https://mncourtfraud.com/file/MCRO_27-CR-23-12360_Substitution of Counsel_2023-08-22_20240430073931.pdf","MCRO_27-CR-23-12360_Substitution of Counsel_2023-08-22_20240430073931.pdf")</f>
        <v>MCRO_27-CR-23-12360_Substitution of Counsel_2023-08-22_20240430073931.pdf</v>
      </c>
      <c r="C3220" s="1" t="n">
        <v>3</v>
      </c>
      <c r="D3220" s="1" t="n">
        <v>1</v>
      </c>
      <c r="E3220" s="1" t="n">
        <v>1</v>
      </c>
      <c r="F3220" s="3" t="s">
        <v>20</v>
      </c>
      <c r="G3220" s="3" t="s">
        <v>12960</v>
      </c>
      <c r="H3220" s="1" t="s">
        <v>22</v>
      </c>
      <c r="I3220" s="1" t="n">
        <v>20240430073931</v>
      </c>
      <c r="J3220" s="3" t="s">
        <v>12961</v>
      </c>
      <c r="K3220" s="3" t="s">
        <v>12962</v>
      </c>
      <c r="L3220" s="3" t="s">
        <v>12963</v>
      </c>
      <c r="M3220" s="3" t="n">
        <v>228905</v>
      </c>
      <c r="N3220" s="3" t="s">
        <v>968</v>
      </c>
      <c r="O3220" s="1" t="n">
        <v>212519</v>
      </c>
      <c r="P3220" s="1" t="n">
        <v>92.84</v>
      </c>
      <c r="Q3220" s="1" t="s">
        <v>20</v>
      </c>
      <c r="R3220" s="1" t="s">
        <v>27</v>
      </c>
      <c r="S3220" s="1" t="s">
        <v>28</v>
      </c>
      <c r="T3220" s="1" t="s">
        <v>29</v>
      </c>
    </row>
    <row r="3221" customFormat="false" ht="18.7" hidden="false" customHeight="true" outlineLevel="0" collapsed="false">
      <c r="A3221" s="1" t="n">
        <v>3220</v>
      </c>
      <c r="B3221" s="6" t="str">
        <f aca="false">HYPERLINK("https://mncourtfraud.com/file/MCRO_27-CR-23-12653_Certificate of Representation_2023-07-10_20240430074017.pdf","MCRO_27-CR-23-12653_Certificate of Representation_2023-07-10_20240430074017.pdf")</f>
        <v>MCRO_27-CR-23-12653_Certificate of Representation_2023-07-10_20240430074017.pdf</v>
      </c>
      <c r="C3221" s="1" t="n">
        <v>4</v>
      </c>
      <c r="D3221" s="1" t="n">
        <v>1</v>
      </c>
      <c r="E3221" s="1" t="n">
        <v>1</v>
      </c>
      <c r="F3221" s="3" t="s">
        <v>20</v>
      </c>
      <c r="G3221" s="3" t="s">
        <v>12964</v>
      </c>
      <c r="H3221" s="1" t="s">
        <v>22</v>
      </c>
      <c r="I3221" s="1" t="n">
        <v>20240430074017</v>
      </c>
      <c r="J3221" s="3" t="s">
        <v>12965</v>
      </c>
      <c r="K3221" s="3" t="s">
        <v>12966</v>
      </c>
      <c r="L3221" s="3" t="s">
        <v>12967</v>
      </c>
      <c r="M3221" s="3" t="n">
        <v>379586</v>
      </c>
      <c r="N3221" s="3" t="s">
        <v>158</v>
      </c>
      <c r="O3221" s="1" t="n">
        <v>363200</v>
      </c>
      <c r="P3221" s="1" t="n">
        <v>95.68</v>
      </c>
      <c r="Q3221" s="1" t="s">
        <v>20</v>
      </c>
      <c r="R3221" s="1" t="s">
        <v>27</v>
      </c>
      <c r="S3221" s="1" t="s">
        <v>28</v>
      </c>
      <c r="T3221" s="1" t="s">
        <v>29</v>
      </c>
    </row>
    <row r="3222" customFormat="false" ht="18.7" hidden="false" customHeight="true" outlineLevel="0" collapsed="false">
      <c r="A3222" s="1" t="n">
        <v>3221</v>
      </c>
      <c r="B3222" s="6" t="str">
        <f aca="false">HYPERLINK("https://mncourtfraud.com/file/MCRO_27-CR-23-12653_E-filed Comp-Summons_2023-06-20_20240430074020.pdf","MCRO_27-CR-23-12653_E-filed Comp-Summons_2023-06-20_20240430074020.pdf")</f>
        <v>MCRO_27-CR-23-12653_E-filed Comp-Summons_2023-06-20_20240430074020.pdf</v>
      </c>
      <c r="C3222" s="1" t="n">
        <v>5</v>
      </c>
      <c r="D3222" s="1" t="n">
        <v>2</v>
      </c>
      <c r="E3222" s="1" t="n">
        <v>2</v>
      </c>
      <c r="F3222" s="3" t="s">
        <v>20</v>
      </c>
      <c r="G3222" s="3" t="s">
        <v>12968</v>
      </c>
      <c r="H3222" s="1" t="s">
        <v>22</v>
      </c>
      <c r="I3222" s="1" t="n">
        <v>20240430074020</v>
      </c>
      <c r="J3222" s="3" t="s">
        <v>12969</v>
      </c>
      <c r="K3222" s="3" t="s">
        <v>12970</v>
      </c>
      <c r="L3222" s="3" t="s">
        <v>12971</v>
      </c>
      <c r="M3222" s="3" t="n">
        <v>445991</v>
      </c>
      <c r="N3222" s="3" t="s">
        <v>12972</v>
      </c>
      <c r="O3222" s="1" t="n">
        <v>429605</v>
      </c>
      <c r="P3222" s="1" t="n">
        <v>96.33</v>
      </c>
      <c r="Q3222" s="1" t="s">
        <v>20</v>
      </c>
      <c r="R3222" s="1" t="s">
        <v>27</v>
      </c>
      <c r="S3222" s="1" t="s">
        <v>28</v>
      </c>
      <c r="T3222" s="1" t="s">
        <v>29</v>
      </c>
    </row>
    <row r="3223" customFormat="false" ht="18.7" hidden="false" customHeight="true" outlineLevel="0" collapsed="false">
      <c r="A3223" s="1" t="n">
        <v>3222</v>
      </c>
      <c r="B3223" s="6" t="str">
        <f aca="false">HYPERLINK("https://mncourtfraud.com/file/MCRO_27-CR-23-12653_Finding of Incompetency and Order_2023-12-13_20240430074010.pdf","MCRO_27-CR-23-12653_Finding of Incompetency and Order_2023-12-13_20240430074010.pdf")</f>
        <v>MCRO_27-CR-23-12653_Finding of Incompetency and Order_2023-12-13_20240430074010.pdf</v>
      </c>
      <c r="C3223" s="1" t="n">
        <v>5</v>
      </c>
      <c r="D3223" s="1" t="n">
        <v>1</v>
      </c>
      <c r="E3223" s="1" t="n">
        <v>1</v>
      </c>
      <c r="F3223" s="3" t="s">
        <v>20</v>
      </c>
      <c r="G3223" s="3" t="s">
        <v>12973</v>
      </c>
      <c r="H3223" s="1" t="s">
        <v>22</v>
      </c>
      <c r="I3223" s="1" t="n">
        <v>20240430074010</v>
      </c>
      <c r="J3223" s="3" t="s">
        <v>12974</v>
      </c>
      <c r="K3223" s="3" t="s">
        <v>12975</v>
      </c>
      <c r="L3223" s="3" t="s">
        <v>12976</v>
      </c>
      <c r="M3223" s="3" t="n">
        <v>828192</v>
      </c>
      <c r="N3223" s="3" t="s">
        <v>5856</v>
      </c>
      <c r="O3223" s="1" t="n">
        <v>811806</v>
      </c>
      <c r="P3223" s="1" t="n">
        <v>98.02</v>
      </c>
      <c r="Q3223" s="1" t="s">
        <v>20</v>
      </c>
      <c r="R3223" s="1" t="s">
        <v>27</v>
      </c>
      <c r="S3223" s="1" t="s">
        <v>28</v>
      </c>
      <c r="T3223" s="1" t="s">
        <v>29</v>
      </c>
    </row>
    <row r="3224" customFormat="false" ht="18.7" hidden="false" customHeight="true" outlineLevel="0" collapsed="false">
      <c r="A3224" s="1" t="n">
        <v>3223</v>
      </c>
      <c r="B3224" s="6" t="str">
        <f aca="false">HYPERLINK("https://mncourtfraud.com/file/MCRO_27-CR-23-12653_Notice of Case Reassignment_2023-11-03_20240430074013.pdf","MCRO_27-CR-23-12653_Notice of Case Reassignment_2023-11-03_20240430074013.pdf")</f>
        <v>MCRO_27-CR-23-12653_Notice of Case Reassignment_2023-11-03_20240430074013.pdf</v>
      </c>
      <c r="C3224" s="1" t="n">
        <v>3</v>
      </c>
      <c r="D3224" s="1" t="n">
        <v>1</v>
      </c>
      <c r="E3224" s="1" t="n">
        <v>1</v>
      </c>
      <c r="F3224" s="3" t="s">
        <v>20</v>
      </c>
      <c r="G3224" s="3" t="s">
        <v>12977</v>
      </c>
      <c r="H3224" s="1" t="s">
        <v>22</v>
      </c>
      <c r="I3224" s="1" t="n">
        <v>20240430074013</v>
      </c>
      <c r="J3224" s="3" t="s">
        <v>12978</v>
      </c>
      <c r="K3224" s="3" t="s">
        <v>12979</v>
      </c>
      <c r="L3224" s="3" t="s">
        <v>12980</v>
      </c>
      <c r="M3224" s="3" t="n">
        <v>114464</v>
      </c>
      <c r="N3224" s="3" t="s">
        <v>128</v>
      </c>
      <c r="O3224" s="1" t="n">
        <v>98078</v>
      </c>
      <c r="P3224" s="1" t="n">
        <v>85.68</v>
      </c>
      <c r="Q3224" s="1" t="s">
        <v>20</v>
      </c>
      <c r="R3224" s="1" t="s">
        <v>27</v>
      </c>
      <c r="S3224" s="1" t="s">
        <v>28</v>
      </c>
      <c r="T3224" s="1" t="s">
        <v>29</v>
      </c>
    </row>
    <row r="3225" customFormat="false" ht="18.7" hidden="false" customHeight="true" outlineLevel="0" collapsed="false">
      <c r="A3225" s="1" t="n">
        <v>3224</v>
      </c>
      <c r="B3225" s="6" t="str">
        <f aca="false">HYPERLINK("https://mncourtfraud.com/file/MCRO_27-CR-23-12653_Notice of Hearing_2023-07-10_20240430074018.pdf","MCRO_27-CR-23-12653_Notice of Hearing_2023-07-10_20240430074018.pdf")</f>
        <v>MCRO_27-CR-23-12653_Notice of Hearing_2023-07-10_20240430074018.pdf</v>
      </c>
      <c r="C3225" s="1" t="n">
        <v>4</v>
      </c>
      <c r="D3225" s="1" t="n">
        <v>1</v>
      </c>
      <c r="E3225" s="1" t="n">
        <v>1</v>
      </c>
      <c r="F3225" s="3" t="s">
        <v>20</v>
      </c>
      <c r="G3225" s="3" t="s">
        <v>12981</v>
      </c>
      <c r="H3225" s="1" t="s">
        <v>22</v>
      </c>
      <c r="I3225" s="1" t="n">
        <v>20240430074018</v>
      </c>
      <c r="J3225" s="3" t="s">
        <v>12982</v>
      </c>
      <c r="K3225" s="3" t="s">
        <v>12983</v>
      </c>
      <c r="L3225" s="3" t="s">
        <v>12984</v>
      </c>
      <c r="M3225" s="3" t="n">
        <v>463861</v>
      </c>
      <c r="N3225" s="3" t="s">
        <v>158</v>
      </c>
      <c r="O3225" s="1" t="n">
        <v>447475</v>
      </c>
      <c r="P3225" s="1" t="n">
        <v>96.47</v>
      </c>
      <c r="Q3225" s="1" t="s">
        <v>20</v>
      </c>
      <c r="R3225" s="1" t="s">
        <v>27</v>
      </c>
      <c r="S3225" s="1" t="s">
        <v>28</v>
      </c>
      <c r="T3225" s="1" t="s">
        <v>29</v>
      </c>
    </row>
    <row r="3226" customFormat="false" ht="18.7" hidden="false" customHeight="true" outlineLevel="0" collapsed="false">
      <c r="A3226" s="1" t="n">
        <v>3225</v>
      </c>
      <c r="B3226" s="6" t="str">
        <f aca="false">HYPERLINK("https://mncourtfraud.com/file/MCRO_27-CR-23-12653_Notice of Remote Hearing with Instructions_2023-12-05_20240430074012.pdf","MCRO_27-CR-23-12653_Notice of Remote Hearing with Instructions_2023-12-05_20240430074012.pdf")</f>
        <v>MCRO_27-CR-23-12653_Notice of Remote Hearing with Instructions_2023-12-05_20240430074012.pdf</v>
      </c>
      <c r="C3226" s="1" t="n">
        <v>5</v>
      </c>
      <c r="D3226" s="1" t="n">
        <v>1</v>
      </c>
      <c r="E3226" s="1" t="n">
        <v>1</v>
      </c>
      <c r="F3226" s="3" t="s">
        <v>20</v>
      </c>
      <c r="G3226" s="3" t="s">
        <v>12985</v>
      </c>
      <c r="H3226" s="1" t="s">
        <v>22</v>
      </c>
      <c r="I3226" s="1" t="n">
        <v>20240430074012</v>
      </c>
      <c r="J3226" s="3" t="s">
        <v>12986</v>
      </c>
      <c r="K3226" s="3" t="s">
        <v>12987</v>
      </c>
      <c r="L3226" s="3" t="s">
        <v>12988</v>
      </c>
      <c r="M3226" s="3" t="n">
        <v>845116</v>
      </c>
      <c r="N3226" s="3" t="s">
        <v>12350</v>
      </c>
      <c r="O3226" s="1" t="n">
        <v>828730</v>
      </c>
      <c r="P3226" s="1" t="n">
        <v>98.06</v>
      </c>
      <c r="Q3226" s="1" t="s">
        <v>20</v>
      </c>
      <c r="R3226" s="1" t="s">
        <v>27</v>
      </c>
      <c r="S3226" s="1" t="s">
        <v>28</v>
      </c>
      <c r="T3226" s="1" t="s">
        <v>29</v>
      </c>
    </row>
    <row r="3227" customFormat="false" ht="18.7" hidden="false" customHeight="true" outlineLevel="0" collapsed="false">
      <c r="A3227" s="1" t="n">
        <v>3226</v>
      </c>
      <c r="B3227" s="6" t="str">
        <f aca="false">HYPERLINK("https://mncourtfraud.com/file/MCRO_27-CR-23-12653_Notice of Remote Hearing with Instructions_2023-12-12_20240430074011.pdf","MCRO_27-CR-23-12653_Notice of Remote Hearing with Instructions_2023-12-12_20240430074011.pdf")</f>
        <v>MCRO_27-CR-23-12653_Notice of Remote Hearing with Instructions_2023-12-12_20240430074011.pdf</v>
      </c>
      <c r="C3227" s="1" t="n">
        <v>5</v>
      </c>
      <c r="D3227" s="1" t="n">
        <v>1</v>
      </c>
      <c r="E3227" s="1" t="n">
        <v>1</v>
      </c>
      <c r="F3227" s="3" t="s">
        <v>20</v>
      </c>
      <c r="G3227" s="3" t="s">
        <v>12989</v>
      </c>
      <c r="H3227" s="1" t="s">
        <v>22</v>
      </c>
      <c r="I3227" s="1" t="n">
        <v>20240430074011</v>
      </c>
      <c r="J3227" s="3" t="s">
        <v>12990</v>
      </c>
      <c r="K3227" s="3" t="s">
        <v>12991</v>
      </c>
      <c r="L3227" s="3" t="s">
        <v>12992</v>
      </c>
      <c r="M3227" s="3" t="n">
        <v>844250</v>
      </c>
      <c r="N3227" s="3" t="s">
        <v>3164</v>
      </c>
      <c r="O3227" s="1" t="n">
        <v>827864</v>
      </c>
      <c r="P3227" s="1" t="n">
        <v>98.06</v>
      </c>
      <c r="Q3227" s="1" t="s">
        <v>20</v>
      </c>
      <c r="R3227" s="1" t="s">
        <v>27</v>
      </c>
      <c r="S3227" s="1" t="s">
        <v>28</v>
      </c>
      <c r="T3227" s="1" t="s">
        <v>29</v>
      </c>
    </row>
    <row r="3228" customFormat="false" ht="18.7" hidden="false" customHeight="true" outlineLevel="0" collapsed="false">
      <c r="A3228" s="1" t="n">
        <v>3227</v>
      </c>
      <c r="B3228" s="6" t="str">
        <f aca="false">HYPERLINK("https://mncourtfraud.com/file/MCRO_27-CR-23-12653_Order-Evaluation for Competency to Proceed (Rule 20.01)_2023-09-27_20240430074014.pdf","MCRO_27-CR-23-12653_Order-Evaluation for Competency to Proceed (Rule 20.01)_2023-09-27_20240430074014.pdf")</f>
        <v>MCRO_27-CR-23-12653_Order-Evaluation for Competency to Proceed (Rule 20.01)_2023-09-27_20240430074014.pdf</v>
      </c>
      <c r="C3228" s="1" t="n">
        <v>3</v>
      </c>
      <c r="D3228" s="1" t="n">
        <v>1</v>
      </c>
      <c r="E3228" s="1" t="n">
        <v>1</v>
      </c>
      <c r="F3228" s="3" t="s">
        <v>20</v>
      </c>
      <c r="G3228" s="3" t="s">
        <v>12993</v>
      </c>
      <c r="H3228" s="1" t="s">
        <v>22</v>
      </c>
      <c r="I3228" s="1" t="n">
        <v>20240430074014</v>
      </c>
      <c r="J3228" s="3" t="s">
        <v>12994</v>
      </c>
      <c r="K3228" s="3" t="s">
        <v>12995</v>
      </c>
      <c r="L3228" s="3" t="s">
        <v>12996</v>
      </c>
      <c r="M3228" s="3" t="n">
        <v>1931756</v>
      </c>
      <c r="N3228" s="3" t="s">
        <v>12610</v>
      </c>
      <c r="O3228" s="1" t="n">
        <v>1915370</v>
      </c>
      <c r="P3228" s="1" t="n">
        <v>99.15</v>
      </c>
      <c r="Q3228" s="1" t="s">
        <v>20</v>
      </c>
      <c r="R3228" s="1" t="s">
        <v>27</v>
      </c>
      <c r="S3228" s="1" t="s">
        <v>28</v>
      </c>
      <c r="T3228" s="1" t="s">
        <v>29</v>
      </c>
    </row>
    <row r="3229" customFormat="false" ht="18.7" hidden="false" customHeight="true" outlineLevel="0" collapsed="false">
      <c r="A3229" s="1" t="n">
        <v>3228</v>
      </c>
      <c r="B3229" s="6" t="str">
        <f aca="false">HYPERLINK("https://mncourtfraud.com/file/MCRO_27-CR-23-12653_Order for Conditional Release_2023-08-31_20240430074015.pdf","MCRO_27-CR-23-12653_Order for Conditional Release_2023-08-31_20240430074015.pdf")</f>
        <v>MCRO_27-CR-23-12653_Order for Conditional Release_2023-08-31_20240430074015.pdf</v>
      </c>
      <c r="C3229" s="1" t="n">
        <v>4</v>
      </c>
      <c r="D3229" s="1" t="n">
        <v>1</v>
      </c>
      <c r="E3229" s="1" t="n">
        <v>1</v>
      </c>
      <c r="F3229" s="3" t="s">
        <v>20</v>
      </c>
      <c r="G3229" s="3" t="s">
        <v>12997</v>
      </c>
      <c r="H3229" s="1" t="s">
        <v>22</v>
      </c>
      <c r="I3229" s="1" t="n">
        <v>20240430074015</v>
      </c>
      <c r="J3229" s="3" t="s">
        <v>12998</v>
      </c>
      <c r="K3229" s="3" t="s">
        <v>12999</v>
      </c>
      <c r="L3229" s="3" t="s">
        <v>13000</v>
      </c>
      <c r="M3229" s="3" t="n">
        <v>147958</v>
      </c>
      <c r="N3229" s="3" t="s">
        <v>3269</v>
      </c>
      <c r="O3229" s="1" t="n">
        <v>131572</v>
      </c>
      <c r="P3229" s="1" t="n">
        <v>88.93</v>
      </c>
      <c r="Q3229" s="1" t="s">
        <v>20</v>
      </c>
      <c r="R3229" s="1" t="s">
        <v>27</v>
      </c>
      <c r="S3229" s="1" t="s">
        <v>28</v>
      </c>
      <c r="T3229" s="1" t="s">
        <v>29</v>
      </c>
    </row>
    <row r="3230" customFormat="false" ht="18.7" hidden="false" customHeight="true" outlineLevel="0" collapsed="false">
      <c r="A3230" s="1" t="n">
        <v>3229</v>
      </c>
      <c r="B3230" s="6" t="str">
        <f aca="false">HYPERLINK("https://mncourtfraud.com/file/MCRO_27-CR-23-12653_Order to Recuse_2023-08-09_20240430074016.pdf","MCRO_27-CR-23-12653_Order to Recuse_2023-08-09_20240430074016.pdf")</f>
        <v>MCRO_27-CR-23-12653_Order to Recuse_2023-08-09_20240430074016.pdf</v>
      </c>
      <c r="C3230" s="1" t="n">
        <v>3</v>
      </c>
      <c r="D3230" s="1" t="n">
        <v>1</v>
      </c>
      <c r="E3230" s="1" t="n">
        <v>1</v>
      </c>
      <c r="F3230" s="3" t="s">
        <v>20</v>
      </c>
      <c r="G3230" s="3" t="s">
        <v>13001</v>
      </c>
      <c r="H3230" s="1" t="s">
        <v>22</v>
      </c>
      <c r="I3230" s="1" t="n">
        <v>20240430074016</v>
      </c>
      <c r="J3230" s="3" t="s">
        <v>13002</v>
      </c>
      <c r="K3230" s="3" t="s">
        <v>13003</v>
      </c>
      <c r="L3230" s="3" t="s">
        <v>13004</v>
      </c>
      <c r="M3230" s="3" t="n">
        <v>144165</v>
      </c>
      <c r="N3230" s="3" t="s">
        <v>1690</v>
      </c>
      <c r="O3230" s="1" t="n">
        <v>127779</v>
      </c>
      <c r="P3230" s="1" t="n">
        <v>88.63</v>
      </c>
      <c r="Q3230" s="1" t="s">
        <v>20</v>
      </c>
      <c r="R3230" s="1" t="s">
        <v>27</v>
      </c>
      <c r="S3230" s="1" t="s">
        <v>28</v>
      </c>
      <c r="T3230" s="1" t="s">
        <v>29</v>
      </c>
    </row>
    <row r="3231" customFormat="false" ht="18.7" hidden="false" customHeight="true" outlineLevel="0" collapsed="false">
      <c r="A3231" s="1" t="n">
        <v>3230</v>
      </c>
      <c r="B3231" s="6" t="str">
        <f aca="false">HYPERLINK("https://mncourtfraud.com/file/MCRO_27-CR-23-12653_Summons_2023-06-20_20240430074019.pdf","MCRO_27-CR-23-12653_Summons_2023-06-20_20240430074019.pdf")</f>
        <v>MCRO_27-CR-23-12653_Summons_2023-06-20_20240430074019.pdf</v>
      </c>
      <c r="C3231" s="1" t="n">
        <v>5</v>
      </c>
      <c r="D3231" s="1" t="n">
        <v>1</v>
      </c>
      <c r="E3231" s="1" t="n">
        <v>1</v>
      </c>
      <c r="F3231" s="3" t="s">
        <v>20</v>
      </c>
      <c r="G3231" s="3" t="s">
        <v>13005</v>
      </c>
      <c r="H3231" s="1" t="s">
        <v>22</v>
      </c>
      <c r="I3231" s="1" t="n">
        <v>20240430074019</v>
      </c>
      <c r="J3231" s="3" t="s">
        <v>13006</v>
      </c>
      <c r="K3231" s="3" t="s">
        <v>13007</v>
      </c>
      <c r="L3231" s="3" t="s">
        <v>13008</v>
      </c>
      <c r="M3231" s="3" t="n">
        <v>701936</v>
      </c>
      <c r="N3231" s="3" t="s">
        <v>2723</v>
      </c>
      <c r="O3231" s="1" t="n">
        <v>685550</v>
      </c>
      <c r="P3231" s="1" t="n">
        <v>97.67</v>
      </c>
      <c r="Q3231" s="1" t="s">
        <v>20</v>
      </c>
      <c r="R3231" s="1" t="s">
        <v>27</v>
      </c>
      <c r="S3231" s="1" t="s">
        <v>28</v>
      </c>
      <c r="T3231" s="1" t="s">
        <v>29</v>
      </c>
    </row>
    <row r="3232" customFormat="false" ht="18.7" hidden="false" customHeight="true" outlineLevel="0" collapsed="false">
      <c r="A3232" s="1" t="n">
        <v>3231</v>
      </c>
      <c r="B3232" s="6" t="str">
        <f aca="false">HYPERLINK("https://mncourtfraud.com/file/MCRO_27-CR-23-13960_Amended Order_2023-08-28_20240430074054.pdf","MCRO_27-CR-23-13960_Amended Order_2023-08-28_20240430074054.pdf")</f>
        <v>MCRO_27-CR-23-13960_Amended Order_2023-08-28_20240430074054.pdf</v>
      </c>
      <c r="C3232" s="1" t="n">
        <v>3</v>
      </c>
      <c r="D3232" s="1" t="n">
        <v>1</v>
      </c>
      <c r="E3232" s="1" t="n">
        <v>1</v>
      </c>
      <c r="F3232" s="3" t="s">
        <v>20</v>
      </c>
      <c r="G3232" s="3" t="s">
        <v>13009</v>
      </c>
      <c r="H3232" s="1" t="s">
        <v>22</v>
      </c>
      <c r="I3232" s="1" t="n">
        <v>20240430074054</v>
      </c>
      <c r="J3232" s="3" t="s">
        <v>13010</v>
      </c>
      <c r="K3232" s="3" t="s">
        <v>13011</v>
      </c>
      <c r="L3232" s="3" t="s">
        <v>13012</v>
      </c>
      <c r="M3232" s="3" t="n">
        <v>839497</v>
      </c>
      <c r="N3232" s="3" t="s">
        <v>2818</v>
      </c>
      <c r="O3232" s="1" t="n">
        <v>823111</v>
      </c>
      <c r="P3232" s="1" t="n">
        <v>98.05</v>
      </c>
      <c r="Q3232" s="1" t="s">
        <v>20</v>
      </c>
      <c r="R3232" s="1" t="s">
        <v>27</v>
      </c>
      <c r="S3232" s="1" t="s">
        <v>28</v>
      </c>
      <c r="T3232" s="1" t="s">
        <v>29</v>
      </c>
    </row>
    <row r="3233" customFormat="false" ht="18.7" hidden="false" customHeight="true" outlineLevel="0" collapsed="false">
      <c r="A3233" s="1" t="n">
        <v>3232</v>
      </c>
      <c r="B3233" s="6" t="str">
        <f aca="false">HYPERLINK("https://mncourtfraud.com/file/MCRO_27-CR-23-13960_Amended Order_2023-11-20_20240430074053.pdf","MCRO_27-CR-23-13960_Amended Order_2023-11-20_20240430074053.pdf")</f>
        <v>MCRO_27-CR-23-13960_Amended Order_2023-11-20_20240430074053.pdf</v>
      </c>
      <c r="C3233" s="1" t="n">
        <v>4</v>
      </c>
      <c r="D3233" s="1" t="n">
        <v>1</v>
      </c>
      <c r="E3233" s="1" t="n">
        <v>1</v>
      </c>
      <c r="F3233" s="3" t="s">
        <v>20</v>
      </c>
      <c r="G3233" s="3" t="s">
        <v>13013</v>
      </c>
      <c r="H3233" s="1" t="s">
        <v>22</v>
      </c>
      <c r="I3233" s="1" t="n">
        <v>20240430074053</v>
      </c>
      <c r="J3233" s="3" t="s">
        <v>13014</v>
      </c>
      <c r="K3233" s="3" t="s">
        <v>13015</v>
      </c>
      <c r="L3233" s="3" t="s">
        <v>13016</v>
      </c>
      <c r="M3233" s="3" t="n">
        <v>105636</v>
      </c>
      <c r="N3233" s="3" t="s">
        <v>158</v>
      </c>
      <c r="O3233" s="1" t="n">
        <v>89250</v>
      </c>
      <c r="P3233" s="1" t="n">
        <v>84.49</v>
      </c>
      <c r="Q3233" s="1" t="s">
        <v>20</v>
      </c>
      <c r="R3233" s="1" t="s">
        <v>27</v>
      </c>
      <c r="S3233" s="1" t="s">
        <v>28</v>
      </c>
      <c r="T3233" s="1" t="s">
        <v>29</v>
      </c>
    </row>
    <row r="3234" customFormat="false" ht="18.7" hidden="false" customHeight="true" outlineLevel="0" collapsed="false">
      <c r="A3234" s="1" t="n">
        <v>3233</v>
      </c>
      <c r="B3234" s="6" t="str">
        <f aca="false">HYPERLINK("https://mncourtfraud.com/file/MCRO_27-CR-23-13960_Demand or Request for Discovery_2023-07-10_20240430074057.pdf","MCRO_27-CR-23-13960_Demand or Request for Discovery_2023-07-10_20240430074057.pdf")</f>
        <v>MCRO_27-CR-23-13960_Demand or Request for Discovery_2023-07-10_20240430074057.pdf</v>
      </c>
      <c r="C3234" s="1" t="n">
        <v>3</v>
      </c>
      <c r="D3234" s="1" t="n">
        <v>1</v>
      </c>
      <c r="E3234" s="1" t="n">
        <v>1</v>
      </c>
      <c r="F3234" s="3" t="s">
        <v>20</v>
      </c>
      <c r="G3234" s="3" t="s">
        <v>13017</v>
      </c>
      <c r="H3234" s="1" t="s">
        <v>22</v>
      </c>
      <c r="I3234" s="1" t="n">
        <v>20240430074057</v>
      </c>
      <c r="J3234" s="3" t="s">
        <v>13018</v>
      </c>
      <c r="K3234" s="3" t="s">
        <v>13019</v>
      </c>
      <c r="L3234" s="3" t="s">
        <v>13020</v>
      </c>
      <c r="M3234" s="3" t="n">
        <v>340727</v>
      </c>
      <c r="N3234" s="3" t="s">
        <v>1512</v>
      </c>
      <c r="O3234" s="1" t="n">
        <v>324341</v>
      </c>
      <c r="P3234" s="1" t="n">
        <v>95.19</v>
      </c>
      <c r="Q3234" s="1" t="s">
        <v>20</v>
      </c>
      <c r="R3234" s="1" t="s">
        <v>27</v>
      </c>
      <c r="S3234" s="1" t="s">
        <v>28</v>
      </c>
      <c r="T3234" s="1" t="s">
        <v>29</v>
      </c>
    </row>
    <row r="3235" customFormat="false" ht="18.7" hidden="false" customHeight="true" outlineLevel="0" collapsed="false">
      <c r="A3235" s="1" t="n">
        <v>3234</v>
      </c>
      <c r="B3235" s="6" t="str">
        <f aca="false">HYPERLINK("https://mncourtfraud.com/file/MCRO_27-CR-23-13960_E-filed Comp-Order for Detention_2023-07-05_20240430074100.pdf","MCRO_27-CR-23-13960_E-filed Comp-Order for Detention_2023-07-05_20240430074100.pdf")</f>
        <v>MCRO_27-CR-23-13960_E-filed Comp-Order for Detention_2023-07-05_20240430074100.pdf</v>
      </c>
      <c r="C3235" s="1" t="n">
        <v>5</v>
      </c>
      <c r="D3235" s="1" t="n">
        <v>2</v>
      </c>
      <c r="E3235" s="1" t="n">
        <v>2</v>
      </c>
      <c r="F3235" s="3" t="s">
        <v>20</v>
      </c>
      <c r="G3235" s="3" t="s">
        <v>13021</v>
      </c>
      <c r="H3235" s="1" t="s">
        <v>22</v>
      </c>
      <c r="I3235" s="1" t="n">
        <v>20240430074100</v>
      </c>
      <c r="J3235" s="3" t="s">
        <v>13022</v>
      </c>
      <c r="K3235" s="3" t="s">
        <v>13023</v>
      </c>
      <c r="L3235" s="3" t="s">
        <v>13024</v>
      </c>
      <c r="M3235" s="3" t="n">
        <v>487850</v>
      </c>
      <c r="N3235" s="3" t="s">
        <v>5842</v>
      </c>
      <c r="O3235" s="1" t="n">
        <v>471464</v>
      </c>
      <c r="P3235" s="1" t="n">
        <v>96.64</v>
      </c>
      <c r="Q3235" s="1" t="s">
        <v>20</v>
      </c>
      <c r="R3235" s="1" t="s">
        <v>27</v>
      </c>
      <c r="S3235" s="1" t="s">
        <v>28</v>
      </c>
      <c r="T3235" s="1" t="s">
        <v>29</v>
      </c>
    </row>
    <row r="3236" customFormat="false" ht="18.7" hidden="false" customHeight="true" outlineLevel="0" collapsed="false">
      <c r="A3236" s="1" t="n">
        <v>3235</v>
      </c>
      <c r="B3236" s="6" t="str">
        <f aca="false">HYPERLINK("https://mncourtfraud.com/file/MCRO_27-CR-23-13960_Finding of Incompetency and Order_2023-08-24_20240430074057.pdf","MCRO_27-CR-23-13960_Finding of Incompetency and Order_2023-08-24_20240430074057.pdf")</f>
        <v>MCRO_27-CR-23-13960_Finding of Incompetency and Order_2023-08-24_20240430074057.pdf</v>
      </c>
      <c r="C3236" s="1" t="n">
        <v>6</v>
      </c>
      <c r="D3236" s="1" t="n">
        <v>2</v>
      </c>
      <c r="E3236" s="1" t="n">
        <v>2</v>
      </c>
      <c r="F3236" s="3" t="s">
        <v>27</v>
      </c>
      <c r="G3236" s="3" t="s">
        <v>13025</v>
      </c>
      <c r="H3236" s="1" t="s">
        <v>22</v>
      </c>
      <c r="I3236" s="1" t="n">
        <v>20240430074057</v>
      </c>
      <c r="J3236" s="3" t="s">
        <v>13026</v>
      </c>
      <c r="K3236" s="3" t="s">
        <v>13027</v>
      </c>
      <c r="L3236" s="3" t="s">
        <v>13028</v>
      </c>
      <c r="M3236" s="3" t="n">
        <v>835649</v>
      </c>
      <c r="N3236" s="3" t="s">
        <v>7051</v>
      </c>
      <c r="O3236" s="1" t="n">
        <v>819263</v>
      </c>
      <c r="P3236" s="1" t="n">
        <v>98.04</v>
      </c>
      <c r="Q3236" s="1" t="s">
        <v>20</v>
      </c>
      <c r="R3236" s="1" t="s">
        <v>27</v>
      </c>
      <c r="S3236" s="1" t="s">
        <v>28</v>
      </c>
      <c r="T3236" s="1" t="s">
        <v>29</v>
      </c>
    </row>
    <row r="3237" customFormat="false" ht="18.7" hidden="false" customHeight="true" outlineLevel="0" collapsed="false">
      <c r="A3237" s="1" t="n">
        <v>3236</v>
      </c>
      <c r="B3237" s="6" t="str">
        <f aca="false">HYPERLINK("https://mncourtfraud.com/file/MCRO_27-CR-23-13960_Order-Evaluation for Competency to Proceed (Rule 20.01)_2023-07-07_20240430074058.pdf","MCRO_27-CR-23-13960_Order-Evaluation for Competency to Proceed (Rule 20.01)_2023-07-07_20240430074058.pdf")</f>
        <v>MCRO_27-CR-23-13960_Order-Evaluation for Competency to Proceed (Rule 20.01)_2023-07-07_20240430074058.pdf</v>
      </c>
      <c r="C3237" s="1" t="n">
        <v>4</v>
      </c>
      <c r="D3237" s="1" t="n">
        <v>1</v>
      </c>
      <c r="E3237" s="1" t="n">
        <v>1</v>
      </c>
      <c r="F3237" s="3" t="s">
        <v>20</v>
      </c>
      <c r="G3237" s="3" t="s">
        <v>13029</v>
      </c>
      <c r="H3237" s="1" t="s">
        <v>22</v>
      </c>
      <c r="I3237" s="1" t="n">
        <v>20240430074058</v>
      </c>
      <c r="J3237" s="3" t="s">
        <v>13030</v>
      </c>
      <c r="K3237" s="3" t="s">
        <v>13031</v>
      </c>
      <c r="L3237" s="3" t="s">
        <v>13032</v>
      </c>
      <c r="M3237" s="3" t="n">
        <v>136861</v>
      </c>
      <c r="N3237" s="3" t="s">
        <v>1159</v>
      </c>
      <c r="O3237" s="1" t="n">
        <v>120475</v>
      </c>
      <c r="P3237" s="1" t="n">
        <v>88.03</v>
      </c>
      <c r="Q3237" s="1" t="s">
        <v>20</v>
      </c>
      <c r="R3237" s="1" t="s">
        <v>27</v>
      </c>
      <c r="S3237" s="1" t="s">
        <v>28</v>
      </c>
      <c r="T3237" s="1" t="s">
        <v>29</v>
      </c>
    </row>
    <row r="3238" customFormat="false" ht="18.7" hidden="false" customHeight="true" outlineLevel="0" collapsed="false">
      <c r="A3238" s="1" t="n">
        <v>3237</v>
      </c>
      <c r="B3238" s="6" t="str">
        <f aca="false">HYPERLINK("https://mncourtfraud.com/file/MCRO_27-CR-23-13960_Order for Conditional Release_2023-08-28_20240430074055.pdf","MCRO_27-CR-23-13960_Order for Conditional Release_2023-08-28_20240430074055.pdf")</f>
        <v>MCRO_27-CR-23-13960_Order for Conditional Release_2023-08-28_20240430074055.pdf</v>
      </c>
      <c r="C3238" s="1" t="n">
        <v>4</v>
      </c>
      <c r="D3238" s="1" t="n">
        <v>1</v>
      </c>
      <c r="E3238" s="1" t="n">
        <v>1</v>
      </c>
      <c r="F3238" s="3" t="s">
        <v>20</v>
      </c>
      <c r="G3238" s="3" t="s">
        <v>13033</v>
      </c>
      <c r="H3238" s="1" t="s">
        <v>22</v>
      </c>
      <c r="I3238" s="1" t="n">
        <v>20240430074055</v>
      </c>
      <c r="J3238" s="3" t="s">
        <v>13034</v>
      </c>
      <c r="K3238" s="3" t="s">
        <v>13035</v>
      </c>
      <c r="L3238" s="3" t="s">
        <v>13036</v>
      </c>
      <c r="M3238" s="3" t="n">
        <v>127766</v>
      </c>
      <c r="N3238" s="3" t="s">
        <v>158</v>
      </c>
      <c r="O3238" s="1" t="n">
        <v>111380</v>
      </c>
      <c r="P3238" s="1" t="n">
        <v>87.17</v>
      </c>
      <c r="Q3238" s="1" t="s">
        <v>20</v>
      </c>
      <c r="R3238" s="1" t="s">
        <v>27</v>
      </c>
      <c r="S3238" s="1" t="s">
        <v>28</v>
      </c>
      <c r="T3238" s="1" t="s">
        <v>29</v>
      </c>
    </row>
    <row r="3239" customFormat="false" ht="18.7" hidden="false" customHeight="true" outlineLevel="0" collapsed="false">
      <c r="A3239" s="1" t="n">
        <v>3238</v>
      </c>
      <c r="B3239" s="6" t="str">
        <f aca="false">HYPERLINK("https://mncourtfraud.com/file/MCRO_27-CR-23-13960_Order Revoking Interim Conditions of Release_2023-11-28_20240430074051.pdf","MCRO_27-CR-23-13960_Order Revoking Interim Conditions of Release_2023-11-28_20240430074051.pdf")</f>
        <v>MCRO_27-CR-23-13960_Order Revoking Interim Conditions of Release_2023-11-28_20240430074051.pdf</v>
      </c>
      <c r="C3239" s="1" t="n">
        <v>5</v>
      </c>
      <c r="D3239" s="1" t="n">
        <v>4</v>
      </c>
      <c r="E3239" s="1" t="n">
        <v>4</v>
      </c>
      <c r="F3239" s="3" t="s">
        <v>20</v>
      </c>
      <c r="G3239" s="3" t="s">
        <v>13037</v>
      </c>
      <c r="H3239" s="1" t="s">
        <v>22</v>
      </c>
      <c r="I3239" s="1" t="n">
        <v>20240430074051</v>
      </c>
      <c r="J3239" s="3" t="s">
        <v>13038</v>
      </c>
      <c r="K3239" s="3" t="s">
        <v>13039</v>
      </c>
      <c r="L3239" s="3" t="s">
        <v>13040</v>
      </c>
      <c r="M3239" s="3" t="n">
        <v>370710</v>
      </c>
      <c r="N3239" s="3" t="s">
        <v>5570</v>
      </c>
      <c r="O3239" s="1" t="n">
        <v>354324</v>
      </c>
      <c r="P3239" s="1" t="n">
        <v>95.58</v>
      </c>
      <c r="Q3239" s="1" t="s">
        <v>20</v>
      </c>
      <c r="R3239" s="1" t="s">
        <v>27</v>
      </c>
      <c r="S3239" s="1" t="s">
        <v>28</v>
      </c>
      <c r="T3239" s="1" t="s">
        <v>29</v>
      </c>
    </row>
    <row r="3240" customFormat="false" ht="18.7" hidden="false" customHeight="true" outlineLevel="0" collapsed="false">
      <c r="A3240" s="1" t="n">
        <v>3239</v>
      </c>
      <c r="B3240" s="6" t="str">
        <f aca="false">HYPERLINK("https://mncourtfraud.com/file/MCRO_27-CR-23-13960_Proposed Order or Document_2023-11-28_20240430074052.pdf","MCRO_27-CR-23-13960_Proposed Order or Document_2023-11-28_20240430074052.pdf")</f>
        <v>MCRO_27-CR-23-13960_Proposed Order or Document_2023-11-28_20240430074052.pdf</v>
      </c>
      <c r="C3240" s="1" t="n">
        <v>4</v>
      </c>
      <c r="D3240" s="1" t="n">
        <v>1</v>
      </c>
      <c r="E3240" s="1" t="n">
        <v>1</v>
      </c>
      <c r="F3240" s="3" t="s">
        <v>20</v>
      </c>
      <c r="G3240" s="3" t="s">
        <v>13041</v>
      </c>
      <c r="H3240" s="1" t="s">
        <v>22</v>
      </c>
      <c r="I3240" s="1" t="n">
        <v>20240430074052</v>
      </c>
      <c r="J3240" s="3" t="s">
        <v>13042</v>
      </c>
      <c r="K3240" s="3" t="s">
        <v>13043</v>
      </c>
      <c r="L3240" s="3" t="s">
        <v>13044</v>
      </c>
      <c r="M3240" s="3" t="n">
        <v>218540</v>
      </c>
      <c r="N3240" s="3" t="s">
        <v>251</v>
      </c>
      <c r="O3240" s="1" t="n">
        <v>202154</v>
      </c>
      <c r="P3240" s="1" t="n">
        <v>92.5</v>
      </c>
      <c r="Q3240" s="1" t="s">
        <v>20</v>
      </c>
      <c r="R3240" s="1" t="s">
        <v>27</v>
      </c>
      <c r="S3240" s="1" t="s">
        <v>28</v>
      </c>
      <c r="T3240" s="1" t="s">
        <v>29</v>
      </c>
    </row>
    <row r="3241" customFormat="false" ht="18.7" hidden="false" customHeight="true" outlineLevel="0" collapsed="false">
      <c r="A3241" s="1" t="n">
        <v>3240</v>
      </c>
      <c r="B3241" s="6" t="str">
        <f aca="false">HYPERLINK("https://mncourtfraud.com/file/MCRO_27-CR-23-1600_Amended Order_2023-10-04_20240430072211.pdf","MCRO_27-CR-23-1600_Amended Order_2023-10-04_20240430072211.pdf")</f>
        <v>MCRO_27-CR-23-1600_Amended Order_2023-10-04_20240430072211.pdf</v>
      </c>
      <c r="C3241" s="1" t="n">
        <v>5</v>
      </c>
      <c r="D3241" s="1" t="n">
        <v>3</v>
      </c>
      <c r="E3241" s="1" t="n">
        <v>3</v>
      </c>
      <c r="F3241" s="3" t="s">
        <v>20</v>
      </c>
      <c r="G3241" s="3" t="s">
        <v>13045</v>
      </c>
      <c r="H3241" s="1" t="s">
        <v>22</v>
      </c>
      <c r="I3241" s="1" t="n">
        <v>20240430072211</v>
      </c>
      <c r="J3241" s="3" t="s">
        <v>13046</v>
      </c>
      <c r="K3241" s="3" t="s">
        <v>13047</v>
      </c>
      <c r="L3241" s="3" t="s">
        <v>13048</v>
      </c>
      <c r="M3241" s="3" t="n">
        <v>330565</v>
      </c>
      <c r="N3241" s="3" t="s">
        <v>13049</v>
      </c>
      <c r="O3241" s="1" t="n">
        <v>314179</v>
      </c>
      <c r="P3241" s="1" t="n">
        <v>95.04</v>
      </c>
      <c r="Q3241" s="1" t="s">
        <v>20</v>
      </c>
      <c r="R3241" s="1" t="s">
        <v>27</v>
      </c>
      <c r="S3241" s="1" t="s">
        <v>28</v>
      </c>
      <c r="T3241" s="1" t="s">
        <v>29</v>
      </c>
    </row>
    <row r="3242" customFormat="false" ht="18.7" hidden="false" customHeight="true" outlineLevel="0" collapsed="false">
      <c r="A3242" s="1" t="n">
        <v>3241</v>
      </c>
      <c r="B3242" s="6" t="str">
        <f aca="false">HYPERLINK("https://mncourtfraud.com/file/MCRO_27-CR-23-1600_Citation Data Summary_2023-01-20_20240430072222.pdf","MCRO_27-CR-23-1600_Citation Data Summary_2023-01-20_20240430072222.pdf")</f>
        <v>MCRO_27-CR-23-1600_Citation Data Summary_2023-01-20_20240430072222.pdf</v>
      </c>
      <c r="C3242" s="1" t="n">
        <v>5</v>
      </c>
      <c r="D3242" s="1" t="n">
        <v>2</v>
      </c>
      <c r="E3242" s="1" t="n">
        <v>2</v>
      </c>
      <c r="F3242" s="3" t="s">
        <v>20</v>
      </c>
      <c r="G3242" s="3" t="s">
        <v>13050</v>
      </c>
      <c r="H3242" s="1" t="s">
        <v>22</v>
      </c>
      <c r="I3242" s="1" t="n">
        <v>20240430072222</v>
      </c>
      <c r="J3242" s="3" t="s">
        <v>13051</v>
      </c>
      <c r="K3242" s="3" t="s">
        <v>13052</v>
      </c>
      <c r="L3242" s="3" t="s">
        <v>13053</v>
      </c>
      <c r="M3242" s="3" t="n">
        <v>102809</v>
      </c>
      <c r="N3242" s="3" t="s">
        <v>535</v>
      </c>
      <c r="O3242" s="1" t="n">
        <v>86423</v>
      </c>
      <c r="P3242" s="1" t="n">
        <v>84.06</v>
      </c>
      <c r="Q3242" s="1" t="s">
        <v>20</v>
      </c>
      <c r="R3242" s="1" t="s">
        <v>27</v>
      </c>
      <c r="S3242" s="1" t="s">
        <v>28</v>
      </c>
      <c r="T3242" s="1" t="s">
        <v>29</v>
      </c>
    </row>
    <row r="3243" customFormat="false" ht="18.7" hidden="false" customHeight="true" outlineLevel="0" collapsed="false">
      <c r="A3243" s="1" t="n">
        <v>3242</v>
      </c>
      <c r="B3243" s="6" t="str">
        <f aca="false">HYPERLINK("https://mncourtfraud.com/file/MCRO_27-CR-23-1600_Dismissal by Prosecuting Attorney_2023-12-04_20240430072210.pdf","MCRO_27-CR-23-1600_Dismissal by Prosecuting Attorney_2023-12-04_20240430072210.pdf")</f>
        <v>MCRO_27-CR-23-1600_Dismissal by Prosecuting Attorney_2023-12-04_20240430072210.pdf</v>
      </c>
      <c r="C3243" s="1" t="n">
        <v>3</v>
      </c>
      <c r="D3243" s="1" t="n">
        <v>1</v>
      </c>
      <c r="E3243" s="1" t="n">
        <v>1</v>
      </c>
      <c r="F3243" s="3" t="s">
        <v>20</v>
      </c>
      <c r="G3243" s="3" t="s">
        <v>13054</v>
      </c>
      <c r="H3243" s="1" t="s">
        <v>22</v>
      </c>
      <c r="I3243" s="1" t="n">
        <v>20240430072210</v>
      </c>
      <c r="J3243" s="3" t="s">
        <v>13055</v>
      </c>
      <c r="K3243" s="3" t="s">
        <v>13056</v>
      </c>
      <c r="L3243" s="3" t="s">
        <v>13057</v>
      </c>
      <c r="M3243" s="3" t="n">
        <v>119459</v>
      </c>
      <c r="N3243" s="3" t="s">
        <v>74</v>
      </c>
      <c r="O3243" s="1" t="n">
        <v>103073</v>
      </c>
      <c r="P3243" s="1" t="n">
        <v>86.28</v>
      </c>
      <c r="Q3243" s="1" t="s">
        <v>20</v>
      </c>
      <c r="R3243" s="1" t="s">
        <v>27</v>
      </c>
      <c r="S3243" s="1" t="s">
        <v>28</v>
      </c>
      <c r="T3243" s="1" t="s">
        <v>29</v>
      </c>
    </row>
    <row r="3244" customFormat="false" ht="18.7" hidden="false" customHeight="true" outlineLevel="0" collapsed="false">
      <c r="A3244" s="1" t="n">
        <v>3243</v>
      </c>
      <c r="B3244" s="6" t="str">
        <f aca="false">HYPERLINK("https://mncourtfraud.com/file/MCRO_27-CR-23-1600_Notice of Hearing_2023-03-10_20240430072219.pdf","MCRO_27-CR-23-1600_Notice of Hearing_2023-03-10_20240430072219.pdf")</f>
        <v>MCRO_27-CR-23-1600_Notice of Hearing_2023-03-10_20240430072219.pdf</v>
      </c>
      <c r="C3244" s="1" t="n">
        <v>4</v>
      </c>
      <c r="D3244" s="1" t="n">
        <v>1</v>
      </c>
      <c r="E3244" s="1" t="n">
        <v>1</v>
      </c>
      <c r="F3244" s="3" t="s">
        <v>20</v>
      </c>
      <c r="G3244" s="3" t="s">
        <v>13058</v>
      </c>
      <c r="H3244" s="1" t="s">
        <v>22</v>
      </c>
      <c r="I3244" s="1" t="n">
        <v>20240430072219</v>
      </c>
      <c r="J3244" s="3" t="s">
        <v>13059</v>
      </c>
      <c r="K3244" s="3" t="s">
        <v>13060</v>
      </c>
      <c r="L3244" s="3" t="s">
        <v>13061</v>
      </c>
      <c r="M3244" s="3" t="n">
        <v>102132</v>
      </c>
      <c r="N3244" s="3" t="s">
        <v>435</v>
      </c>
      <c r="O3244" s="1" t="n">
        <v>85746</v>
      </c>
      <c r="P3244" s="1" t="n">
        <v>83.96</v>
      </c>
      <c r="Q3244" s="1" t="s">
        <v>20</v>
      </c>
      <c r="R3244" s="1" t="s">
        <v>27</v>
      </c>
      <c r="S3244" s="1" t="s">
        <v>28</v>
      </c>
      <c r="T3244" s="1" t="s">
        <v>29</v>
      </c>
    </row>
    <row r="3245" customFormat="false" ht="18.7" hidden="false" customHeight="true" outlineLevel="0" collapsed="false">
      <c r="A3245" s="1" t="n">
        <v>3244</v>
      </c>
      <c r="B3245" s="6" t="str">
        <f aca="false">HYPERLINK("https://mncourtfraud.com/file/MCRO_27-CR-23-1600_Notice of Hearing_2023-03-13_20240430072218.pdf","MCRO_27-CR-23-1600_Notice of Hearing_2023-03-13_20240430072218.pdf")</f>
        <v>MCRO_27-CR-23-1600_Notice of Hearing_2023-03-13_20240430072218.pdf</v>
      </c>
      <c r="C3245" s="1" t="n">
        <v>4</v>
      </c>
      <c r="D3245" s="1" t="n">
        <v>1</v>
      </c>
      <c r="E3245" s="1" t="n">
        <v>1</v>
      </c>
      <c r="F3245" s="3" t="s">
        <v>20</v>
      </c>
      <c r="G3245" s="3" t="s">
        <v>13062</v>
      </c>
      <c r="H3245" s="1" t="s">
        <v>22</v>
      </c>
      <c r="I3245" s="1" t="n">
        <v>20240430072218</v>
      </c>
      <c r="J3245" s="3" t="s">
        <v>13063</v>
      </c>
      <c r="K3245" s="3" t="s">
        <v>13064</v>
      </c>
      <c r="L3245" s="3" t="s">
        <v>13065</v>
      </c>
      <c r="M3245" s="3" t="n">
        <v>524794</v>
      </c>
      <c r="N3245" s="3" t="s">
        <v>158</v>
      </c>
      <c r="O3245" s="1" t="n">
        <v>508408</v>
      </c>
      <c r="P3245" s="1" t="n">
        <v>96.88</v>
      </c>
      <c r="Q3245" s="1" t="s">
        <v>20</v>
      </c>
      <c r="R3245" s="1" t="s">
        <v>27</v>
      </c>
      <c r="S3245" s="1" t="s">
        <v>28</v>
      </c>
      <c r="T3245" s="1" t="s">
        <v>29</v>
      </c>
    </row>
    <row r="3246" customFormat="false" ht="18.7" hidden="false" customHeight="true" outlineLevel="0" collapsed="false">
      <c r="A3246" s="1" t="n">
        <v>3245</v>
      </c>
      <c r="B3246" s="6" t="str">
        <f aca="false">HYPERLINK("https://mncourtfraud.com/file/MCRO_27-CR-23-1600_Notice of Hearing_2023-04-21_20240430072217.pdf","MCRO_27-CR-23-1600_Notice of Hearing_2023-04-21_20240430072217.pdf")</f>
        <v>MCRO_27-CR-23-1600_Notice of Hearing_2023-04-21_20240430072217.pdf</v>
      </c>
      <c r="C3246" s="1" t="n">
        <v>4</v>
      </c>
      <c r="D3246" s="1" t="n">
        <v>1</v>
      </c>
      <c r="E3246" s="1" t="n">
        <v>1</v>
      </c>
      <c r="F3246" s="3" t="s">
        <v>20</v>
      </c>
      <c r="G3246" s="3" t="s">
        <v>13066</v>
      </c>
      <c r="H3246" s="1" t="s">
        <v>22</v>
      </c>
      <c r="I3246" s="1" t="n">
        <v>20240430072217</v>
      </c>
      <c r="J3246" s="3" t="s">
        <v>13067</v>
      </c>
      <c r="K3246" s="3" t="s">
        <v>13068</v>
      </c>
      <c r="L3246" s="3" t="s">
        <v>13069</v>
      </c>
      <c r="M3246" s="3" t="n">
        <v>98168</v>
      </c>
      <c r="N3246" s="3" t="s">
        <v>435</v>
      </c>
      <c r="O3246" s="1" t="n">
        <v>81782</v>
      </c>
      <c r="P3246" s="1" t="n">
        <v>83.31</v>
      </c>
      <c r="Q3246" s="1" t="s">
        <v>20</v>
      </c>
      <c r="R3246" s="1" t="s">
        <v>27</v>
      </c>
      <c r="S3246" s="1" t="s">
        <v>28</v>
      </c>
      <c r="T3246" s="1" t="s">
        <v>29</v>
      </c>
    </row>
    <row r="3247" customFormat="false" ht="18.7" hidden="false" customHeight="true" outlineLevel="0" collapsed="false">
      <c r="A3247" s="1" t="n">
        <v>3246</v>
      </c>
      <c r="B3247" s="6" t="str">
        <f aca="false">HYPERLINK("https://mncourtfraud.com/file/MCRO_27-CR-23-1600_Notice of Hearing_2023-05-26_20240430072216.pdf","MCRO_27-CR-23-1600_Notice of Hearing_2023-05-26_20240430072216.pdf")</f>
        <v>MCRO_27-CR-23-1600_Notice of Hearing_2023-05-26_20240430072216.pdf</v>
      </c>
      <c r="C3247" s="1" t="n">
        <v>5</v>
      </c>
      <c r="D3247" s="1" t="n">
        <v>1</v>
      </c>
      <c r="E3247" s="1" t="n">
        <v>1</v>
      </c>
      <c r="F3247" s="3" t="s">
        <v>20</v>
      </c>
      <c r="G3247" s="3" t="s">
        <v>13070</v>
      </c>
      <c r="H3247" s="1" t="s">
        <v>22</v>
      </c>
      <c r="I3247" s="1" t="n">
        <v>20240430072216</v>
      </c>
      <c r="J3247" s="3" t="s">
        <v>13071</v>
      </c>
      <c r="K3247" s="3" t="s">
        <v>13072</v>
      </c>
      <c r="L3247" s="3" t="s">
        <v>13073</v>
      </c>
      <c r="M3247" s="3" t="n">
        <v>739779</v>
      </c>
      <c r="N3247" s="3" t="s">
        <v>722</v>
      </c>
      <c r="O3247" s="1" t="n">
        <v>723393</v>
      </c>
      <c r="P3247" s="1" t="n">
        <v>97.79</v>
      </c>
      <c r="Q3247" s="1" t="s">
        <v>20</v>
      </c>
      <c r="R3247" s="1" t="s">
        <v>27</v>
      </c>
      <c r="S3247" s="1" t="s">
        <v>28</v>
      </c>
      <c r="T3247" s="1" t="s">
        <v>29</v>
      </c>
    </row>
    <row r="3248" customFormat="false" ht="18.7" hidden="false" customHeight="true" outlineLevel="0" collapsed="false">
      <c r="A3248" s="1" t="n">
        <v>3247</v>
      </c>
      <c r="B3248" s="6" t="str">
        <f aca="false">HYPERLINK("https://mncourtfraud.com/file/MCRO_27-CR-23-1600_Order for Conditional Release_2023-07-14_20240430072215.pdf","MCRO_27-CR-23-1600_Order for Conditional Release_2023-07-14_20240430072215.pdf")</f>
        <v>MCRO_27-CR-23-1600_Order for Conditional Release_2023-07-14_20240430072215.pdf</v>
      </c>
      <c r="C3248" s="1" t="n">
        <v>4</v>
      </c>
      <c r="D3248" s="1" t="n">
        <v>1</v>
      </c>
      <c r="E3248" s="1" t="n">
        <v>1</v>
      </c>
      <c r="F3248" s="3" t="s">
        <v>20</v>
      </c>
      <c r="G3248" s="3" t="s">
        <v>13074</v>
      </c>
      <c r="H3248" s="1" t="s">
        <v>22</v>
      </c>
      <c r="I3248" s="1" t="n">
        <v>20240430072215</v>
      </c>
      <c r="J3248" s="3" t="s">
        <v>13075</v>
      </c>
      <c r="K3248" s="3" t="s">
        <v>13076</v>
      </c>
      <c r="L3248" s="3" t="s">
        <v>13077</v>
      </c>
      <c r="M3248" s="3" t="n">
        <v>651999</v>
      </c>
      <c r="N3248" s="3" t="s">
        <v>1273</v>
      </c>
      <c r="O3248" s="1" t="n">
        <v>635613</v>
      </c>
      <c r="P3248" s="1" t="n">
        <v>97.49</v>
      </c>
      <c r="Q3248" s="1" t="s">
        <v>20</v>
      </c>
      <c r="R3248" s="1" t="s">
        <v>27</v>
      </c>
      <c r="S3248" s="1" t="s">
        <v>28</v>
      </c>
      <c r="T3248" s="1" t="s">
        <v>29</v>
      </c>
    </row>
    <row r="3249" customFormat="false" ht="18.7" hidden="false" customHeight="true" outlineLevel="0" collapsed="false">
      <c r="A3249" s="1" t="n">
        <v>3248</v>
      </c>
      <c r="B3249" s="6" t="str">
        <f aca="false">HYPERLINK("https://mncourtfraud.com/file/MCRO_27-CR-23-1600_Order Revoking Interim Conditions of Release_2023-09-29_20240430072213.pdf","MCRO_27-CR-23-1600_Order Revoking Interim Conditions of Release_2023-09-29_20240430072213.pdf")</f>
        <v>MCRO_27-CR-23-1600_Order Revoking Interim Conditions of Release_2023-09-29_20240430072213.pdf</v>
      </c>
      <c r="C3249" s="1" t="n">
        <v>5</v>
      </c>
      <c r="D3249" s="1" t="n">
        <v>3</v>
      </c>
      <c r="E3249" s="1" t="n">
        <v>3</v>
      </c>
      <c r="F3249" s="3" t="s">
        <v>20</v>
      </c>
      <c r="G3249" s="3" t="s">
        <v>13078</v>
      </c>
      <c r="H3249" s="1" t="s">
        <v>22</v>
      </c>
      <c r="I3249" s="1" t="n">
        <v>20240430072213</v>
      </c>
      <c r="J3249" s="3" t="s">
        <v>13079</v>
      </c>
      <c r="K3249" s="3" t="s">
        <v>13080</v>
      </c>
      <c r="L3249" s="3" t="s">
        <v>13081</v>
      </c>
      <c r="M3249" s="3" t="n">
        <v>343403</v>
      </c>
      <c r="N3249" s="3" t="s">
        <v>167</v>
      </c>
      <c r="O3249" s="1" t="n">
        <v>327017</v>
      </c>
      <c r="P3249" s="1" t="n">
        <v>95.23</v>
      </c>
      <c r="Q3249" s="1" t="s">
        <v>20</v>
      </c>
      <c r="R3249" s="1" t="s">
        <v>27</v>
      </c>
      <c r="S3249" s="1" t="s">
        <v>28</v>
      </c>
      <c r="T3249" s="1" t="s">
        <v>29</v>
      </c>
    </row>
    <row r="3250" customFormat="false" ht="18.7" hidden="false" customHeight="true" outlineLevel="0" collapsed="false">
      <c r="A3250" s="1" t="n">
        <v>3249</v>
      </c>
      <c r="B3250" s="6" t="str">
        <f aca="false">HYPERLINK("https://mncourtfraud.com/file/MCRO_27-CR-23-1600_Proposed Order or Document_2023-09-29_20240430072214.pdf","MCRO_27-CR-23-1600_Proposed Order or Document_2023-09-29_20240430072214.pdf")</f>
        <v>MCRO_27-CR-23-1600_Proposed Order or Document_2023-09-29_20240430072214.pdf</v>
      </c>
      <c r="C3250" s="1" t="n">
        <v>3</v>
      </c>
      <c r="D3250" s="1" t="n">
        <v>1</v>
      </c>
      <c r="E3250" s="1" t="n">
        <v>1</v>
      </c>
      <c r="F3250" s="3" t="s">
        <v>20</v>
      </c>
      <c r="G3250" s="3" t="s">
        <v>13082</v>
      </c>
      <c r="H3250" s="1" t="s">
        <v>22</v>
      </c>
      <c r="I3250" s="1" t="n">
        <v>20240430072214</v>
      </c>
      <c r="J3250" s="3" t="s">
        <v>13083</v>
      </c>
      <c r="K3250" s="3" t="s">
        <v>13084</v>
      </c>
      <c r="L3250" s="3" t="s">
        <v>13085</v>
      </c>
      <c r="M3250" s="3" t="n">
        <v>172023</v>
      </c>
      <c r="N3250" s="3" t="s">
        <v>1512</v>
      </c>
      <c r="O3250" s="1" t="n">
        <v>155637</v>
      </c>
      <c r="P3250" s="1" t="n">
        <v>90.47</v>
      </c>
      <c r="Q3250" s="1" t="s">
        <v>20</v>
      </c>
      <c r="R3250" s="1" t="s">
        <v>27</v>
      </c>
      <c r="S3250" s="1" t="s">
        <v>28</v>
      </c>
      <c r="T3250" s="1" t="s">
        <v>29</v>
      </c>
    </row>
    <row r="3251" customFormat="false" ht="18.7" hidden="false" customHeight="true" outlineLevel="0" collapsed="false">
      <c r="A3251" s="1" t="n">
        <v>3250</v>
      </c>
      <c r="B3251" s="6" t="str">
        <f aca="false">HYPERLINK("https://mncourtfraud.com/file/MCRO_27-CR-23-1600_Proposed Order or Document_2023-10-04_20240430072212.pdf","MCRO_27-CR-23-1600_Proposed Order or Document_2023-10-04_20240430072212.pdf")</f>
        <v>MCRO_27-CR-23-1600_Proposed Order or Document_2023-10-04_20240430072212.pdf</v>
      </c>
      <c r="C3251" s="1" t="n">
        <v>3</v>
      </c>
      <c r="D3251" s="1" t="n">
        <v>1</v>
      </c>
      <c r="E3251" s="1" t="n">
        <v>1</v>
      </c>
      <c r="F3251" s="3" t="s">
        <v>20</v>
      </c>
      <c r="G3251" s="3" t="s">
        <v>13086</v>
      </c>
      <c r="H3251" s="1" t="s">
        <v>22</v>
      </c>
      <c r="I3251" s="1" t="n">
        <v>20240430072212</v>
      </c>
      <c r="J3251" s="3" t="s">
        <v>13087</v>
      </c>
      <c r="K3251" s="3" t="s">
        <v>13088</v>
      </c>
      <c r="L3251" s="3" t="s">
        <v>13089</v>
      </c>
      <c r="M3251" s="3" t="n">
        <v>187855</v>
      </c>
      <c r="N3251" s="3" t="s">
        <v>4470</v>
      </c>
      <c r="O3251" s="1" t="n">
        <v>171469</v>
      </c>
      <c r="P3251" s="1" t="n">
        <v>91.28</v>
      </c>
      <c r="Q3251" s="1" t="s">
        <v>20</v>
      </c>
      <c r="R3251" s="1" t="s">
        <v>27</v>
      </c>
      <c r="S3251" s="1" t="s">
        <v>28</v>
      </c>
      <c r="T3251" s="1" t="s">
        <v>29</v>
      </c>
    </row>
    <row r="3252" customFormat="false" ht="18.7" hidden="false" customHeight="true" outlineLevel="0" collapsed="false">
      <c r="A3252" s="1" t="n">
        <v>3251</v>
      </c>
      <c r="B3252" s="6" t="str">
        <f aca="false">HYPERLINK("https://mncourtfraud.com/file/MCRO_27-CR-23-1600_Summons_2023-01-23_20240430072221.pdf","MCRO_27-CR-23-1600_Summons_2023-01-23_20240430072221.pdf")</f>
        <v>MCRO_27-CR-23-1600_Summons_2023-01-23_20240430072221.pdf</v>
      </c>
      <c r="C3252" s="1" t="n">
        <v>5</v>
      </c>
      <c r="D3252" s="1" t="n">
        <v>1</v>
      </c>
      <c r="E3252" s="1" t="n">
        <v>1</v>
      </c>
      <c r="F3252" s="3" t="s">
        <v>20</v>
      </c>
      <c r="G3252" s="3" t="s">
        <v>13090</v>
      </c>
      <c r="H3252" s="1" t="s">
        <v>22</v>
      </c>
      <c r="I3252" s="1" t="n">
        <v>20240430072221</v>
      </c>
      <c r="J3252" s="3" t="s">
        <v>13091</v>
      </c>
      <c r="K3252" s="3" t="s">
        <v>13092</v>
      </c>
      <c r="L3252" s="3" t="s">
        <v>13093</v>
      </c>
      <c r="M3252" s="3" t="n">
        <v>703174</v>
      </c>
      <c r="N3252" s="3" t="s">
        <v>2723</v>
      </c>
      <c r="O3252" s="1" t="n">
        <v>686788</v>
      </c>
      <c r="P3252" s="1" t="n">
        <v>97.67</v>
      </c>
      <c r="Q3252" s="1" t="s">
        <v>20</v>
      </c>
      <c r="R3252" s="1" t="s">
        <v>27</v>
      </c>
      <c r="S3252" s="1" t="s">
        <v>28</v>
      </c>
      <c r="T3252" s="1" t="s">
        <v>29</v>
      </c>
    </row>
    <row r="3253" customFormat="false" ht="18.7" hidden="false" customHeight="true" outlineLevel="0" collapsed="false">
      <c r="A3253" s="1" t="n">
        <v>3252</v>
      </c>
      <c r="B3253" s="6" t="str">
        <f aca="false">HYPERLINK("https://mncourtfraud.com/file/MCRO_27-CR-23-16281_Demand or Request for Discovery_2023-08-10_20240430074134.pdf","MCRO_27-CR-23-16281_Demand or Request for Discovery_2023-08-10_20240430074134.pdf")</f>
        <v>MCRO_27-CR-23-16281_Demand or Request for Discovery_2023-08-10_20240430074134.pdf</v>
      </c>
      <c r="C3253" s="1" t="n">
        <v>3</v>
      </c>
      <c r="D3253" s="1" t="n">
        <v>1</v>
      </c>
      <c r="E3253" s="1" t="n">
        <v>1</v>
      </c>
      <c r="F3253" s="3" t="s">
        <v>20</v>
      </c>
      <c r="G3253" s="3" t="s">
        <v>13094</v>
      </c>
      <c r="H3253" s="1" t="s">
        <v>22</v>
      </c>
      <c r="I3253" s="1" t="n">
        <v>20240430074134</v>
      </c>
      <c r="J3253" s="3" t="s">
        <v>13095</v>
      </c>
      <c r="K3253" s="3" t="s">
        <v>13096</v>
      </c>
      <c r="L3253" s="3" t="s">
        <v>13097</v>
      </c>
      <c r="M3253" s="3" t="n">
        <v>371201</v>
      </c>
      <c r="N3253" s="3" t="s">
        <v>3251</v>
      </c>
      <c r="O3253" s="1" t="n">
        <v>354815</v>
      </c>
      <c r="P3253" s="1" t="n">
        <v>95.59</v>
      </c>
      <c r="Q3253" s="1" t="s">
        <v>20</v>
      </c>
      <c r="R3253" s="1" t="s">
        <v>27</v>
      </c>
      <c r="S3253" s="1" t="s">
        <v>28</v>
      </c>
      <c r="T3253" s="1" t="s">
        <v>29</v>
      </c>
    </row>
    <row r="3254" customFormat="false" ht="18.7" hidden="false" customHeight="true" outlineLevel="0" collapsed="false">
      <c r="A3254" s="1" t="n">
        <v>3253</v>
      </c>
      <c r="B3254" s="6" t="str">
        <f aca="false">HYPERLINK("https://mncourtfraud.com/file/MCRO_27-CR-23-16281_E-filed Comp-Order for Detention_2023-08-02_20240430074135.pdf","MCRO_27-CR-23-16281_E-filed Comp-Order for Detention_2023-08-02_20240430074135.pdf")</f>
        <v>MCRO_27-CR-23-16281_E-filed Comp-Order for Detention_2023-08-02_20240430074135.pdf</v>
      </c>
      <c r="C3254" s="1" t="n">
        <v>5</v>
      </c>
      <c r="D3254" s="1" t="n">
        <v>2</v>
      </c>
      <c r="E3254" s="1" t="n">
        <v>2</v>
      </c>
      <c r="F3254" s="3" t="s">
        <v>20</v>
      </c>
      <c r="G3254" s="3" t="s">
        <v>13098</v>
      </c>
      <c r="H3254" s="1" t="s">
        <v>22</v>
      </c>
      <c r="I3254" s="1" t="n">
        <v>20240430074135</v>
      </c>
      <c r="J3254" s="3" t="s">
        <v>13099</v>
      </c>
      <c r="K3254" s="3" t="s">
        <v>13100</v>
      </c>
      <c r="L3254" s="3" t="s">
        <v>13101</v>
      </c>
      <c r="M3254" s="3" t="n">
        <v>455966</v>
      </c>
      <c r="N3254" s="3" t="s">
        <v>958</v>
      </c>
      <c r="O3254" s="1" t="n">
        <v>439580</v>
      </c>
      <c r="P3254" s="1" t="n">
        <v>96.41</v>
      </c>
      <c r="Q3254" s="1" t="s">
        <v>20</v>
      </c>
      <c r="R3254" s="1" t="s">
        <v>27</v>
      </c>
      <c r="S3254" s="1" t="s">
        <v>28</v>
      </c>
      <c r="T3254" s="1" t="s">
        <v>29</v>
      </c>
    </row>
    <row r="3255" customFormat="false" ht="18.7" hidden="false" customHeight="true" outlineLevel="0" collapsed="false">
      <c r="A3255" s="1" t="n">
        <v>3254</v>
      </c>
      <c r="B3255" s="6" t="str">
        <f aca="false">HYPERLINK("https://mncourtfraud.com/file/MCRO_27-CR-23-16281_Finding of Incompetency and Order_2023-11-01_20240430074130.pdf","MCRO_27-CR-23-16281_Finding of Incompetency and Order_2023-11-01_20240430074130.pdf")</f>
        <v>MCRO_27-CR-23-16281_Finding of Incompetency and Order_2023-11-01_20240430074130.pdf</v>
      </c>
      <c r="C3255" s="1" t="n">
        <v>7</v>
      </c>
      <c r="D3255" s="1" t="n">
        <v>2</v>
      </c>
      <c r="E3255" s="1" t="n">
        <v>2</v>
      </c>
      <c r="F3255" s="3" t="s">
        <v>20</v>
      </c>
      <c r="G3255" s="3" t="s">
        <v>13102</v>
      </c>
      <c r="H3255" s="1" t="s">
        <v>22</v>
      </c>
      <c r="I3255" s="1" t="n">
        <v>20240430074130</v>
      </c>
      <c r="J3255" s="3" t="s">
        <v>13103</v>
      </c>
      <c r="K3255" s="3" t="s">
        <v>13104</v>
      </c>
      <c r="L3255" s="3" t="s">
        <v>13105</v>
      </c>
      <c r="M3255" s="3" t="n">
        <v>920363</v>
      </c>
      <c r="N3255" s="3" t="s">
        <v>13106</v>
      </c>
      <c r="O3255" s="1" t="n">
        <v>903977</v>
      </c>
      <c r="P3255" s="1" t="n">
        <v>98.22</v>
      </c>
      <c r="Q3255" s="1" t="s">
        <v>20</v>
      </c>
      <c r="R3255" s="1" t="s">
        <v>27</v>
      </c>
      <c r="S3255" s="1" t="s">
        <v>28</v>
      </c>
      <c r="T3255" s="1" t="s">
        <v>29</v>
      </c>
    </row>
    <row r="3256" customFormat="false" ht="18.7" hidden="false" customHeight="true" outlineLevel="0" collapsed="false">
      <c r="A3256" s="1" t="n">
        <v>3255</v>
      </c>
      <c r="B3256" s="6" t="str">
        <f aca="false">HYPERLINK("https://mncourtfraud.com/file/MCRO_27-CR-23-16281_Notice of Case Reassignment_2023-11-03_20240430074128.pdf","MCRO_27-CR-23-16281_Notice of Case Reassignment_2023-11-03_20240430074128.pdf")</f>
        <v>MCRO_27-CR-23-16281_Notice of Case Reassignment_2023-11-03_20240430074128.pdf</v>
      </c>
      <c r="C3256" s="1" t="n">
        <v>4</v>
      </c>
      <c r="D3256" s="1" t="n">
        <v>1</v>
      </c>
      <c r="E3256" s="1" t="n">
        <v>1</v>
      </c>
      <c r="F3256" s="3" t="s">
        <v>20</v>
      </c>
      <c r="G3256" s="3" t="s">
        <v>13107</v>
      </c>
      <c r="H3256" s="1" t="s">
        <v>22</v>
      </c>
      <c r="I3256" s="1" t="n">
        <v>20240430074128</v>
      </c>
      <c r="J3256" s="3" t="s">
        <v>13108</v>
      </c>
      <c r="K3256" s="3" t="s">
        <v>13109</v>
      </c>
      <c r="L3256" s="3" t="s">
        <v>13110</v>
      </c>
      <c r="M3256" s="3" t="n">
        <v>298304</v>
      </c>
      <c r="N3256" s="3" t="s">
        <v>158</v>
      </c>
      <c r="O3256" s="1" t="n">
        <v>281918</v>
      </c>
      <c r="P3256" s="1" t="n">
        <v>94.51</v>
      </c>
      <c r="Q3256" s="1" t="s">
        <v>20</v>
      </c>
      <c r="R3256" s="1" t="s">
        <v>27</v>
      </c>
      <c r="S3256" s="1" t="s">
        <v>28</v>
      </c>
      <c r="T3256" s="1" t="s">
        <v>29</v>
      </c>
    </row>
    <row r="3257" customFormat="false" ht="18.7" hidden="false" customHeight="true" outlineLevel="0" collapsed="false">
      <c r="A3257" s="1" t="n">
        <v>3256</v>
      </c>
      <c r="B3257" s="6" t="str">
        <f aca="false">HYPERLINK("https://mncourtfraud.com/file/MCRO_27-CR-23-16281_Notice of Remote Hearing with Instructions_2023-10-31_20240430074131.pdf","MCRO_27-CR-23-16281_Notice of Remote Hearing with Instructions_2023-10-31_20240430074131.pdf")</f>
        <v>MCRO_27-CR-23-16281_Notice of Remote Hearing with Instructions_2023-10-31_20240430074131.pdf</v>
      </c>
      <c r="C3257" s="1" t="n">
        <v>5</v>
      </c>
      <c r="D3257" s="1" t="n">
        <v>1</v>
      </c>
      <c r="E3257" s="1" t="n">
        <v>1</v>
      </c>
      <c r="F3257" s="3" t="s">
        <v>20</v>
      </c>
      <c r="G3257" s="3" t="s">
        <v>13111</v>
      </c>
      <c r="H3257" s="1" t="s">
        <v>22</v>
      </c>
      <c r="I3257" s="1" t="n">
        <v>20240430074131</v>
      </c>
      <c r="J3257" s="3" t="s">
        <v>13112</v>
      </c>
      <c r="K3257" s="3" t="s">
        <v>13113</v>
      </c>
      <c r="L3257" s="3" t="s">
        <v>13114</v>
      </c>
      <c r="M3257" s="3" t="n">
        <v>855381</v>
      </c>
      <c r="N3257" s="3" t="s">
        <v>1248</v>
      </c>
      <c r="O3257" s="1" t="n">
        <v>838995</v>
      </c>
      <c r="P3257" s="1" t="n">
        <v>98.08</v>
      </c>
      <c r="Q3257" s="1" t="s">
        <v>20</v>
      </c>
      <c r="R3257" s="1" t="s">
        <v>27</v>
      </c>
      <c r="S3257" s="1" t="s">
        <v>28</v>
      </c>
      <c r="T3257" s="1" t="s">
        <v>29</v>
      </c>
    </row>
    <row r="3258" customFormat="false" ht="18.7" hidden="false" customHeight="true" outlineLevel="0" collapsed="false">
      <c r="A3258" s="1" t="n">
        <v>3257</v>
      </c>
      <c r="B3258" s="6" t="str">
        <f aca="false">HYPERLINK("https://mncourtfraud.com/file/MCRO_27-CR-23-16281_Order-Evaluation for Competency to Proceed (Rule 20.01)_2023-08-28_20240430074133.pdf","MCRO_27-CR-23-16281_Order-Evaluation for Competency to Proceed (Rule 20.01)_2023-08-28_20240430074133.pdf")</f>
        <v>MCRO_27-CR-23-16281_Order-Evaluation for Competency to Proceed (Rule 20.01)_2023-08-28_20240430074133.pdf</v>
      </c>
      <c r="C3258" s="1" t="n">
        <v>4</v>
      </c>
      <c r="D3258" s="1" t="n">
        <v>1</v>
      </c>
      <c r="E3258" s="1" t="n">
        <v>1</v>
      </c>
      <c r="F3258" s="3" t="s">
        <v>20</v>
      </c>
      <c r="G3258" s="3" t="s">
        <v>13115</v>
      </c>
      <c r="H3258" s="1" t="s">
        <v>22</v>
      </c>
      <c r="I3258" s="1" t="n">
        <v>20240430074133</v>
      </c>
      <c r="J3258" s="3" t="s">
        <v>13116</v>
      </c>
      <c r="K3258" s="3" t="s">
        <v>13117</v>
      </c>
      <c r="L3258" s="3" t="s">
        <v>13118</v>
      </c>
      <c r="M3258" s="3" t="n">
        <v>273087</v>
      </c>
      <c r="N3258" s="3" t="s">
        <v>1128</v>
      </c>
      <c r="O3258" s="1" t="n">
        <v>256701</v>
      </c>
      <c r="P3258" s="1" t="n">
        <v>94</v>
      </c>
      <c r="Q3258" s="1" t="s">
        <v>20</v>
      </c>
      <c r="R3258" s="1" t="s">
        <v>27</v>
      </c>
      <c r="S3258" s="1" t="s">
        <v>28</v>
      </c>
      <c r="T3258" s="1" t="s">
        <v>29</v>
      </c>
    </row>
    <row r="3259" customFormat="false" ht="18.7" hidden="false" customHeight="true" outlineLevel="0" collapsed="false">
      <c r="A3259" s="1" t="n">
        <v>3258</v>
      </c>
      <c r="B3259" s="6" t="str">
        <f aca="false">HYPERLINK("https://mncourtfraud.com/file/MCRO_27-CR-23-16281_Order for Conditional Release_2023-08-28_20240430074132.pdf","MCRO_27-CR-23-16281_Order for Conditional Release_2023-08-28_20240430074132.pdf")</f>
        <v>MCRO_27-CR-23-16281_Order for Conditional Release_2023-08-28_20240430074132.pdf</v>
      </c>
      <c r="C3259" s="1" t="n">
        <v>4</v>
      </c>
      <c r="D3259" s="1" t="n">
        <v>1</v>
      </c>
      <c r="E3259" s="1" t="n">
        <v>1</v>
      </c>
      <c r="F3259" s="3" t="s">
        <v>20</v>
      </c>
      <c r="G3259" s="3" t="s">
        <v>13119</v>
      </c>
      <c r="H3259" s="1" t="s">
        <v>22</v>
      </c>
      <c r="I3259" s="1" t="n">
        <v>20240430074132</v>
      </c>
      <c r="J3259" s="3" t="s">
        <v>13120</v>
      </c>
      <c r="K3259" s="3" t="s">
        <v>13121</v>
      </c>
      <c r="L3259" s="3" t="s">
        <v>13122</v>
      </c>
      <c r="M3259" s="3" t="n">
        <v>144528</v>
      </c>
      <c r="N3259" s="3" t="s">
        <v>3269</v>
      </c>
      <c r="O3259" s="1" t="n">
        <v>128142</v>
      </c>
      <c r="P3259" s="1" t="n">
        <v>88.66</v>
      </c>
      <c r="Q3259" s="1" t="s">
        <v>20</v>
      </c>
      <c r="R3259" s="1" t="s">
        <v>27</v>
      </c>
      <c r="S3259" s="1" t="s">
        <v>28</v>
      </c>
      <c r="T3259" s="1" t="s">
        <v>29</v>
      </c>
    </row>
    <row r="3260" customFormat="false" ht="18.7" hidden="false" customHeight="true" outlineLevel="0" collapsed="false">
      <c r="A3260" s="1" t="n">
        <v>3259</v>
      </c>
      <c r="B3260" s="6" t="str">
        <f aca="false">HYPERLINK("https://mncourtfraud.com/file/MCRO_27-CR-23-16281_Other Document_2024-01-10_20240430074127.pdf","MCRO_27-CR-23-16281_Other Document_2024-01-10_20240430074127.pdf")</f>
        <v>MCRO_27-CR-23-16281_Other Document_2024-01-10_20240430074127.pdf</v>
      </c>
      <c r="C3260" s="1" t="n">
        <v>7</v>
      </c>
      <c r="D3260" s="1" t="n">
        <v>4</v>
      </c>
      <c r="E3260" s="1" t="n">
        <v>4</v>
      </c>
      <c r="F3260" s="3" t="s">
        <v>20</v>
      </c>
      <c r="G3260" s="3" t="s">
        <v>13123</v>
      </c>
      <c r="H3260" s="1" t="s">
        <v>22</v>
      </c>
      <c r="I3260" s="1" t="n">
        <v>20240430074127</v>
      </c>
      <c r="J3260" s="3" t="s">
        <v>13124</v>
      </c>
      <c r="K3260" s="3" t="s">
        <v>13125</v>
      </c>
      <c r="L3260" s="3" t="s">
        <v>13126</v>
      </c>
      <c r="M3260" s="3" t="n">
        <v>316488</v>
      </c>
      <c r="N3260" s="3" t="s">
        <v>602</v>
      </c>
      <c r="O3260" s="1" t="n">
        <v>300102</v>
      </c>
      <c r="P3260" s="1" t="n">
        <v>94.82</v>
      </c>
      <c r="Q3260" s="1" t="s">
        <v>20</v>
      </c>
      <c r="R3260" s="1" t="s">
        <v>27</v>
      </c>
      <c r="S3260" s="1" t="s">
        <v>28</v>
      </c>
      <c r="T3260" s="1" t="s">
        <v>29</v>
      </c>
    </row>
    <row r="3261" customFormat="false" ht="18.7" hidden="false" customHeight="true" outlineLevel="0" collapsed="false">
      <c r="A3261" s="1" t="n">
        <v>3260</v>
      </c>
      <c r="B3261" s="6" t="str">
        <f aca="false">HYPERLINK("https://mncourtfraud.com/file/MCRO_27-CR-23-1658_Citation Data Summary_2023-01-20_20240430072313.pdf","MCRO_27-CR-23-1658_Citation Data Summary_2023-01-20_20240430072313.pdf")</f>
        <v>MCRO_27-CR-23-1658_Citation Data Summary_2023-01-20_20240430072313.pdf</v>
      </c>
      <c r="C3261" s="1" t="n">
        <v>5</v>
      </c>
      <c r="D3261" s="1" t="n">
        <v>2</v>
      </c>
      <c r="E3261" s="1" t="n">
        <v>2</v>
      </c>
      <c r="F3261" s="3" t="s">
        <v>20</v>
      </c>
      <c r="G3261" s="3" t="s">
        <v>13127</v>
      </c>
      <c r="H3261" s="1" t="s">
        <v>22</v>
      </c>
      <c r="I3261" s="1" t="n">
        <v>20240430072313</v>
      </c>
      <c r="J3261" s="3" t="s">
        <v>13128</v>
      </c>
      <c r="K3261" s="3" t="s">
        <v>13129</v>
      </c>
      <c r="L3261" s="3" t="s">
        <v>13130</v>
      </c>
      <c r="M3261" s="3" t="n">
        <v>103796</v>
      </c>
      <c r="N3261" s="3" t="s">
        <v>535</v>
      </c>
      <c r="O3261" s="1" t="n">
        <v>87410</v>
      </c>
      <c r="P3261" s="1" t="n">
        <v>84.21</v>
      </c>
      <c r="Q3261" s="1" t="s">
        <v>20</v>
      </c>
      <c r="R3261" s="1" t="s">
        <v>27</v>
      </c>
      <c r="S3261" s="1" t="s">
        <v>28</v>
      </c>
      <c r="T3261" s="1" t="s">
        <v>29</v>
      </c>
    </row>
    <row r="3262" customFormat="false" ht="18.7" hidden="false" customHeight="true" outlineLevel="0" collapsed="false">
      <c r="A3262" s="1" t="n">
        <v>3261</v>
      </c>
      <c r="B3262" s="6" t="str">
        <f aca="false">HYPERLINK("https://mncourtfraud.com/file/MCRO_27-CR-23-1658_Law Enforcement Notice of Release and Appearance_2023-03-03_20240430072308.pdf","MCRO_27-CR-23-1658_Law Enforcement Notice of Release and Appearance_2023-03-03_20240430072308.pdf")</f>
        <v>MCRO_27-CR-23-1658_Law Enforcement Notice of Release and Appearance_2023-03-03_20240430072308.pdf</v>
      </c>
      <c r="C3262" s="1" t="n">
        <v>4</v>
      </c>
      <c r="D3262" s="1" t="n">
        <v>1</v>
      </c>
      <c r="E3262" s="1" t="n">
        <v>1</v>
      </c>
      <c r="F3262" s="3" t="s">
        <v>20</v>
      </c>
      <c r="G3262" s="3" t="s">
        <v>13131</v>
      </c>
      <c r="H3262" s="1" t="s">
        <v>22</v>
      </c>
      <c r="I3262" s="1" t="n">
        <v>20240430072308</v>
      </c>
      <c r="J3262" s="3" t="s">
        <v>13132</v>
      </c>
      <c r="K3262" s="3" t="s">
        <v>13133</v>
      </c>
      <c r="L3262" s="3" t="s">
        <v>13134</v>
      </c>
      <c r="M3262" s="3" t="n">
        <v>97528</v>
      </c>
      <c r="N3262" s="3" t="s">
        <v>435</v>
      </c>
      <c r="O3262" s="1" t="n">
        <v>81142</v>
      </c>
      <c r="P3262" s="1" t="n">
        <v>83.2</v>
      </c>
      <c r="Q3262" s="1" t="s">
        <v>20</v>
      </c>
      <c r="R3262" s="1" t="s">
        <v>27</v>
      </c>
      <c r="S3262" s="1" t="s">
        <v>28</v>
      </c>
      <c r="T3262" s="1" t="s">
        <v>29</v>
      </c>
    </row>
    <row r="3263" customFormat="false" ht="18.7" hidden="false" customHeight="true" outlineLevel="0" collapsed="false">
      <c r="A3263" s="1" t="n">
        <v>3262</v>
      </c>
      <c r="B3263" s="6" t="str">
        <f aca="false">HYPERLINK("https://mncourtfraud.com/file/MCRO_27-CR-23-1658_Notice of Hearing_2023-02-28_20240430072309.pdf","MCRO_27-CR-23-1658_Notice of Hearing_2023-02-28_20240430072309.pdf")</f>
        <v>MCRO_27-CR-23-1658_Notice of Hearing_2023-02-28_20240430072309.pdf</v>
      </c>
      <c r="C3263" s="1" t="n">
        <v>4</v>
      </c>
      <c r="D3263" s="1" t="n">
        <v>1</v>
      </c>
      <c r="E3263" s="1" t="n">
        <v>1</v>
      </c>
      <c r="F3263" s="3" t="s">
        <v>20</v>
      </c>
      <c r="G3263" s="3" t="s">
        <v>13135</v>
      </c>
      <c r="H3263" s="1" t="s">
        <v>22</v>
      </c>
      <c r="I3263" s="1" t="n">
        <v>20240430072309</v>
      </c>
      <c r="J3263" s="3" t="s">
        <v>13136</v>
      </c>
      <c r="K3263" s="3" t="s">
        <v>13137</v>
      </c>
      <c r="L3263" s="3" t="s">
        <v>13138</v>
      </c>
      <c r="M3263" s="3" t="n">
        <v>100366</v>
      </c>
      <c r="N3263" s="3" t="s">
        <v>435</v>
      </c>
      <c r="O3263" s="1" t="n">
        <v>83980</v>
      </c>
      <c r="P3263" s="1" t="n">
        <v>83.67</v>
      </c>
      <c r="Q3263" s="1" t="s">
        <v>20</v>
      </c>
      <c r="R3263" s="1" t="s">
        <v>27</v>
      </c>
      <c r="S3263" s="1" t="s">
        <v>28</v>
      </c>
      <c r="T3263" s="1" t="s">
        <v>29</v>
      </c>
    </row>
    <row r="3264" customFormat="false" ht="18.7" hidden="false" customHeight="true" outlineLevel="0" collapsed="false">
      <c r="A3264" s="1" t="n">
        <v>3263</v>
      </c>
      <c r="B3264" s="6" t="str">
        <f aca="false">HYPERLINK("https://mncourtfraud.com/file/MCRO_27-CR-23-1658_Notice of Remote Hearing with Instructions_2023-02-28_20240430072310.pdf","MCRO_27-CR-23-1658_Notice of Remote Hearing with Instructions_2023-02-28_20240430072310.pdf")</f>
        <v>MCRO_27-CR-23-1658_Notice of Remote Hearing with Instructions_2023-02-28_20240430072310.pdf</v>
      </c>
      <c r="C3264" s="1" t="n">
        <v>4</v>
      </c>
      <c r="D3264" s="1" t="n">
        <v>1</v>
      </c>
      <c r="E3264" s="1" t="n">
        <v>1</v>
      </c>
      <c r="F3264" s="3" t="s">
        <v>20</v>
      </c>
      <c r="G3264" s="3" t="s">
        <v>13139</v>
      </c>
      <c r="H3264" s="1" t="s">
        <v>22</v>
      </c>
      <c r="I3264" s="1" t="n">
        <v>20240430072310</v>
      </c>
      <c r="J3264" s="3" t="s">
        <v>13140</v>
      </c>
      <c r="K3264" s="3" t="s">
        <v>13141</v>
      </c>
      <c r="L3264" s="3" t="s">
        <v>13142</v>
      </c>
      <c r="M3264" s="3" t="n">
        <v>131153</v>
      </c>
      <c r="N3264" s="3" t="s">
        <v>1159</v>
      </c>
      <c r="O3264" s="1" t="n">
        <v>114767</v>
      </c>
      <c r="P3264" s="1" t="n">
        <v>87.51</v>
      </c>
      <c r="Q3264" s="1" t="s">
        <v>20</v>
      </c>
      <c r="R3264" s="1" t="s">
        <v>27</v>
      </c>
      <c r="S3264" s="1" t="s">
        <v>28</v>
      </c>
      <c r="T3264" s="1" t="s">
        <v>29</v>
      </c>
    </row>
    <row r="3265" customFormat="false" ht="18.7" hidden="false" customHeight="true" outlineLevel="0" collapsed="false">
      <c r="A3265" s="1" t="n">
        <v>3264</v>
      </c>
      <c r="B3265" s="6" t="str">
        <f aca="false">HYPERLINK("https://mncourtfraud.com/file/MCRO_27-CR-23-1658_Notice of Remote Hearing with Instructions_2023-05-31_20240430072307.pdf","MCRO_27-CR-23-1658_Notice of Remote Hearing with Instructions_2023-05-31_20240430072307.pdf")</f>
        <v>MCRO_27-CR-23-1658_Notice of Remote Hearing with Instructions_2023-05-31_20240430072307.pdf</v>
      </c>
      <c r="C3265" s="1" t="n">
        <v>5</v>
      </c>
      <c r="D3265" s="1" t="n">
        <v>1</v>
      </c>
      <c r="E3265" s="1" t="n">
        <v>1</v>
      </c>
      <c r="F3265" s="3" t="s">
        <v>20</v>
      </c>
      <c r="G3265" s="3" t="s">
        <v>13143</v>
      </c>
      <c r="H3265" s="1" t="s">
        <v>22</v>
      </c>
      <c r="I3265" s="1" t="n">
        <v>20240430072307</v>
      </c>
      <c r="J3265" s="3" t="s">
        <v>13144</v>
      </c>
      <c r="K3265" s="3" t="s">
        <v>13145</v>
      </c>
      <c r="L3265" s="3" t="s">
        <v>13146</v>
      </c>
      <c r="M3265" s="3" t="n">
        <v>842806</v>
      </c>
      <c r="N3265" s="3" t="s">
        <v>11628</v>
      </c>
      <c r="O3265" s="1" t="n">
        <v>826420</v>
      </c>
      <c r="P3265" s="1" t="n">
        <v>98.06</v>
      </c>
      <c r="Q3265" s="1" t="s">
        <v>20</v>
      </c>
      <c r="R3265" s="1" t="s">
        <v>27</v>
      </c>
      <c r="S3265" s="1" t="s">
        <v>28</v>
      </c>
      <c r="T3265" s="1" t="s">
        <v>29</v>
      </c>
    </row>
    <row r="3266" customFormat="false" ht="18.7" hidden="false" customHeight="true" outlineLevel="0" collapsed="false">
      <c r="A3266" s="1" t="n">
        <v>3265</v>
      </c>
      <c r="B3266" s="6" t="str">
        <f aca="false">HYPERLINK("https://mncourtfraud.com/file/MCRO_27-CR-23-1658_Order-Evaluation for Competency to Proceed (Rule 20.01)_2023-02-28_20240430072311.pdf","MCRO_27-CR-23-1658_Order-Evaluation for Competency to Proceed (Rule 20.01)_2023-02-28_20240430072311.pdf")</f>
        <v>MCRO_27-CR-23-1658_Order-Evaluation for Competency to Proceed (Rule 20.01)_2023-02-28_20240430072311.pdf</v>
      </c>
      <c r="C3266" s="1" t="n">
        <v>4</v>
      </c>
      <c r="D3266" s="1" t="n">
        <v>1</v>
      </c>
      <c r="E3266" s="1" t="n">
        <v>1</v>
      </c>
      <c r="F3266" s="3" t="s">
        <v>20</v>
      </c>
      <c r="G3266" s="3" t="s">
        <v>13147</v>
      </c>
      <c r="H3266" s="1" t="s">
        <v>22</v>
      </c>
      <c r="I3266" s="1" t="n">
        <v>20240430072311</v>
      </c>
      <c r="J3266" s="3" t="s">
        <v>13148</v>
      </c>
      <c r="K3266" s="3" t="s">
        <v>13149</v>
      </c>
      <c r="L3266" s="3" t="s">
        <v>13150</v>
      </c>
      <c r="M3266" s="3" t="n">
        <v>136782</v>
      </c>
      <c r="N3266" s="3" t="s">
        <v>1159</v>
      </c>
      <c r="O3266" s="1" t="n">
        <v>120396</v>
      </c>
      <c r="P3266" s="1" t="n">
        <v>88.02</v>
      </c>
      <c r="Q3266" s="1" t="s">
        <v>20</v>
      </c>
      <c r="R3266" s="1" t="s">
        <v>27</v>
      </c>
      <c r="S3266" s="1" t="s">
        <v>28</v>
      </c>
      <c r="T3266" s="1" t="s">
        <v>29</v>
      </c>
    </row>
    <row r="3267" customFormat="false" ht="18.7" hidden="false" customHeight="true" outlineLevel="0" collapsed="false">
      <c r="A3267" s="1" t="n">
        <v>3266</v>
      </c>
      <c r="B3267" s="6" t="str">
        <f aca="false">HYPERLINK("https://mncourtfraud.com/file/MCRO_27-CR-23-1658_Order-Evaluation for Competency to Proceed (Rule 20.01)_2023-06-20_20240430072304.pdf","MCRO_27-CR-23-1658_Order-Evaluation for Competency to Proceed (Rule 20.01)_2023-06-20_20240430072304.pdf")</f>
        <v>MCRO_27-CR-23-1658_Order-Evaluation for Competency to Proceed (Rule 20.01)_2023-06-20_20240430072304.pdf</v>
      </c>
      <c r="C3267" s="1" t="n">
        <v>4</v>
      </c>
      <c r="D3267" s="1" t="n">
        <v>1</v>
      </c>
      <c r="E3267" s="1" t="n">
        <v>1</v>
      </c>
      <c r="F3267" s="3" t="s">
        <v>20</v>
      </c>
      <c r="G3267" s="3" t="s">
        <v>13151</v>
      </c>
      <c r="H3267" s="1" t="s">
        <v>22</v>
      </c>
      <c r="I3267" s="1" t="n">
        <v>20240430072304</v>
      </c>
      <c r="J3267" s="3" t="s">
        <v>13152</v>
      </c>
      <c r="K3267" s="3" t="s">
        <v>13153</v>
      </c>
      <c r="L3267" s="3" t="s">
        <v>13154</v>
      </c>
      <c r="M3267" s="3" t="n">
        <v>136304</v>
      </c>
      <c r="N3267" s="3" t="s">
        <v>1159</v>
      </c>
      <c r="O3267" s="1" t="n">
        <v>119918</v>
      </c>
      <c r="P3267" s="1" t="n">
        <v>87.98</v>
      </c>
      <c r="Q3267" s="1" t="s">
        <v>20</v>
      </c>
      <c r="R3267" s="1" t="s">
        <v>27</v>
      </c>
      <c r="S3267" s="1" t="s">
        <v>28</v>
      </c>
      <c r="T3267" s="1" t="s">
        <v>29</v>
      </c>
    </row>
    <row r="3268" customFormat="false" ht="18.7" hidden="false" customHeight="true" outlineLevel="0" collapsed="false">
      <c r="A3268" s="1" t="n">
        <v>3267</v>
      </c>
      <c r="B3268" s="6" t="str">
        <f aca="false">HYPERLINK("https://mncourtfraud.com/file/MCRO_27-CR-23-1658_Returned Mail_2023-06-16_20240430072306.pdf","MCRO_27-CR-23-1658_Returned Mail_2023-06-16_20240430072306.pdf")</f>
        <v>MCRO_27-CR-23-1658_Returned Mail_2023-06-16_20240430072306.pdf</v>
      </c>
      <c r="C3268" s="1" t="n">
        <v>4</v>
      </c>
      <c r="D3268" s="1" t="n">
        <v>1</v>
      </c>
      <c r="E3268" s="1" t="n">
        <v>1</v>
      </c>
      <c r="F3268" s="3" t="s">
        <v>20</v>
      </c>
      <c r="G3268" s="3" t="s">
        <v>13155</v>
      </c>
      <c r="H3268" s="1" t="s">
        <v>22</v>
      </c>
      <c r="I3268" s="1" t="n">
        <v>20240430072306</v>
      </c>
      <c r="J3268" s="3" t="s">
        <v>13156</v>
      </c>
      <c r="K3268" s="3" t="s">
        <v>13157</v>
      </c>
      <c r="L3268" s="3" t="s">
        <v>13158</v>
      </c>
      <c r="M3268" s="3" t="n">
        <v>447467</v>
      </c>
      <c r="N3268" s="3" t="s">
        <v>158</v>
      </c>
      <c r="O3268" s="1" t="n">
        <v>431081</v>
      </c>
      <c r="P3268" s="1" t="n">
        <v>96.34</v>
      </c>
      <c r="Q3268" s="1" t="s">
        <v>20</v>
      </c>
      <c r="R3268" s="1" t="s">
        <v>27</v>
      </c>
      <c r="S3268" s="1" t="s">
        <v>28</v>
      </c>
      <c r="T3268" s="1" t="s">
        <v>29</v>
      </c>
    </row>
    <row r="3269" customFormat="false" ht="18.7" hidden="false" customHeight="true" outlineLevel="0" collapsed="false">
      <c r="A3269" s="1" t="n">
        <v>3268</v>
      </c>
      <c r="B3269" s="6" t="str">
        <f aca="false">HYPERLINK("https://mncourtfraud.com/file/MCRO_27-CR-23-1658_Summons_2023-01-24_20240430072312.pdf","MCRO_27-CR-23-1658_Summons_2023-01-24_20240430072312.pdf")</f>
        <v>MCRO_27-CR-23-1658_Summons_2023-01-24_20240430072312.pdf</v>
      </c>
      <c r="C3269" s="1" t="n">
        <v>5</v>
      </c>
      <c r="D3269" s="1" t="n">
        <v>1</v>
      </c>
      <c r="E3269" s="1" t="n">
        <v>1</v>
      </c>
      <c r="F3269" s="3" t="s">
        <v>20</v>
      </c>
      <c r="G3269" s="3" t="s">
        <v>13159</v>
      </c>
      <c r="H3269" s="1" t="s">
        <v>22</v>
      </c>
      <c r="I3269" s="1" t="n">
        <v>20240430072312</v>
      </c>
      <c r="J3269" s="3" t="s">
        <v>13160</v>
      </c>
      <c r="K3269" s="3" t="s">
        <v>13161</v>
      </c>
      <c r="L3269" s="3" t="s">
        <v>13162</v>
      </c>
      <c r="M3269" s="3" t="n">
        <v>693977</v>
      </c>
      <c r="N3269" s="3" t="s">
        <v>2358</v>
      </c>
      <c r="O3269" s="1" t="n">
        <v>677591</v>
      </c>
      <c r="P3269" s="1" t="n">
        <v>97.64</v>
      </c>
      <c r="Q3269" s="1" t="s">
        <v>20</v>
      </c>
      <c r="R3269" s="1" t="s">
        <v>27</v>
      </c>
      <c r="S3269" s="1" t="s">
        <v>28</v>
      </c>
      <c r="T3269" s="1" t="s">
        <v>29</v>
      </c>
    </row>
    <row r="3270" customFormat="false" ht="18.7" hidden="false" customHeight="true" outlineLevel="0" collapsed="false">
      <c r="A3270" s="1" t="n">
        <v>3269</v>
      </c>
      <c r="B3270" s="6" t="str">
        <f aca="false">HYPERLINK("https://mncourtfraud.com/file/MCRO_27-CR-23-16927_Demand or Request for Discovery_2023-08-14_20240430074538.pdf","MCRO_27-CR-23-16927_Demand or Request for Discovery_2023-08-14_20240430074538.pdf")</f>
        <v>MCRO_27-CR-23-16927_Demand or Request for Discovery_2023-08-14_20240430074538.pdf</v>
      </c>
      <c r="C3270" s="1" t="n">
        <v>4</v>
      </c>
      <c r="D3270" s="1" t="n">
        <v>1</v>
      </c>
      <c r="E3270" s="1" t="n">
        <v>1</v>
      </c>
      <c r="F3270" s="3" t="s">
        <v>20</v>
      </c>
      <c r="G3270" s="3" t="s">
        <v>13163</v>
      </c>
      <c r="H3270" s="1" t="s">
        <v>22</v>
      </c>
      <c r="I3270" s="1" t="n">
        <v>20240430074538</v>
      </c>
      <c r="J3270" s="3" t="s">
        <v>13164</v>
      </c>
      <c r="K3270" s="3" t="s">
        <v>13165</v>
      </c>
      <c r="L3270" s="3" t="s">
        <v>13166</v>
      </c>
      <c r="M3270" s="3" t="n">
        <v>12468645</v>
      </c>
      <c r="N3270" s="3" t="s">
        <v>10542</v>
      </c>
      <c r="O3270" s="1" t="n">
        <v>12452259</v>
      </c>
      <c r="P3270" s="1" t="n">
        <v>99.87</v>
      </c>
      <c r="Q3270" s="1" t="s">
        <v>20</v>
      </c>
      <c r="R3270" s="1" t="s">
        <v>27</v>
      </c>
      <c r="S3270" s="1" t="s">
        <v>28</v>
      </c>
      <c r="T3270" s="1" t="s">
        <v>29</v>
      </c>
    </row>
    <row r="3271" customFormat="false" ht="18.7" hidden="false" customHeight="true" outlineLevel="0" collapsed="false">
      <c r="A3271" s="1" t="n">
        <v>3270</v>
      </c>
      <c r="B3271" s="6" t="str">
        <f aca="false">HYPERLINK("https://mncourtfraud.com/file/MCRO_27-CR-23-16927_E-filed Comp-Order for Detention_2023-08-10_20240430074537.pdf","MCRO_27-CR-23-16927_E-filed Comp-Order for Detention_2023-08-10_20240430074537.pdf")</f>
        <v>MCRO_27-CR-23-16927_E-filed Comp-Order for Detention_2023-08-10_20240430074537.pdf</v>
      </c>
      <c r="C3271" s="1" t="n">
        <v>5</v>
      </c>
      <c r="D3271" s="1" t="n">
        <v>2</v>
      </c>
      <c r="E3271" s="1" t="n">
        <v>2</v>
      </c>
      <c r="F3271" s="3" t="s">
        <v>20</v>
      </c>
      <c r="G3271" s="3" t="s">
        <v>13167</v>
      </c>
      <c r="H3271" s="1" t="s">
        <v>22</v>
      </c>
      <c r="I3271" s="1" t="n">
        <v>20240430074537</v>
      </c>
      <c r="J3271" s="3" t="s">
        <v>13164</v>
      </c>
      <c r="K3271" s="3" t="s">
        <v>13168</v>
      </c>
      <c r="L3271" s="3" t="s">
        <v>13169</v>
      </c>
      <c r="M3271" s="3" t="n">
        <v>442424</v>
      </c>
      <c r="N3271" s="3" t="s">
        <v>4685</v>
      </c>
      <c r="O3271" s="1" t="n">
        <v>426038</v>
      </c>
      <c r="P3271" s="1" t="n">
        <v>96.3</v>
      </c>
      <c r="Q3271" s="1" t="s">
        <v>20</v>
      </c>
      <c r="R3271" s="1" t="s">
        <v>27</v>
      </c>
      <c r="S3271" s="1" t="s">
        <v>28</v>
      </c>
      <c r="T3271" s="1" t="s">
        <v>29</v>
      </c>
    </row>
    <row r="3272" customFormat="false" ht="18.7" hidden="false" customHeight="true" outlineLevel="0" collapsed="false">
      <c r="A3272" s="1" t="n">
        <v>3271</v>
      </c>
      <c r="B3272" s="6" t="str">
        <f aca="false">HYPERLINK("https://mncourtfraud.com/file/MCRO_27-CR-23-16927_Notice of Hearing_2024-01-26_20240430074529.pdf","MCRO_27-CR-23-16927_Notice of Hearing_2024-01-26_20240430074529.pdf")</f>
        <v>MCRO_27-CR-23-16927_Notice of Hearing_2024-01-26_20240430074529.pdf</v>
      </c>
      <c r="C3272" s="1" t="n">
        <v>4</v>
      </c>
      <c r="D3272" s="1" t="n">
        <v>1</v>
      </c>
      <c r="E3272" s="1" t="n">
        <v>1</v>
      </c>
      <c r="F3272" s="3" t="s">
        <v>20</v>
      </c>
      <c r="G3272" s="3" t="s">
        <v>13170</v>
      </c>
      <c r="H3272" s="1" t="s">
        <v>22</v>
      </c>
      <c r="I3272" s="1" t="n">
        <v>20240430074529</v>
      </c>
      <c r="J3272" s="3" t="s">
        <v>13171</v>
      </c>
      <c r="K3272" s="3" t="s">
        <v>13172</v>
      </c>
      <c r="L3272" s="3" t="s">
        <v>11672</v>
      </c>
      <c r="M3272" s="3" t="n">
        <v>714352</v>
      </c>
      <c r="N3272" s="3" t="s">
        <v>727</v>
      </c>
      <c r="O3272" s="1" t="n">
        <v>697966</v>
      </c>
      <c r="P3272" s="1" t="n">
        <v>97.71</v>
      </c>
      <c r="Q3272" s="1" t="s">
        <v>20</v>
      </c>
      <c r="R3272" s="1" t="s">
        <v>27</v>
      </c>
      <c r="S3272" s="1" t="s">
        <v>28</v>
      </c>
      <c r="T3272" s="1" t="s">
        <v>29</v>
      </c>
    </row>
    <row r="3273" customFormat="false" ht="18.7" hidden="false" customHeight="true" outlineLevel="0" collapsed="false">
      <c r="A3273" s="1" t="n">
        <v>3272</v>
      </c>
      <c r="B3273" s="6" t="str">
        <f aca="false">HYPERLINK("https://mncourtfraud.com/file/MCRO_27-CR-23-16927_Notice of Hearing_2024-03-19_20240430074528.pdf","MCRO_27-CR-23-16927_Notice of Hearing_2024-03-19_20240430074528.pdf")</f>
        <v>MCRO_27-CR-23-16927_Notice of Hearing_2024-03-19_20240430074528.pdf</v>
      </c>
      <c r="C3273" s="1" t="n">
        <v>5</v>
      </c>
      <c r="D3273" s="1" t="n">
        <v>1</v>
      </c>
      <c r="E3273" s="1" t="n">
        <v>1</v>
      </c>
      <c r="F3273" s="3" t="s">
        <v>20</v>
      </c>
      <c r="G3273" s="3" t="s">
        <v>13173</v>
      </c>
      <c r="H3273" s="1" t="s">
        <v>22</v>
      </c>
      <c r="I3273" s="1" t="n">
        <v>20240430074528</v>
      </c>
      <c r="J3273" s="3" t="s">
        <v>13174</v>
      </c>
      <c r="K3273" s="3" t="s">
        <v>13175</v>
      </c>
      <c r="L3273" s="3" t="s">
        <v>13176</v>
      </c>
      <c r="M3273" s="3" t="n">
        <v>729079</v>
      </c>
      <c r="N3273" s="3" t="s">
        <v>1278</v>
      </c>
      <c r="O3273" s="1" t="n">
        <v>712693</v>
      </c>
      <c r="P3273" s="1" t="n">
        <v>97.75</v>
      </c>
      <c r="Q3273" s="1" t="s">
        <v>20</v>
      </c>
      <c r="R3273" s="1" t="s">
        <v>27</v>
      </c>
      <c r="S3273" s="1" t="s">
        <v>28</v>
      </c>
      <c r="T3273" s="1" t="s">
        <v>29</v>
      </c>
    </row>
    <row r="3274" customFormat="false" ht="18.7" hidden="false" customHeight="true" outlineLevel="0" collapsed="false">
      <c r="A3274" s="1" t="n">
        <v>3273</v>
      </c>
      <c r="B3274" s="6" t="str">
        <f aca="false">HYPERLINK("https://mncourtfraud.com/file/MCRO_27-CR-23-16927_Notice of Remote Hearing with Instructions_2023-08-11_20240430074536.pdf","MCRO_27-CR-23-16927_Notice of Remote Hearing with Instructions_2023-08-11_20240430074536.pdf")</f>
        <v>MCRO_27-CR-23-16927_Notice of Remote Hearing with Instructions_2023-08-11_20240430074536.pdf</v>
      </c>
      <c r="C3274" s="1" t="n">
        <v>4</v>
      </c>
      <c r="D3274" s="1" t="n">
        <v>1</v>
      </c>
      <c r="E3274" s="1" t="n">
        <v>1</v>
      </c>
      <c r="F3274" s="3" t="s">
        <v>20</v>
      </c>
      <c r="G3274" s="3" t="s">
        <v>13177</v>
      </c>
      <c r="H3274" s="1" t="s">
        <v>22</v>
      </c>
      <c r="I3274" s="1" t="n">
        <v>20240430074536</v>
      </c>
      <c r="J3274" s="3" t="s">
        <v>13178</v>
      </c>
      <c r="K3274" s="3" t="s">
        <v>13179</v>
      </c>
      <c r="L3274" s="3" t="s">
        <v>13180</v>
      </c>
      <c r="M3274" s="3" t="n">
        <v>856385</v>
      </c>
      <c r="N3274" s="3" t="s">
        <v>1128</v>
      </c>
      <c r="O3274" s="1" t="n">
        <v>839999</v>
      </c>
      <c r="P3274" s="1" t="n">
        <v>98.09</v>
      </c>
      <c r="Q3274" s="1" t="s">
        <v>20</v>
      </c>
      <c r="R3274" s="1" t="s">
        <v>27</v>
      </c>
      <c r="S3274" s="1" t="s">
        <v>28</v>
      </c>
      <c r="T3274" s="1" t="s">
        <v>29</v>
      </c>
    </row>
    <row r="3275" customFormat="false" ht="18.7" hidden="false" customHeight="true" outlineLevel="0" collapsed="false">
      <c r="A3275" s="1" t="n">
        <v>3274</v>
      </c>
      <c r="B3275" s="6" t="str">
        <f aca="false">HYPERLINK("https://mncourtfraud.com/file/MCRO_27-CR-23-16927_Notice of Remote Hearing with Instructions_2023-11-28_20240430074533.pdf","MCRO_27-CR-23-16927_Notice of Remote Hearing with Instructions_2023-11-28_20240430074533.pdf")</f>
        <v>MCRO_27-CR-23-16927_Notice of Remote Hearing with Instructions_2023-11-28_20240430074533.pdf</v>
      </c>
      <c r="C3275" s="1" t="n">
        <v>4</v>
      </c>
      <c r="D3275" s="1" t="n">
        <v>1</v>
      </c>
      <c r="E3275" s="1" t="n">
        <v>1</v>
      </c>
      <c r="F3275" s="3" t="s">
        <v>20</v>
      </c>
      <c r="G3275" s="3" t="s">
        <v>13181</v>
      </c>
      <c r="H3275" s="1" t="s">
        <v>22</v>
      </c>
      <c r="I3275" s="1" t="n">
        <v>20240430074533</v>
      </c>
      <c r="J3275" s="3" t="s">
        <v>13182</v>
      </c>
      <c r="K3275" s="3" t="s">
        <v>13183</v>
      </c>
      <c r="L3275" s="3" t="s">
        <v>7905</v>
      </c>
      <c r="M3275" s="3" t="n">
        <v>269237</v>
      </c>
      <c r="N3275" s="3" t="s">
        <v>74</v>
      </c>
      <c r="O3275" s="1" t="n">
        <v>252851</v>
      </c>
      <c r="P3275" s="1" t="n">
        <v>93.91</v>
      </c>
      <c r="Q3275" s="1" t="s">
        <v>20</v>
      </c>
      <c r="R3275" s="1" t="s">
        <v>27</v>
      </c>
      <c r="S3275" s="1" t="s">
        <v>28</v>
      </c>
      <c r="T3275" s="1" t="s">
        <v>29</v>
      </c>
    </row>
    <row r="3276" customFormat="false" ht="18.7" hidden="false" customHeight="true" outlineLevel="0" collapsed="false">
      <c r="A3276" s="1" t="n">
        <v>3275</v>
      </c>
      <c r="B3276" s="6" t="str">
        <f aca="false">HYPERLINK("https://mncourtfraud.com/file/MCRO_27-CR-23-16927_Notice of Remote Hearing with Instructions_2023-12-05_20240430074532.pdf","MCRO_27-CR-23-16927_Notice of Remote Hearing with Instructions_2023-12-05_20240430074532.pdf")</f>
        <v>MCRO_27-CR-23-16927_Notice of Remote Hearing with Instructions_2023-12-05_20240430074532.pdf</v>
      </c>
      <c r="C3276" s="1" t="n">
        <v>5</v>
      </c>
      <c r="D3276" s="1" t="n">
        <v>1</v>
      </c>
      <c r="E3276" s="1" t="n">
        <v>1</v>
      </c>
      <c r="F3276" s="3" t="s">
        <v>20</v>
      </c>
      <c r="G3276" s="3" t="s">
        <v>13184</v>
      </c>
      <c r="H3276" s="1" t="s">
        <v>22</v>
      </c>
      <c r="I3276" s="1" t="n">
        <v>20240430074532</v>
      </c>
      <c r="J3276" s="3" t="s">
        <v>13185</v>
      </c>
      <c r="K3276" s="3" t="s">
        <v>13186</v>
      </c>
      <c r="L3276" s="3" t="s">
        <v>13187</v>
      </c>
      <c r="M3276" s="3" t="n">
        <v>843399</v>
      </c>
      <c r="N3276" s="3" t="s">
        <v>3164</v>
      </c>
      <c r="O3276" s="1" t="n">
        <v>827013</v>
      </c>
      <c r="P3276" s="1" t="n">
        <v>98.06</v>
      </c>
      <c r="Q3276" s="1" t="s">
        <v>20</v>
      </c>
      <c r="R3276" s="1" t="s">
        <v>27</v>
      </c>
      <c r="S3276" s="1" t="s">
        <v>28</v>
      </c>
      <c r="T3276" s="1" t="s">
        <v>29</v>
      </c>
    </row>
    <row r="3277" customFormat="false" ht="18.7" hidden="false" customHeight="true" outlineLevel="0" collapsed="false">
      <c r="A3277" s="1" t="n">
        <v>3276</v>
      </c>
      <c r="B3277" s="6" t="str">
        <f aca="false">HYPERLINK("https://mncourtfraud.com/file/MCRO_27-CR-23-16927_Order-Evaluation for Competency to Proceed (Rule 20.01)_2023-09-18_20240430074534.pdf","MCRO_27-CR-23-16927_Order-Evaluation for Competency to Proceed (Rule 20.01)_2023-09-18_20240430074534.pdf")</f>
        <v>MCRO_27-CR-23-16927_Order-Evaluation for Competency to Proceed (Rule 20.01)_2023-09-18_20240430074534.pdf</v>
      </c>
      <c r="C3277" s="1" t="n">
        <v>6</v>
      </c>
      <c r="D3277" s="1" t="n">
        <v>2</v>
      </c>
      <c r="E3277" s="1" t="n">
        <v>2</v>
      </c>
      <c r="F3277" s="3" t="s">
        <v>27</v>
      </c>
      <c r="G3277" s="3" t="s">
        <v>13188</v>
      </c>
      <c r="H3277" s="1" t="s">
        <v>22</v>
      </c>
      <c r="I3277" s="1" t="n">
        <v>20240430074534</v>
      </c>
      <c r="J3277" s="3" t="s">
        <v>13189</v>
      </c>
      <c r="K3277" s="3" t="s">
        <v>13190</v>
      </c>
      <c r="L3277" s="3" t="s">
        <v>13191</v>
      </c>
      <c r="M3277" s="3" t="n">
        <v>868843</v>
      </c>
      <c r="N3277" s="3" t="s">
        <v>554</v>
      </c>
      <c r="O3277" s="1" t="n">
        <v>852457</v>
      </c>
      <c r="P3277" s="1" t="n">
        <v>98.11</v>
      </c>
      <c r="Q3277" s="1" t="s">
        <v>20</v>
      </c>
      <c r="R3277" s="1" t="s">
        <v>27</v>
      </c>
      <c r="S3277" s="1" t="s">
        <v>28</v>
      </c>
      <c r="T3277" s="1" t="s">
        <v>29</v>
      </c>
    </row>
    <row r="3278" customFormat="false" ht="18.7" hidden="false" customHeight="true" outlineLevel="0" collapsed="false">
      <c r="A3278" s="1" t="n">
        <v>3277</v>
      </c>
      <c r="B3278" s="6" t="str">
        <f aca="false">HYPERLINK("https://mncourtfraud.com/file/MCRO_27-CR-23-16927_Order-Evaluation for Competency to Proceed (Rule 20.01)_2024-01-26_20240430074530.pdf","MCRO_27-CR-23-16927_Order-Evaluation for Competency to Proceed (Rule 20.01)_2024-01-26_20240430074530.pdf")</f>
        <v>MCRO_27-CR-23-16927_Order-Evaluation for Competency to Proceed (Rule 20.01)_2024-01-26_20240430074530.pdf</v>
      </c>
      <c r="C3278" s="1" t="n">
        <v>6</v>
      </c>
      <c r="D3278" s="1" t="n">
        <v>2</v>
      </c>
      <c r="E3278" s="1" t="n">
        <v>2</v>
      </c>
      <c r="F3278" s="3" t="s">
        <v>20</v>
      </c>
      <c r="G3278" s="3" t="s">
        <v>13192</v>
      </c>
      <c r="H3278" s="1" t="s">
        <v>22</v>
      </c>
      <c r="I3278" s="1" t="n">
        <v>20240430074530</v>
      </c>
      <c r="J3278" s="3" t="s">
        <v>13193</v>
      </c>
      <c r="K3278" s="3" t="s">
        <v>13194</v>
      </c>
      <c r="L3278" s="3" t="s">
        <v>7264</v>
      </c>
      <c r="M3278" s="3" t="n">
        <v>868593</v>
      </c>
      <c r="N3278" s="3" t="s">
        <v>6214</v>
      </c>
      <c r="O3278" s="1" t="n">
        <v>852207</v>
      </c>
      <c r="P3278" s="1" t="n">
        <v>98.11</v>
      </c>
      <c r="Q3278" s="1" t="s">
        <v>20</v>
      </c>
      <c r="R3278" s="1" t="s">
        <v>27</v>
      </c>
      <c r="S3278" s="1" t="s">
        <v>28</v>
      </c>
      <c r="T3278" s="1" t="s">
        <v>29</v>
      </c>
    </row>
    <row r="3279" customFormat="false" ht="18.7" hidden="false" customHeight="true" outlineLevel="0" collapsed="false">
      <c r="A3279" s="1" t="n">
        <v>3278</v>
      </c>
      <c r="B3279" s="6" t="str">
        <f aca="false">HYPERLINK("https://mncourtfraud.com/file/MCRO_27-CR-23-16927_Returned Mail_2023-12-08_20240430074531.pdf","MCRO_27-CR-23-16927_Returned Mail_2023-12-08_20240430074531.pdf")</f>
        <v>MCRO_27-CR-23-16927_Returned Mail_2023-12-08_20240430074531.pdf</v>
      </c>
      <c r="C3279" s="1" t="n">
        <v>4</v>
      </c>
      <c r="D3279" s="1" t="n">
        <v>1</v>
      </c>
      <c r="E3279" s="1" t="n">
        <v>1</v>
      </c>
      <c r="F3279" s="3" t="s">
        <v>20</v>
      </c>
      <c r="G3279" s="3" t="s">
        <v>13195</v>
      </c>
      <c r="H3279" s="1" t="s">
        <v>22</v>
      </c>
      <c r="I3279" s="1" t="n">
        <v>20240430074531</v>
      </c>
      <c r="J3279" s="3" t="s">
        <v>13196</v>
      </c>
      <c r="K3279" s="3" t="s">
        <v>13197</v>
      </c>
      <c r="L3279" s="3" t="s">
        <v>13198</v>
      </c>
      <c r="M3279" s="3" t="n">
        <v>331561</v>
      </c>
      <c r="N3279" s="3" t="s">
        <v>158</v>
      </c>
      <c r="O3279" s="1" t="n">
        <v>315175</v>
      </c>
      <c r="P3279" s="1" t="n">
        <v>95.06</v>
      </c>
      <c r="Q3279" s="1" t="s">
        <v>20</v>
      </c>
      <c r="R3279" s="1" t="s">
        <v>27</v>
      </c>
      <c r="S3279" s="1" t="s">
        <v>28</v>
      </c>
      <c r="T3279" s="1" t="s">
        <v>29</v>
      </c>
    </row>
    <row r="3280" customFormat="false" ht="18.7" hidden="false" customHeight="true" outlineLevel="0" collapsed="false">
      <c r="A3280" s="1" t="n">
        <v>3279</v>
      </c>
      <c r="B3280" s="6" t="str">
        <f aca="false">HYPERLINK("https://mncourtfraud.com/file/MCRO_27-CR-23-17576_Finding of Incompetency and Order_2024-02-02_20240430074616.pdf","MCRO_27-CR-23-17576_Finding of Incompetency and Order_2024-02-02_20240430074616.pdf")</f>
        <v>MCRO_27-CR-23-17576_Finding of Incompetency and Order_2024-02-02_20240430074616.pdf</v>
      </c>
      <c r="C3280" s="1" t="n">
        <v>6</v>
      </c>
      <c r="D3280" s="1" t="n">
        <v>2</v>
      </c>
      <c r="E3280" s="1" t="n">
        <v>2</v>
      </c>
      <c r="F3280" s="3" t="s">
        <v>20</v>
      </c>
      <c r="G3280" s="3" t="s">
        <v>13199</v>
      </c>
      <c r="H3280" s="1" t="s">
        <v>22</v>
      </c>
      <c r="I3280" s="1" t="n">
        <v>20240430074616</v>
      </c>
      <c r="J3280" s="3" t="s">
        <v>13200</v>
      </c>
      <c r="K3280" s="3" t="s">
        <v>13201</v>
      </c>
      <c r="L3280" s="3" t="s">
        <v>13202</v>
      </c>
      <c r="M3280" s="3" t="n">
        <v>775869</v>
      </c>
      <c r="N3280" s="3" t="s">
        <v>973</v>
      </c>
      <c r="O3280" s="1" t="n">
        <v>759483</v>
      </c>
      <c r="P3280" s="1" t="n">
        <v>97.89</v>
      </c>
      <c r="Q3280" s="1" t="s">
        <v>20</v>
      </c>
      <c r="R3280" s="1" t="s">
        <v>27</v>
      </c>
      <c r="S3280" s="1" t="s">
        <v>28</v>
      </c>
      <c r="T3280" s="1" t="s">
        <v>29</v>
      </c>
    </row>
    <row r="3281" customFormat="false" ht="18.7" hidden="false" customHeight="true" outlineLevel="0" collapsed="false">
      <c r="A3281" s="1" t="n">
        <v>3280</v>
      </c>
      <c r="B3281" s="6" t="str">
        <f aca="false">HYPERLINK("https://mncourtfraud.com/file/MCRO_27-CR-23-17576_Notice of Hearing_2023-08-21_20240430074624.pdf","MCRO_27-CR-23-17576_Notice of Hearing_2023-08-21_20240430074624.pdf")</f>
        <v>MCRO_27-CR-23-17576_Notice of Hearing_2023-08-21_20240430074624.pdf</v>
      </c>
      <c r="C3281" s="1" t="n">
        <v>4</v>
      </c>
      <c r="D3281" s="1" t="n">
        <v>1</v>
      </c>
      <c r="E3281" s="1" t="n">
        <v>1</v>
      </c>
      <c r="F3281" s="3" t="s">
        <v>20</v>
      </c>
      <c r="G3281" s="3" t="s">
        <v>13203</v>
      </c>
      <c r="H3281" s="1" t="s">
        <v>22</v>
      </c>
      <c r="I3281" s="1" t="n">
        <v>20240430074624</v>
      </c>
      <c r="J3281" s="3" t="s">
        <v>13204</v>
      </c>
      <c r="K3281" s="3" t="s">
        <v>13205</v>
      </c>
      <c r="L3281" s="3" t="s">
        <v>13206</v>
      </c>
      <c r="M3281" s="3" t="n">
        <v>99094</v>
      </c>
      <c r="N3281" s="3" t="s">
        <v>435</v>
      </c>
      <c r="O3281" s="1" t="n">
        <v>82708</v>
      </c>
      <c r="P3281" s="1" t="n">
        <v>83.46</v>
      </c>
      <c r="Q3281" s="1" t="s">
        <v>20</v>
      </c>
      <c r="R3281" s="1" t="s">
        <v>27</v>
      </c>
      <c r="S3281" s="1" t="s">
        <v>28</v>
      </c>
      <c r="T3281" s="1" t="s">
        <v>29</v>
      </c>
    </row>
    <row r="3282" customFormat="false" ht="18.7" hidden="false" customHeight="true" outlineLevel="0" collapsed="false">
      <c r="A3282" s="1" t="n">
        <v>3281</v>
      </c>
      <c r="B3282" s="6" t="str">
        <f aca="false">HYPERLINK("https://mncourtfraud.com/file/MCRO_27-CR-23-17576_Notice of Remote Hearing with Instructions_2023-08-21_20240430074625.pdf","MCRO_27-CR-23-17576_Notice of Remote Hearing with Instructions_2023-08-21_20240430074625.pdf")</f>
        <v>MCRO_27-CR-23-17576_Notice of Remote Hearing with Instructions_2023-08-21_20240430074625.pdf</v>
      </c>
      <c r="C3282" s="1" t="n">
        <v>4</v>
      </c>
      <c r="D3282" s="1" t="n">
        <v>1</v>
      </c>
      <c r="E3282" s="1" t="n">
        <v>1</v>
      </c>
      <c r="F3282" s="3" t="s">
        <v>20</v>
      </c>
      <c r="G3282" s="3" t="s">
        <v>13207</v>
      </c>
      <c r="H3282" s="1" t="s">
        <v>22</v>
      </c>
      <c r="I3282" s="1" t="n">
        <v>20240430074625</v>
      </c>
      <c r="J3282" s="3" t="s">
        <v>13208</v>
      </c>
      <c r="K3282" s="3" t="s">
        <v>13209</v>
      </c>
      <c r="L3282" s="3" t="s">
        <v>13210</v>
      </c>
      <c r="M3282" s="3" t="n">
        <v>138324</v>
      </c>
      <c r="N3282" s="3" t="s">
        <v>1159</v>
      </c>
      <c r="O3282" s="1" t="n">
        <v>121938</v>
      </c>
      <c r="P3282" s="1" t="n">
        <v>88.15</v>
      </c>
      <c r="Q3282" s="1" t="s">
        <v>20</v>
      </c>
      <c r="R3282" s="1" t="s">
        <v>27</v>
      </c>
      <c r="S3282" s="1" t="s">
        <v>28</v>
      </c>
      <c r="T3282" s="1" t="s">
        <v>29</v>
      </c>
    </row>
    <row r="3283" customFormat="false" ht="18.7" hidden="false" customHeight="true" outlineLevel="0" collapsed="false">
      <c r="A3283" s="1" t="n">
        <v>3282</v>
      </c>
      <c r="B3283" s="6" t="str">
        <f aca="false">HYPERLINK("https://mncourtfraud.com/file/MCRO_27-CR-23-17576_Notice of Remote Hearing with Instructions_2023-09-19_20240430074622.pdf","MCRO_27-CR-23-17576_Notice of Remote Hearing with Instructions_2023-09-19_20240430074622.pdf")</f>
        <v>MCRO_27-CR-23-17576_Notice of Remote Hearing with Instructions_2023-09-19_20240430074622.pdf</v>
      </c>
      <c r="C3283" s="1" t="n">
        <v>4</v>
      </c>
      <c r="D3283" s="1" t="n">
        <v>1</v>
      </c>
      <c r="E3283" s="1" t="n">
        <v>1</v>
      </c>
      <c r="F3283" s="3" t="s">
        <v>20</v>
      </c>
      <c r="G3283" s="3" t="s">
        <v>13211</v>
      </c>
      <c r="H3283" s="1" t="s">
        <v>22</v>
      </c>
      <c r="I3283" s="1" t="n">
        <v>20240430074622</v>
      </c>
      <c r="J3283" s="3" t="s">
        <v>13212</v>
      </c>
      <c r="K3283" s="3" t="s">
        <v>13213</v>
      </c>
      <c r="L3283" s="3" t="s">
        <v>13214</v>
      </c>
      <c r="M3283" s="3" t="n">
        <v>259150</v>
      </c>
      <c r="N3283" s="3" t="s">
        <v>936</v>
      </c>
      <c r="O3283" s="1" t="n">
        <v>242764</v>
      </c>
      <c r="P3283" s="1" t="n">
        <v>93.68</v>
      </c>
      <c r="Q3283" s="1" t="s">
        <v>20</v>
      </c>
      <c r="R3283" s="1" t="s">
        <v>27</v>
      </c>
      <c r="S3283" s="1" t="s">
        <v>28</v>
      </c>
      <c r="T3283" s="1" t="s">
        <v>29</v>
      </c>
    </row>
    <row r="3284" customFormat="false" ht="18.7" hidden="false" customHeight="true" outlineLevel="0" collapsed="false">
      <c r="A3284" s="1" t="n">
        <v>3283</v>
      </c>
      <c r="B3284" s="6" t="str">
        <f aca="false">HYPERLINK("https://mncourtfraud.com/file/MCRO_27-CR-23-17576_Notice of Remote Hearing with Instructions_2023-10-24_20240430074621.pdf","MCRO_27-CR-23-17576_Notice of Remote Hearing with Instructions_2023-10-24_20240430074621.pdf")</f>
        <v>MCRO_27-CR-23-17576_Notice of Remote Hearing with Instructions_2023-10-24_20240430074621.pdf</v>
      </c>
      <c r="C3284" s="1" t="n">
        <v>5</v>
      </c>
      <c r="D3284" s="1" t="n">
        <v>1</v>
      </c>
      <c r="E3284" s="1" t="n">
        <v>1</v>
      </c>
      <c r="F3284" s="3" t="s">
        <v>20</v>
      </c>
      <c r="G3284" s="3" t="s">
        <v>13215</v>
      </c>
      <c r="H3284" s="1" t="s">
        <v>22</v>
      </c>
      <c r="I3284" s="1" t="n">
        <v>20240430074621</v>
      </c>
      <c r="J3284" s="3" t="s">
        <v>13216</v>
      </c>
      <c r="K3284" s="3" t="s">
        <v>13217</v>
      </c>
      <c r="L3284" s="3" t="s">
        <v>13218</v>
      </c>
      <c r="M3284" s="3" t="n">
        <v>843612</v>
      </c>
      <c r="N3284" s="3" t="s">
        <v>510</v>
      </c>
      <c r="O3284" s="1" t="n">
        <v>827226</v>
      </c>
      <c r="P3284" s="1" t="n">
        <v>98.06</v>
      </c>
      <c r="Q3284" s="1" t="s">
        <v>20</v>
      </c>
      <c r="R3284" s="1" t="s">
        <v>27</v>
      </c>
      <c r="S3284" s="1" t="s">
        <v>28</v>
      </c>
      <c r="T3284" s="1" t="s">
        <v>29</v>
      </c>
    </row>
    <row r="3285" customFormat="false" ht="18.7" hidden="false" customHeight="true" outlineLevel="0" collapsed="false">
      <c r="A3285" s="1" t="n">
        <v>3284</v>
      </c>
      <c r="B3285" s="6" t="str">
        <f aca="false">HYPERLINK("https://mncourtfraud.com/file/MCRO_27-CR-23-17576_Notice of Remote Hearing with Instructions_2023-11-21_20240430074620.pdf","MCRO_27-CR-23-17576_Notice of Remote Hearing with Instructions_2023-11-21_20240430074620.pdf")</f>
        <v>MCRO_27-CR-23-17576_Notice of Remote Hearing with Instructions_2023-11-21_20240430074620.pdf</v>
      </c>
      <c r="C3285" s="1" t="n">
        <v>6</v>
      </c>
      <c r="D3285" s="1" t="n">
        <v>1</v>
      </c>
      <c r="E3285" s="1" t="n">
        <v>1</v>
      </c>
      <c r="F3285" s="3" t="s">
        <v>20</v>
      </c>
      <c r="G3285" s="3" t="s">
        <v>13219</v>
      </c>
      <c r="H3285" s="1" t="s">
        <v>22</v>
      </c>
      <c r="I3285" s="1" t="n">
        <v>20240430074620</v>
      </c>
      <c r="J3285" s="3" t="s">
        <v>13220</v>
      </c>
      <c r="K3285" s="3" t="s">
        <v>13221</v>
      </c>
      <c r="L3285" s="3" t="s">
        <v>13222</v>
      </c>
      <c r="M3285" s="3" t="n">
        <v>910363</v>
      </c>
      <c r="N3285" s="3" t="s">
        <v>109</v>
      </c>
      <c r="O3285" s="1" t="n">
        <v>893977</v>
      </c>
      <c r="P3285" s="1" t="n">
        <v>98.2</v>
      </c>
      <c r="Q3285" s="1" t="s">
        <v>20</v>
      </c>
      <c r="R3285" s="1" t="s">
        <v>27</v>
      </c>
      <c r="S3285" s="1" t="s">
        <v>28</v>
      </c>
      <c r="T3285" s="1" t="s">
        <v>29</v>
      </c>
    </row>
    <row r="3286" customFormat="false" ht="18.7" hidden="false" customHeight="true" outlineLevel="0" collapsed="false">
      <c r="A3286" s="1" t="n">
        <v>3285</v>
      </c>
      <c r="B3286" s="6" t="str">
        <f aca="false">HYPERLINK("https://mncourtfraud.com/file/MCRO_27-CR-23-17576_Notice of Remote Hearing with Instructions_2023-12-12_20240430074619.pdf","MCRO_27-CR-23-17576_Notice of Remote Hearing with Instructions_2023-12-12_20240430074619.pdf")</f>
        <v>MCRO_27-CR-23-17576_Notice of Remote Hearing with Instructions_2023-12-12_20240430074619.pdf</v>
      </c>
      <c r="C3286" s="1" t="n">
        <v>3</v>
      </c>
      <c r="D3286" s="1" t="n">
        <v>1</v>
      </c>
      <c r="E3286" s="1" t="n">
        <v>1</v>
      </c>
      <c r="F3286" s="3" t="s">
        <v>20</v>
      </c>
      <c r="G3286" s="3" t="s">
        <v>13223</v>
      </c>
      <c r="H3286" s="1" t="s">
        <v>22</v>
      </c>
      <c r="I3286" s="1" t="n">
        <v>20240430074619</v>
      </c>
      <c r="J3286" s="3" t="s">
        <v>13224</v>
      </c>
      <c r="K3286" s="3" t="s">
        <v>13225</v>
      </c>
      <c r="L3286" s="3" t="s">
        <v>13226</v>
      </c>
      <c r="M3286" s="3" t="n">
        <v>832284</v>
      </c>
      <c r="N3286" s="3" t="s">
        <v>3251</v>
      </c>
      <c r="O3286" s="1" t="n">
        <v>815898</v>
      </c>
      <c r="P3286" s="1" t="n">
        <v>98.03</v>
      </c>
      <c r="Q3286" s="1" t="s">
        <v>20</v>
      </c>
      <c r="R3286" s="1" t="s">
        <v>27</v>
      </c>
      <c r="S3286" s="1" t="s">
        <v>28</v>
      </c>
      <c r="T3286" s="1" t="s">
        <v>29</v>
      </c>
    </row>
    <row r="3287" customFormat="false" ht="18.7" hidden="false" customHeight="true" outlineLevel="0" collapsed="false">
      <c r="A3287" s="1" t="n">
        <v>3286</v>
      </c>
      <c r="B3287" s="6" t="str">
        <f aca="false">HYPERLINK("https://mncourtfraud.com/file/MCRO_27-CR-23-17576_Notice of Remote Hearing with Instructions_2024-01-02_20240430074617.pdf","MCRO_27-CR-23-17576_Notice of Remote Hearing with Instructions_2024-01-02_20240430074617.pdf")</f>
        <v>MCRO_27-CR-23-17576_Notice of Remote Hearing with Instructions_2024-01-02_20240430074617.pdf</v>
      </c>
      <c r="C3287" s="1" t="n">
        <v>4</v>
      </c>
      <c r="D3287" s="1" t="n">
        <v>1</v>
      </c>
      <c r="E3287" s="1" t="n">
        <v>1</v>
      </c>
      <c r="F3287" s="3" t="s">
        <v>20</v>
      </c>
      <c r="G3287" s="3" t="s">
        <v>13227</v>
      </c>
      <c r="H3287" s="1" t="s">
        <v>22</v>
      </c>
      <c r="I3287" s="1" t="n">
        <v>20240430074617</v>
      </c>
      <c r="J3287" s="3" t="s">
        <v>13228</v>
      </c>
      <c r="K3287" s="3" t="s">
        <v>13229</v>
      </c>
      <c r="L3287" s="3" t="s">
        <v>10213</v>
      </c>
      <c r="M3287" s="3" t="n">
        <v>885880</v>
      </c>
      <c r="N3287" s="3" t="s">
        <v>5604</v>
      </c>
      <c r="O3287" s="1" t="n">
        <v>869494</v>
      </c>
      <c r="P3287" s="1" t="n">
        <v>98.15</v>
      </c>
      <c r="Q3287" s="1" t="s">
        <v>20</v>
      </c>
      <c r="R3287" s="1" t="s">
        <v>27</v>
      </c>
      <c r="S3287" s="1" t="s">
        <v>28</v>
      </c>
      <c r="T3287" s="1" t="s">
        <v>29</v>
      </c>
    </row>
    <row r="3288" customFormat="false" ht="18.7" hidden="false" customHeight="true" outlineLevel="0" collapsed="false">
      <c r="A3288" s="1" t="n">
        <v>3287</v>
      </c>
      <c r="B3288" s="6" t="str">
        <f aca="false">HYPERLINK("https://mncourtfraud.com/file/MCRO_27-CR-23-17576_Order-Evaluation for Competency to Proceed (Rule 20.01)_2023-08-21_20240430074623.pdf","MCRO_27-CR-23-17576_Order-Evaluation for Competency to Proceed (Rule 20.01)_2023-08-21_20240430074623.pdf")</f>
        <v>MCRO_27-CR-23-17576_Order-Evaluation for Competency to Proceed (Rule 20.01)_2023-08-21_20240430074623.pdf</v>
      </c>
      <c r="C3288" s="1" t="n">
        <v>4</v>
      </c>
      <c r="D3288" s="1" t="n">
        <v>1</v>
      </c>
      <c r="E3288" s="1" t="n">
        <v>1</v>
      </c>
      <c r="F3288" s="3" t="s">
        <v>20</v>
      </c>
      <c r="G3288" s="3" t="s">
        <v>13230</v>
      </c>
      <c r="H3288" s="1" t="s">
        <v>22</v>
      </c>
      <c r="I3288" s="1" t="n">
        <v>20240430074623</v>
      </c>
      <c r="J3288" s="3" t="s">
        <v>13231</v>
      </c>
      <c r="K3288" s="3" t="s">
        <v>13232</v>
      </c>
      <c r="L3288" s="3" t="s">
        <v>13233</v>
      </c>
      <c r="M3288" s="3" t="n">
        <v>137990</v>
      </c>
      <c r="N3288" s="3" t="s">
        <v>1159</v>
      </c>
      <c r="O3288" s="1" t="n">
        <v>121604</v>
      </c>
      <c r="P3288" s="1" t="n">
        <v>88.13</v>
      </c>
      <c r="Q3288" s="1" t="s">
        <v>20</v>
      </c>
      <c r="R3288" s="1" t="s">
        <v>27</v>
      </c>
      <c r="S3288" s="1" t="s">
        <v>28</v>
      </c>
      <c r="T3288" s="1" t="s">
        <v>29</v>
      </c>
    </row>
    <row r="3289" customFormat="false" ht="18.7" hidden="false" customHeight="true" outlineLevel="0" collapsed="false">
      <c r="A3289" s="1" t="n">
        <v>3288</v>
      </c>
      <c r="B3289" s="6" t="str">
        <f aca="false">HYPERLINK("https://mncourtfraud.com/file/MCRO_27-CR-23-17576_Order for Conditional Release_2023-08-21_20240430074626.pdf","MCRO_27-CR-23-17576_Order for Conditional Release_2023-08-21_20240430074626.pdf")</f>
        <v>MCRO_27-CR-23-17576_Order for Conditional Release_2023-08-21_20240430074626.pdf</v>
      </c>
      <c r="C3289" s="1" t="n">
        <v>4</v>
      </c>
      <c r="D3289" s="1" t="n">
        <v>1</v>
      </c>
      <c r="E3289" s="1" t="n">
        <v>1</v>
      </c>
      <c r="F3289" s="3" t="s">
        <v>20</v>
      </c>
      <c r="G3289" s="3" t="s">
        <v>13234</v>
      </c>
      <c r="H3289" s="1" t="s">
        <v>22</v>
      </c>
      <c r="I3289" s="1" t="n">
        <v>20240430074626</v>
      </c>
      <c r="J3289" s="3" t="s">
        <v>13235</v>
      </c>
      <c r="K3289" s="3" t="s">
        <v>13236</v>
      </c>
      <c r="L3289" s="3" t="s">
        <v>13237</v>
      </c>
      <c r="M3289" s="3" t="n">
        <v>110276</v>
      </c>
      <c r="N3289" s="3" t="s">
        <v>435</v>
      </c>
      <c r="O3289" s="1" t="n">
        <v>93890</v>
      </c>
      <c r="P3289" s="1" t="n">
        <v>85.14</v>
      </c>
      <c r="Q3289" s="1" t="s">
        <v>20</v>
      </c>
      <c r="R3289" s="1" t="s">
        <v>27</v>
      </c>
      <c r="S3289" s="1" t="s">
        <v>28</v>
      </c>
      <c r="T3289" s="1" t="s">
        <v>29</v>
      </c>
    </row>
    <row r="3290" customFormat="false" ht="18.7" hidden="false" customHeight="true" outlineLevel="0" collapsed="false">
      <c r="A3290" s="1" t="n">
        <v>3289</v>
      </c>
      <c r="B3290" s="6" t="str">
        <f aca="false">HYPERLINK("https://mncourtfraud.com/file/MCRO_27-CR-23-18846_Demand or Request for Discovery_2023-09-12_20240430074710.pdf","MCRO_27-CR-23-18846_Demand or Request for Discovery_2023-09-12_20240430074710.pdf")</f>
        <v>MCRO_27-CR-23-18846_Demand or Request for Discovery_2023-09-12_20240430074710.pdf</v>
      </c>
      <c r="C3290" s="1" t="n">
        <v>3</v>
      </c>
      <c r="D3290" s="1" t="n">
        <v>1</v>
      </c>
      <c r="E3290" s="1" t="n">
        <v>1</v>
      </c>
      <c r="F3290" s="3" t="s">
        <v>20</v>
      </c>
      <c r="G3290" s="3" t="s">
        <v>13238</v>
      </c>
      <c r="H3290" s="1" t="s">
        <v>22</v>
      </c>
      <c r="I3290" s="1" t="n">
        <v>20240430074710</v>
      </c>
      <c r="J3290" s="3" t="s">
        <v>13239</v>
      </c>
      <c r="K3290" s="3" t="s">
        <v>13240</v>
      </c>
      <c r="L3290" s="3" t="s">
        <v>13241</v>
      </c>
      <c r="M3290" s="3" t="n">
        <v>410624</v>
      </c>
      <c r="N3290" s="3" t="s">
        <v>5847</v>
      </c>
      <c r="O3290" s="1" t="n">
        <v>394238</v>
      </c>
      <c r="P3290" s="1" t="n">
        <v>96.01</v>
      </c>
      <c r="Q3290" s="1" t="s">
        <v>20</v>
      </c>
      <c r="R3290" s="1" t="s">
        <v>27</v>
      </c>
      <c r="S3290" s="1" t="s">
        <v>28</v>
      </c>
      <c r="T3290" s="1" t="s">
        <v>29</v>
      </c>
    </row>
    <row r="3291" customFormat="false" ht="18.7" hidden="false" customHeight="true" outlineLevel="0" collapsed="false">
      <c r="A3291" s="1" t="n">
        <v>3290</v>
      </c>
      <c r="B3291" s="6" t="str">
        <f aca="false">HYPERLINK("https://mncourtfraud.com/file/MCRO_27-CR-23-18846_E-filed Comp-Order for Detention_2023-09-05_20240430074714.pdf","MCRO_27-CR-23-18846_E-filed Comp-Order for Detention_2023-09-05_20240430074714.pdf")</f>
        <v>MCRO_27-CR-23-18846_E-filed Comp-Order for Detention_2023-09-05_20240430074714.pdf</v>
      </c>
      <c r="C3291" s="1" t="n">
        <v>5</v>
      </c>
      <c r="D3291" s="1" t="n">
        <v>2</v>
      </c>
      <c r="E3291" s="1" t="n">
        <v>2</v>
      </c>
      <c r="F3291" s="3" t="s">
        <v>20</v>
      </c>
      <c r="G3291" s="3" t="s">
        <v>13242</v>
      </c>
      <c r="H3291" s="1" t="s">
        <v>22</v>
      </c>
      <c r="I3291" s="1" t="n">
        <v>20240430074714</v>
      </c>
      <c r="J3291" s="3" t="s">
        <v>13243</v>
      </c>
      <c r="K3291" s="3" t="s">
        <v>13244</v>
      </c>
      <c r="L3291" s="3" t="s">
        <v>13245</v>
      </c>
      <c r="M3291" s="3" t="n">
        <v>445612</v>
      </c>
      <c r="N3291" s="3" t="s">
        <v>10721</v>
      </c>
      <c r="O3291" s="1" t="n">
        <v>429226</v>
      </c>
      <c r="P3291" s="1" t="n">
        <v>96.32</v>
      </c>
      <c r="Q3291" s="1" t="s">
        <v>20</v>
      </c>
      <c r="R3291" s="1" t="s">
        <v>27</v>
      </c>
      <c r="S3291" s="1" t="s">
        <v>28</v>
      </c>
      <c r="T3291" s="1" t="s">
        <v>29</v>
      </c>
    </row>
    <row r="3292" customFormat="false" ht="18.7" hidden="false" customHeight="true" outlineLevel="0" collapsed="false">
      <c r="A3292" s="1" t="n">
        <v>3291</v>
      </c>
      <c r="B3292" s="6" t="str">
        <f aca="false">HYPERLINK("https://mncourtfraud.com/file/MCRO_27-CR-23-18846_Finding of Incompetency and Order_2023-10-10_20240430074709.pdf","MCRO_27-CR-23-18846_Finding of Incompetency and Order_2023-10-10_20240430074709.pdf")</f>
        <v>MCRO_27-CR-23-18846_Finding of Incompetency and Order_2023-10-10_20240430074709.pdf</v>
      </c>
      <c r="C3292" s="1" t="n">
        <v>5</v>
      </c>
      <c r="D3292" s="1" t="n">
        <v>1</v>
      </c>
      <c r="E3292" s="1" t="n">
        <v>1</v>
      </c>
      <c r="F3292" s="3" t="s">
        <v>20</v>
      </c>
      <c r="G3292" s="3" t="s">
        <v>13246</v>
      </c>
      <c r="H3292" s="1" t="s">
        <v>22</v>
      </c>
      <c r="I3292" s="1" t="n">
        <v>20240430074709</v>
      </c>
      <c r="J3292" s="3" t="s">
        <v>13247</v>
      </c>
      <c r="K3292" s="3" t="s">
        <v>13248</v>
      </c>
      <c r="L3292" s="3" t="s">
        <v>13249</v>
      </c>
      <c r="M3292" s="3" t="n">
        <v>859020</v>
      </c>
      <c r="N3292" s="3" t="s">
        <v>1266</v>
      </c>
      <c r="O3292" s="1" t="n">
        <v>842634</v>
      </c>
      <c r="P3292" s="1" t="n">
        <v>98.09</v>
      </c>
      <c r="Q3292" s="1" t="s">
        <v>20</v>
      </c>
      <c r="R3292" s="1" t="s">
        <v>27</v>
      </c>
      <c r="S3292" s="1" t="s">
        <v>28</v>
      </c>
      <c r="T3292" s="1" t="s">
        <v>29</v>
      </c>
    </row>
    <row r="3293" customFormat="false" ht="18.7" hidden="false" customHeight="true" outlineLevel="0" collapsed="false">
      <c r="A3293" s="1" t="n">
        <v>3292</v>
      </c>
      <c r="B3293" s="6" t="str">
        <f aca="false">HYPERLINK("https://mncourtfraud.com/file/MCRO_27-CR-23-18846_Notice of Remote Hearing with Instructions_2023-10-10_20240430074708.pdf","MCRO_27-CR-23-18846_Notice of Remote Hearing with Instructions_2023-10-10_20240430074708.pdf")</f>
        <v>MCRO_27-CR-23-18846_Notice of Remote Hearing with Instructions_2023-10-10_20240430074708.pdf</v>
      </c>
      <c r="C3293" s="1" t="n">
        <v>6</v>
      </c>
      <c r="D3293" s="1" t="n">
        <v>1</v>
      </c>
      <c r="E3293" s="1" t="n">
        <v>1</v>
      </c>
      <c r="F3293" s="3" t="s">
        <v>20</v>
      </c>
      <c r="G3293" s="3" t="s">
        <v>13250</v>
      </c>
      <c r="H3293" s="1" t="s">
        <v>22</v>
      </c>
      <c r="I3293" s="1" t="n">
        <v>20240430074708</v>
      </c>
      <c r="J3293" s="3" t="s">
        <v>13251</v>
      </c>
      <c r="K3293" s="3" t="s">
        <v>13252</v>
      </c>
      <c r="L3293" s="3" t="s">
        <v>13253</v>
      </c>
      <c r="M3293" s="3" t="n">
        <v>910383</v>
      </c>
      <c r="N3293" s="3" t="s">
        <v>109</v>
      </c>
      <c r="O3293" s="1" t="n">
        <v>893997</v>
      </c>
      <c r="P3293" s="1" t="n">
        <v>98.2</v>
      </c>
      <c r="Q3293" s="1" t="s">
        <v>20</v>
      </c>
      <c r="R3293" s="1" t="s">
        <v>27</v>
      </c>
      <c r="S3293" s="1" t="s">
        <v>28</v>
      </c>
      <c r="T3293" s="1" t="s">
        <v>29</v>
      </c>
    </row>
    <row r="3294" customFormat="false" ht="18.7" hidden="false" customHeight="true" outlineLevel="0" collapsed="false">
      <c r="A3294" s="1" t="n">
        <v>3293</v>
      </c>
      <c r="B3294" s="6" t="str">
        <f aca="false">HYPERLINK("https://mncourtfraud.com/file/MCRO_27-CR-23-18846_Notice of Remote Hearing with Instructions_2023-10-31_20240430074706.pdf","MCRO_27-CR-23-18846_Notice of Remote Hearing with Instructions_2023-10-31_20240430074706.pdf")</f>
        <v>MCRO_27-CR-23-18846_Notice of Remote Hearing with Instructions_2023-10-31_20240430074706.pdf</v>
      </c>
      <c r="C3294" s="1" t="n">
        <v>5</v>
      </c>
      <c r="D3294" s="1" t="n">
        <v>1</v>
      </c>
      <c r="E3294" s="1" t="n">
        <v>1</v>
      </c>
      <c r="F3294" s="3" t="s">
        <v>20</v>
      </c>
      <c r="G3294" s="3" t="s">
        <v>13254</v>
      </c>
      <c r="H3294" s="1" t="s">
        <v>22</v>
      </c>
      <c r="I3294" s="1" t="n">
        <v>20240430074706</v>
      </c>
      <c r="J3294" s="3" t="s">
        <v>13255</v>
      </c>
      <c r="K3294" s="3" t="s">
        <v>13256</v>
      </c>
      <c r="L3294" s="3" t="s">
        <v>13257</v>
      </c>
      <c r="M3294" s="3" t="n">
        <v>854935</v>
      </c>
      <c r="N3294" s="3" t="s">
        <v>1248</v>
      </c>
      <c r="O3294" s="1" t="n">
        <v>838549</v>
      </c>
      <c r="P3294" s="1" t="n">
        <v>98.08</v>
      </c>
      <c r="Q3294" s="1" t="s">
        <v>20</v>
      </c>
      <c r="R3294" s="1" t="s">
        <v>27</v>
      </c>
      <c r="S3294" s="1" t="s">
        <v>28</v>
      </c>
      <c r="T3294" s="1" t="s">
        <v>29</v>
      </c>
    </row>
    <row r="3295" customFormat="false" ht="18.7" hidden="false" customHeight="true" outlineLevel="0" collapsed="false">
      <c r="A3295" s="1" t="n">
        <v>3294</v>
      </c>
      <c r="B3295" s="6" t="str">
        <f aca="false">HYPERLINK("https://mncourtfraud.com/file/MCRO_27-CR-23-18846_Notice of Remote Hearing with Instructions_2023-12-05_20240430074703.pdf","MCRO_27-CR-23-18846_Notice of Remote Hearing with Instructions_2023-12-05_20240430074703.pdf")</f>
        <v>MCRO_27-CR-23-18846_Notice of Remote Hearing with Instructions_2023-12-05_20240430074703.pdf</v>
      </c>
      <c r="C3295" s="1" t="n">
        <v>5</v>
      </c>
      <c r="D3295" s="1" t="n">
        <v>1</v>
      </c>
      <c r="E3295" s="1" t="n">
        <v>1</v>
      </c>
      <c r="F3295" s="3" t="s">
        <v>20</v>
      </c>
      <c r="G3295" s="3" t="s">
        <v>13258</v>
      </c>
      <c r="H3295" s="1" t="s">
        <v>22</v>
      </c>
      <c r="I3295" s="1" t="n">
        <v>20240430074703</v>
      </c>
      <c r="J3295" s="3" t="s">
        <v>13259</v>
      </c>
      <c r="K3295" s="3" t="s">
        <v>13260</v>
      </c>
      <c r="L3295" s="3" t="s">
        <v>13261</v>
      </c>
      <c r="M3295" s="3" t="n">
        <v>843411</v>
      </c>
      <c r="N3295" s="3" t="s">
        <v>510</v>
      </c>
      <c r="O3295" s="1" t="n">
        <v>827025</v>
      </c>
      <c r="P3295" s="1" t="n">
        <v>98.06</v>
      </c>
      <c r="Q3295" s="1" t="s">
        <v>20</v>
      </c>
      <c r="R3295" s="1" t="s">
        <v>27</v>
      </c>
      <c r="S3295" s="1" t="s">
        <v>28</v>
      </c>
      <c r="T3295" s="1" t="s">
        <v>29</v>
      </c>
    </row>
    <row r="3296" customFormat="false" ht="18.7" hidden="false" customHeight="true" outlineLevel="0" collapsed="false">
      <c r="A3296" s="1" t="n">
        <v>3295</v>
      </c>
      <c r="B3296" s="6" t="str">
        <f aca="false">HYPERLINK("https://mncourtfraud.com/file/MCRO_27-CR-23-18846_Order-Evaluation for Competency to Proceed (Rule 20.01)_2023-09-06_20240430074713.pdf","MCRO_27-CR-23-18846_Order-Evaluation for Competency to Proceed (Rule 20.01)_2023-09-06_20240430074713.pdf")</f>
        <v>MCRO_27-CR-23-18846_Order-Evaluation for Competency to Proceed (Rule 20.01)_2023-09-06_20240430074713.pdf</v>
      </c>
      <c r="C3296" s="1" t="n">
        <v>4</v>
      </c>
      <c r="D3296" s="1" t="n">
        <v>1</v>
      </c>
      <c r="E3296" s="1" t="n">
        <v>1</v>
      </c>
      <c r="F3296" s="3" t="s">
        <v>20</v>
      </c>
      <c r="G3296" s="3" t="s">
        <v>13262</v>
      </c>
      <c r="H3296" s="1" t="s">
        <v>22</v>
      </c>
      <c r="I3296" s="1" t="n">
        <v>20240430074713</v>
      </c>
      <c r="J3296" s="3" t="s">
        <v>13263</v>
      </c>
      <c r="K3296" s="3" t="s">
        <v>13264</v>
      </c>
      <c r="L3296" s="3" t="s">
        <v>13265</v>
      </c>
      <c r="M3296" s="3" t="n">
        <v>136908</v>
      </c>
      <c r="N3296" s="3" t="s">
        <v>1159</v>
      </c>
      <c r="O3296" s="1" t="n">
        <v>120522</v>
      </c>
      <c r="P3296" s="1" t="n">
        <v>88.03</v>
      </c>
      <c r="Q3296" s="1" t="s">
        <v>20</v>
      </c>
      <c r="R3296" s="1" t="s">
        <v>27</v>
      </c>
      <c r="S3296" s="1" t="s">
        <v>28</v>
      </c>
      <c r="T3296" s="1" t="s">
        <v>29</v>
      </c>
    </row>
    <row r="3297" customFormat="false" ht="18.7" hidden="false" customHeight="true" outlineLevel="0" collapsed="false">
      <c r="A3297" s="1" t="n">
        <v>3296</v>
      </c>
      <c r="B3297" s="6" t="str">
        <f aca="false">HYPERLINK("https://mncourtfraud.com/file/MCRO_27-CR-23-18846_Order-Evaluation for Competency to Proceed (Rule 20.01)_2024-02-23_20240430074701.pdf","MCRO_27-CR-23-18846_Order-Evaluation for Competency to Proceed (Rule 20.01)_2024-02-23_20240430074701.pdf")</f>
        <v>MCRO_27-CR-23-18846_Order-Evaluation for Competency to Proceed (Rule 20.01)_2024-02-23_20240430074701.pdf</v>
      </c>
      <c r="C3297" s="1" t="n">
        <v>5</v>
      </c>
      <c r="D3297" s="1" t="n">
        <v>1</v>
      </c>
      <c r="E3297" s="1" t="n">
        <v>1</v>
      </c>
      <c r="F3297" s="3" t="s">
        <v>20</v>
      </c>
      <c r="G3297" s="3" t="s">
        <v>13266</v>
      </c>
      <c r="H3297" s="1" t="s">
        <v>22</v>
      </c>
      <c r="I3297" s="1" t="n">
        <v>20240430074701</v>
      </c>
      <c r="J3297" s="3" t="s">
        <v>13267</v>
      </c>
      <c r="K3297" s="3" t="s">
        <v>13268</v>
      </c>
      <c r="L3297" s="3" t="s">
        <v>13269</v>
      </c>
      <c r="M3297" s="3" t="n">
        <v>761201</v>
      </c>
      <c r="N3297" s="3" t="s">
        <v>1091</v>
      </c>
      <c r="O3297" s="1" t="n">
        <v>744815</v>
      </c>
      <c r="P3297" s="1" t="n">
        <v>97.85</v>
      </c>
      <c r="Q3297" s="1" t="s">
        <v>20</v>
      </c>
      <c r="R3297" s="1" t="s">
        <v>27</v>
      </c>
      <c r="S3297" s="1" t="s">
        <v>28</v>
      </c>
      <c r="T3297" s="1" t="s">
        <v>29</v>
      </c>
    </row>
    <row r="3298" customFormat="false" ht="18.7" hidden="false" customHeight="true" outlineLevel="0" collapsed="false">
      <c r="A3298" s="1" t="n">
        <v>3297</v>
      </c>
      <c r="B3298" s="6" t="str">
        <f aca="false">HYPERLINK("https://mncourtfraud.com/file/MCRO_27-CR-23-18846_Order for Conditional Release_2023-09-06_20240430074712.pdf","MCRO_27-CR-23-18846_Order for Conditional Release_2023-09-06_20240430074712.pdf")</f>
        <v>MCRO_27-CR-23-18846_Order for Conditional Release_2023-09-06_20240430074712.pdf</v>
      </c>
      <c r="C3298" s="1" t="n">
        <v>4</v>
      </c>
      <c r="D3298" s="1" t="n">
        <v>1</v>
      </c>
      <c r="E3298" s="1" t="n">
        <v>1</v>
      </c>
      <c r="F3298" s="3" t="s">
        <v>20</v>
      </c>
      <c r="G3298" s="3" t="s">
        <v>13270</v>
      </c>
      <c r="H3298" s="1" t="s">
        <v>22</v>
      </c>
      <c r="I3298" s="1" t="n">
        <v>20240430074712</v>
      </c>
      <c r="J3298" s="3" t="s">
        <v>13271</v>
      </c>
      <c r="K3298" s="3" t="s">
        <v>13272</v>
      </c>
      <c r="L3298" s="3" t="s">
        <v>13273</v>
      </c>
      <c r="M3298" s="3" t="n">
        <v>111651</v>
      </c>
      <c r="N3298" s="3" t="s">
        <v>435</v>
      </c>
      <c r="O3298" s="1" t="n">
        <v>95265</v>
      </c>
      <c r="P3298" s="1" t="n">
        <v>85.32</v>
      </c>
      <c r="Q3298" s="1" t="s">
        <v>20</v>
      </c>
      <c r="R3298" s="1" t="s">
        <v>27</v>
      </c>
      <c r="S3298" s="1" t="s">
        <v>28</v>
      </c>
      <c r="T3298" s="1" t="s">
        <v>29</v>
      </c>
    </row>
    <row r="3299" customFormat="false" ht="18.7" hidden="false" customHeight="true" outlineLevel="0" collapsed="false">
      <c r="A3299" s="1" t="n">
        <v>3298</v>
      </c>
      <c r="B3299" s="6" t="str">
        <f aca="false">HYPERLINK("https://mncourtfraud.com/file/MCRO_27-CR-23-18846_Order for Conditional Release_2023-11-14_20240430074704.pdf","MCRO_27-CR-23-18846_Order for Conditional Release_2023-11-14_20240430074704.pdf")</f>
        <v>MCRO_27-CR-23-18846_Order for Conditional Release_2023-11-14_20240430074704.pdf</v>
      </c>
      <c r="C3299" s="1" t="n">
        <v>5</v>
      </c>
      <c r="D3299" s="1" t="n">
        <v>1</v>
      </c>
      <c r="E3299" s="1" t="n">
        <v>1</v>
      </c>
      <c r="F3299" s="3" t="s">
        <v>20</v>
      </c>
      <c r="G3299" s="3" t="s">
        <v>13274</v>
      </c>
      <c r="H3299" s="1" t="s">
        <v>22</v>
      </c>
      <c r="I3299" s="1" t="n">
        <v>20240430074704</v>
      </c>
      <c r="J3299" s="3" t="s">
        <v>13275</v>
      </c>
      <c r="K3299" s="3" t="s">
        <v>13276</v>
      </c>
      <c r="L3299" s="3" t="s">
        <v>13277</v>
      </c>
      <c r="M3299" s="3" t="n">
        <v>699353</v>
      </c>
      <c r="N3299" s="3" t="s">
        <v>922</v>
      </c>
      <c r="O3299" s="1" t="n">
        <v>682967</v>
      </c>
      <c r="P3299" s="1" t="n">
        <v>97.66</v>
      </c>
      <c r="Q3299" s="1" t="s">
        <v>20</v>
      </c>
      <c r="R3299" s="1" t="s">
        <v>27</v>
      </c>
      <c r="S3299" s="1" t="s">
        <v>28</v>
      </c>
      <c r="T3299" s="1" t="s">
        <v>29</v>
      </c>
    </row>
    <row r="3300" customFormat="false" ht="18.7" hidden="false" customHeight="true" outlineLevel="0" collapsed="false">
      <c r="A3300" s="1" t="n">
        <v>3299</v>
      </c>
      <c r="B3300" s="6" t="str">
        <f aca="false">HYPERLINK("https://mncourtfraud.com/file/MCRO_27-CR-23-18846_Other Document_2023-09-06_20240430074711.pdf","MCRO_27-CR-23-18846_Other Document_2023-09-06_20240430074711.pdf")</f>
        <v>MCRO_27-CR-23-18846_Other Document_2023-09-06_20240430074711.pdf</v>
      </c>
      <c r="C3300" s="1" t="n">
        <v>4</v>
      </c>
      <c r="D3300" s="1" t="n">
        <v>1</v>
      </c>
      <c r="E3300" s="1" t="n">
        <v>1</v>
      </c>
      <c r="F3300" s="3" t="s">
        <v>20</v>
      </c>
      <c r="G3300" s="3" t="s">
        <v>13278</v>
      </c>
      <c r="H3300" s="1" t="s">
        <v>22</v>
      </c>
      <c r="I3300" s="1" t="n">
        <v>20240430074711</v>
      </c>
      <c r="J3300" s="3" t="s">
        <v>13279</v>
      </c>
      <c r="K3300" s="3" t="s">
        <v>13280</v>
      </c>
      <c r="L3300" s="3" t="s">
        <v>13281</v>
      </c>
      <c r="M3300" s="3" t="n">
        <v>98802</v>
      </c>
      <c r="N3300" s="3" t="s">
        <v>435</v>
      </c>
      <c r="O3300" s="1" t="n">
        <v>82416</v>
      </c>
      <c r="P3300" s="1" t="n">
        <v>83.42</v>
      </c>
      <c r="Q3300" s="1" t="s">
        <v>20</v>
      </c>
      <c r="R3300" s="1" t="s">
        <v>27</v>
      </c>
      <c r="S3300" s="1" t="s">
        <v>28</v>
      </c>
      <c r="T3300" s="1" t="s">
        <v>29</v>
      </c>
    </row>
    <row r="3301" customFormat="false" ht="18.7" hidden="false" customHeight="true" outlineLevel="0" collapsed="false">
      <c r="A3301" s="1" t="n">
        <v>3300</v>
      </c>
      <c r="B3301" s="6" t="str">
        <f aca="false">HYPERLINK("https://mncourtfraud.com/file/MCRO_27-CR-23-18846_Returned Mail_2023-10-26_20240430074707.pdf","MCRO_27-CR-23-18846_Returned Mail_2023-10-26_20240430074707.pdf")</f>
        <v>MCRO_27-CR-23-18846_Returned Mail_2023-10-26_20240430074707.pdf</v>
      </c>
      <c r="C3301" s="1" t="n">
        <v>4</v>
      </c>
      <c r="D3301" s="1" t="n">
        <v>1</v>
      </c>
      <c r="E3301" s="1" t="n">
        <v>1</v>
      </c>
      <c r="F3301" s="3" t="s">
        <v>20</v>
      </c>
      <c r="G3301" s="3" t="s">
        <v>13282</v>
      </c>
      <c r="H3301" s="1" t="s">
        <v>22</v>
      </c>
      <c r="I3301" s="1" t="n">
        <v>20240430074707</v>
      </c>
      <c r="J3301" s="3" t="s">
        <v>13283</v>
      </c>
      <c r="K3301" s="3" t="s">
        <v>13284</v>
      </c>
      <c r="L3301" s="3" t="s">
        <v>13285</v>
      </c>
      <c r="M3301" s="3" t="n">
        <v>678640</v>
      </c>
      <c r="N3301" s="3" t="s">
        <v>1128</v>
      </c>
      <c r="O3301" s="1" t="n">
        <v>662254</v>
      </c>
      <c r="P3301" s="1" t="n">
        <v>97.59</v>
      </c>
      <c r="Q3301" s="1" t="s">
        <v>20</v>
      </c>
      <c r="R3301" s="1" t="s">
        <v>27</v>
      </c>
      <c r="S3301" s="1" t="s">
        <v>28</v>
      </c>
      <c r="T3301" s="1" t="s">
        <v>29</v>
      </c>
    </row>
    <row r="3302" customFormat="false" ht="18.7" hidden="false" customHeight="true" outlineLevel="0" collapsed="false">
      <c r="A3302" s="1" t="n">
        <v>3301</v>
      </c>
      <c r="B3302" s="6" t="str">
        <f aca="false">HYPERLINK("https://mncourtfraud.com/file/MCRO_27-CR-23-18846_Returned Mail_2023-11-09_20240430074704.pdf","MCRO_27-CR-23-18846_Returned Mail_2023-11-09_20240430074704.pdf")</f>
        <v>MCRO_27-CR-23-18846_Returned Mail_2023-11-09_20240430074704.pdf</v>
      </c>
      <c r="C3302" s="1" t="n">
        <v>4</v>
      </c>
      <c r="D3302" s="1" t="n">
        <v>1</v>
      </c>
      <c r="E3302" s="1" t="n">
        <v>1</v>
      </c>
      <c r="F3302" s="3" t="s">
        <v>20</v>
      </c>
      <c r="G3302" s="3" t="s">
        <v>13286</v>
      </c>
      <c r="H3302" s="1" t="s">
        <v>22</v>
      </c>
      <c r="I3302" s="1" t="n">
        <v>20240430074704</v>
      </c>
      <c r="J3302" s="3" t="s">
        <v>13287</v>
      </c>
      <c r="K3302" s="3" t="s">
        <v>13288</v>
      </c>
      <c r="L3302" s="3" t="s">
        <v>13289</v>
      </c>
      <c r="M3302" s="3" t="n">
        <v>98850</v>
      </c>
      <c r="N3302" s="3" t="s">
        <v>435</v>
      </c>
      <c r="O3302" s="1" t="n">
        <v>82464</v>
      </c>
      <c r="P3302" s="1" t="n">
        <v>83.42</v>
      </c>
      <c r="Q3302" s="1" t="s">
        <v>20</v>
      </c>
      <c r="R3302" s="1" t="s">
        <v>27</v>
      </c>
      <c r="S3302" s="1" t="s">
        <v>28</v>
      </c>
      <c r="T3302" s="1" t="s">
        <v>29</v>
      </c>
    </row>
    <row r="3303" customFormat="false" ht="18.7" hidden="false" customHeight="true" outlineLevel="0" collapsed="false">
      <c r="A3303" s="1" t="n">
        <v>3302</v>
      </c>
      <c r="B3303" s="6" t="str">
        <f aca="false">HYPERLINK("https://mncourtfraud.com/file/MCRO_27-CR-23-18850_Demand or Request for Discovery_2023-09-12_20240430074747.pdf","MCRO_27-CR-23-18850_Demand or Request for Discovery_2023-09-12_20240430074747.pdf")</f>
        <v>MCRO_27-CR-23-18850_Demand or Request for Discovery_2023-09-12_20240430074747.pdf</v>
      </c>
      <c r="C3303" s="1" t="n">
        <v>3</v>
      </c>
      <c r="D3303" s="1" t="n">
        <v>1</v>
      </c>
      <c r="E3303" s="1" t="n">
        <v>1</v>
      </c>
      <c r="F3303" s="3" t="s">
        <v>20</v>
      </c>
      <c r="G3303" s="3" t="s">
        <v>13290</v>
      </c>
      <c r="H3303" s="1" t="s">
        <v>22</v>
      </c>
      <c r="I3303" s="1" t="n">
        <v>20240430074747</v>
      </c>
      <c r="J3303" s="3" t="s">
        <v>13291</v>
      </c>
      <c r="K3303" s="3" t="s">
        <v>13292</v>
      </c>
      <c r="L3303" s="3" t="s">
        <v>13241</v>
      </c>
      <c r="M3303" s="3" t="n">
        <v>410624</v>
      </c>
      <c r="N3303" s="3" t="s">
        <v>5847</v>
      </c>
      <c r="O3303" s="1" t="n">
        <v>394238</v>
      </c>
      <c r="P3303" s="1" t="n">
        <v>96.01</v>
      </c>
      <c r="Q3303" s="1" t="s">
        <v>20</v>
      </c>
      <c r="R3303" s="1" t="s">
        <v>27</v>
      </c>
      <c r="S3303" s="1" t="s">
        <v>28</v>
      </c>
      <c r="T3303" s="1" t="s">
        <v>29</v>
      </c>
    </row>
    <row r="3304" customFormat="false" ht="18.7" hidden="false" customHeight="true" outlineLevel="0" collapsed="false">
      <c r="A3304" s="1" t="n">
        <v>3303</v>
      </c>
      <c r="B3304" s="6" t="str">
        <f aca="false">HYPERLINK("https://mncourtfraud.com/file/MCRO_27-CR-23-18850_E-filed Comp-Order for Detention_2023-09-05_20240430074751.pdf","MCRO_27-CR-23-18850_E-filed Comp-Order for Detention_2023-09-05_20240430074751.pdf")</f>
        <v>MCRO_27-CR-23-18850_E-filed Comp-Order for Detention_2023-09-05_20240430074751.pdf</v>
      </c>
      <c r="C3304" s="1" t="n">
        <v>5</v>
      </c>
      <c r="D3304" s="1" t="n">
        <v>2</v>
      </c>
      <c r="E3304" s="1" t="n">
        <v>2</v>
      </c>
      <c r="F3304" s="3" t="s">
        <v>20</v>
      </c>
      <c r="G3304" s="3" t="s">
        <v>13293</v>
      </c>
      <c r="H3304" s="1" t="s">
        <v>22</v>
      </c>
      <c r="I3304" s="1" t="n">
        <v>20240430074751</v>
      </c>
      <c r="J3304" s="3" t="s">
        <v>13294</v>
      </c>
      <c r="K3304" s="3" t="s">
        <v>13295</v>
      </c>
      <c r="L3304" s="3" t="s">
        <v>13296</v>
      </c>
      <c r="M3304" s="3" t="n">
        <v>445687</v>
      </c>
      <c r="N3304" s="3" t="s">
        <v>10721</v>
      </c>
      <c r="O3304" s="1" t="n">
        <v>429301</v>
      </c>
      <c r="P3304" s="1" t="n">
        <v>96.32</v>
      </c>
      <c r="Q3304" s="1" t="s">
        <v>20</v>
      </c>
      <c r="R3304" s="1" t="s">
        <v>27</v>
      </c>
      <c r="S3304" s="1" t="s">
        <v>28</v>
      </c>
      <c r="T3304" s="1" t="s">
        <v>29</v>
      </c>
    </row>
    <row r="3305" customFormat="false" ht="18.7" hidden="false" customHeight="true" outlineLevel="0" collapsed="false">
      <c r="A3305" s="1" t="n">
        <v>3304</v>
      </c>
      <c r="B3305" s="6" t="str">
        <f aca="false">HYPERLINK("https://mncourtfraud.com/file/MCRO_27-CR-23-18850_Finding of Incompetency and Order_2023-10-10_20240430074746.pdf","MCRO_27-CR-23-18850_Finding of Incompetency and Order_2023-10-10_20240430074746.pdf")</f>
        <v>MCRO_27-CR-23-18850_Finding of Incompetency and Order_2023-10-10_20240430074746.pdf</v>
      </c>
      <c r="C3305" s="1" t="n">
        <v>5</v>
      </c>
      <c r="D3305" s="1" t="n">
        <v>1</v>
      </c>
      <c r="E3305" s="1" t="n">
        <v>1</v>
      </c>
      <c r="F3305" s="3" t="s">
        <v>20</v>
      </c>
      <c r="G3305" s="3" t="s">
        <v>13297</v>
      </c>
      <c r="H3305" s="1" t="s">
        <v>22</v>
      </c>
      <c r="I3305" s="1" t="n">
        <v>20240430074746</v>
      </c>
      <c r="J3305" s="3" t="s">
        <v>13298</v>
      </c>
      <c r="K3305" s="3" t="s">
        <v>13299</v>
      </c>
      <c r="L3305" s="3" t="s">
        <v>13300</v>
      </c>
      <c r="M3305" s="3" t="n">
        <v>859021</v>
      </c>
      <c r="N3305" s="3" t="s">
        <v>1266</v>
      </c>
      <c r="O3305" s="1" t="n">
        <v>842635</v>
      </c>
      <c r="P3305" s="1" t="n">
        <v>98.09</v>
      </c>
      <c r="Q3305" s="1" t="s">
        <v>20</v>
      </c>
      <c r="R3305" s="1" t="s">
        <v>27</v>
      </c>
      <c r="S3305" s="1" t="s">
        <v>28</v>
      </c>
      <c r="T3305" s="1" t="s">
        <v>29</v>
      </c>
    </row>
    <row r="3306" customFormat="false" ht="18.7" hidden="false" customHeight="true" outlineLevel="0" collapsed="false">
      <c r="A3306" s="1" t="n">
        <v>3305</v>
      </c>
      <c r="B3306" s="6" t="str">
        <f aca="false">HYPERLINK("https://mncourtfraud.com/file/MCRO_27-CR-23-18850_Notice of Remote Hearing with Instructions_2023-10-10_20240430074745.pdf","MCRO_27-CR-23-18850_Notice of Remote Hearing with Instructions_2023-10-10_20240430074745.pdf")</f>
        <v>MCRO_27-CR-23-18850_Notice of Remote Hearing with Instructions_2023-10-10_20240430074745.pdf</v>
      </c>
      <c r="C3306" s="1" t="n">
        <v>6</v>
      </c>
      <c r="D3306" s="1" t="n">
        <v>1</v>
      </c>
      <c r="E3306" s="1" t="n">
        <v>1</v>
      </c>
      <c r="F3306" s="3" t="s">
        <v>20</v>
      </c>
      <c r="G3306" s="3" t="s">
        <v>13301</v>
      </c>
      <c r="H3306" s="1" t="s">
        <v>22</v>
      </c>
      <c r="I3306" s="1" t="n">
        <v>20240430074745</v>
      </c>
      <c r="J3306" s="3" t="s">
        <v>13302</v>
      </c>
      <c r="K3306" s="3" t="s">
        <v>13303</v>
      </c>
      <c r="L3306" s="3" t="s">
        <v>13304</v>
      </c>
      <c r="M3306" s="3" t="n">
        <v>910386</v>
      </c>
      <c r="N3306" s="3" t="s">
        <v>109</v>
      </c>
      <c r="O3306" s="1" t="n">
        <v>894000</v>
      </c>
      <c r="P3306" s="1" t="n">
        <v>98.2</v>
      </c>
      <c r="Q3306" s="1" t="s">
        <v>20</v>
      </c>
      <c r="R3306" s="1" t="s">
        <v>27</v>
      </c>
      <c r="S3306" s="1" t="s">
        <v>28</v>
      </c>
      <c r="T3306" s="1" t="s">
        <v>29</v>
      </c>
    </row>
    <row r="3307" customFormat="false" ht="18.7" hidden="false" customHeight="true" outlineLevel="0" collapsed="false">
      <c r="A3307" s="1" t="n">
        <v>3306</v>
      </c>
      <c r="B3307" s="6" t="str">
        <f aca="false">HYPERLINK("https://mncourtfraud.com/file/MCRO_27-CR-23-18850_Notice of Remote Hearing with Instructions_2023-10-31_20240430074743.pdf","MCRO_27-CR-23-18850_Notice of Remote Hearing with Instructions_2023-10-31_20240430074743.pdf")</f>
        <v>MCRO_27-CR-23-18850_Notice of Remote Hearing with Instructions_2023-10-31_20240430074743.pdf</v>
      </c>
      <c r="C3307" s="1" t="n">
        <v>5</v>
      </c>
      <c r="D3307" s="1" t="n">
        <v>1</v>
      </c>
      <c r="E3307" s="1" t="n">
        <v>1</v>
      </c>
      <c r="F3307" s="3" t="s">
        <v>20</v>
      </c>
      <c r="G3307" s="3" t="s">
        <v>13305</v>
      </c>
      <c r="H3307" s="1" t="s">
        <v>22</v>
      </c>
      <c r="I3307" s="1" t="n">
        <v>20240430074743</v>
      </c>
      <c r="J3307" s="3" t="s">
        <v>13306</v>
      </c>
      <c r="K3307" s="3" t="s">
        <v>13307</v>
      </c>
      <c r="L3307" s="3" t="s">
        <v>13257</v>
      </c>
      <c r="M3307" s="3" t="n">
        <v>854935</v>
      </c>
      <c r="N3307" s="3" t="s">
        <v>1248</v>
      </c>
      <c r="O3307" s="1" t="n">
        <v>838549</v>
      </c>
      <c r="P3307" s="1" t="n">
        <v>98.08</v>
      </c>
      <c r="Q3307" s="1" t="s">
        <v>20</v>
      </c>
      <c r="R3307" s="1" t="s">
        <v>27</v>
      </c>
      <c r="S3307" s="1" t="s">
        <v>28</v>
      </c>
      <c r="T3307" s="1" t="s">
        <v>29</v>
      </c>
    </row>
    <row r="3308" customFormat="false" ht="18.7" hidden="false" customHeight="true" outlineLevel="0" collapsed="false">
      <c r="A3308" s="1" t="n">
        <v>3307</v>
      </c>
      <c r="B3308" s="6" t="str">
        <f aca="false">HYPERLINK("https://mncourtfraud.com/file/MCRO_27-CR-23-18850_Notice of Remote Hearing with Instructions_2023-12-05_20240430074740.pdf","MCRO_27-CR-23-18850_Notice of Remote Hearing with Instructions_2023-12-05_20240430074740.pdf")</f>
        <v>MCRO_27-CR-23-18850_Notice of Remote Hearing with Instructions_2023-12-05_20240430074740.pdf</v>
      </c>
      <c r="C3308" s="1" t="n">
        <v>5</v>
      </c>
      <c r="D3308" s="1" t="n">
        <v>1</v>
      </c>
      <c r="E3308" s="1" t="n">
        <v>1</v>
      </c>
      <c r="F3308" s="3" t="s">
        <v>20</v>
      </c>
      <c r="G3308" s="3" t="s">
        <v>13308</v>
      </c>
      <c r="H3308" s="1" t="s">
        <v>22</v>
      </c>
      <c r="I3308" s="1" t="n">
        <v>20240430074740</v>
      </c>
      <c r="J3308" s="3" t="s">
        <v>13309</v>
      </c>
      <c r="K3308" s="3" t="s">
        <v>13310</v>
      </c>
      <c r="L3308" s="3" t="s">
        <v>13311</v>
      </c>
      <c r="M3308" s="3" t="n">
        <v>843411</v>
      </c>
      <c r="N3308" s="3" t="s">
        <v>510</v>
      </c>
      <c r="O3308" s="1" t="n">
        <v>827025</v>
      </c>
      <c r="P3308" s="1" t="n">
        <v>98.06</v>
      </c>
      <c r="Q3308" s="1" t="s">
        <v>20</v>
      </c>
      <c r="R3308" s="1" t="s">
        <v>27</v>
      </c>
      <c r="S3308" s="1" t="s">
        <v>28</v>
      </c>
      <c r="T3308" s="1" t="s">
        <v>29</v>
      </c>
    </row>
    <row r="3309" customFormat="false" ht="18.7" hidden="false" customHeight="true" outlineLevel="0" collapsed="false">
      <c r="A3309" s="1" t="n">
        <v>3308</v>
      </c>
      <c r="B3309" s="6" t="str">
        <f aca="false">HYPERLINK("https://mncourtfraud.com/file/MCRO_27-CR-23-18850_Order-Evaluation for Competency to Proceed (Rule 20.01)_2023-09-06_20240430074748.pdf","MCRO_27-CR-23-18850_Order-Evaluation for Competency to Proceed (Rule 20.01)_2023-09-06_20240430074748.pdf")</f>
        <v>MCRO_27-CR-23-18850_Order-Evaluation for Competency to Proceed (Rule 20.01)_2023-09-06_20240430074748.pdf</v>
      </c>
      <c r="C3309" s="1" t="n">
        <v>4</v>
      </c>
      <c r="D3309" s="1" t="n">
        <v>1</v>
      </c>
      <c r="E3309" s="1" t="n">
        <v>1</v>
      </c>
      <c r="F3309" s="3" t="s">
        <v>20</v>
      </c>
      <c r="G3309" s="3" t="s">
        <v>13312</v>
      </c>
      <c r="H3309" s="1" t="s">
        <v>22</v>
      </c>
      <c r="I3309" s="1" t="n">
        <v>20240430074748</v>
      </c>
      <c r="J3309" s="3" t="s">
        <v>13313</v>
      </c>
      <c r="K3309" s="3" t="s">
        <v>13314</v>
      </c>
      <c r="L3309" s="3" t="s">
        <v>13315</v>
      </c>
      <c r="M3309" s="3" t="n">
        <v>137876</v>
      </c>
      <c r="N3309" s="3" t="s">
        <v>1159</v>
      </c>
      <c r="O3309" s="1" t="n">
        <v>121490</v>
      </c>
      <c r="P3309" s="1" t="n">
        <v>88.12</v>
      </c>
      <c r="Q3309" s="1" t="s">
        <v>20</v>
      </c>
      <c r="R3309" s="1" t="s">
        <v>27</v>
      </c>
      <c r="S3309" s="1" t="s">
        <v>28</v>
      </c>
      <c r="T3309" s="1" t="s">
        <v>29</v>
      </c>
    </row>
    <row r="3310" customFormat="false" ht="18.7" hidden="false" customHeight="true" outlineLevel="0" collapsed="false">
      <c r="A3310" s="1" t="n">
        <v>3309</v>
      </c>
      <c r="B3310" s="6" t="str">
        <f aca="false">HYPERLINK("https://mncourtfraud.com/file/MCRO_27-CR-23-18850_Order-Evaluation for Competency to Proceed (Rule 20.01)_2024-02-23_20240430074739.pdf","MCRO_27-CR-23-18850_Order-Evaluation for Competency to Proceed (Rule 20.01)_2024-02-23_20240430074739.pdf")</f>
        <v>MCRO_27-CR-23-18850_Order-Evaluation for Competency to Proceed (Rule 20.01)_2024-02-23_20240430074739.pdf</v>
      </c>
      <c r="C3310" s="1" t="n">
        <v>5</v>
      </c>
      <c r="D3310" s="1" t="n">
        <v>1</v>
      </c>
      <c r="E3310" s="1" t="n">
        <v>1</v>
      </c>
      <c r="F3310" s="3" t="s">
        <v>20</v>
      </c>
      <c r="G3310" s="3" t="s">
        <v>13316</v>
      </c>
      <c r="H3310" s="1" t="s">
        <v>22</v>
      </c>
      <c r="I3310" s="1" t="n">
        <v>20240430074739</v>
      </c>
      <c r="J3310" s="3" t="s">
        <v>13317</v>
      </c>
      <c r="K3310" s="3" t="s">
        <v>13318</v>
      </c>
      <c r="L3310" s="3" t="s">
        <v>13319</v>
      </c>
      <c r="M3310" s="3" t="n">
        <v>761200</v>
      </c>
      <c r="N3310" s="3" t="s">
        <v>1091</v>
      </c>
      <c r="O3310" s="1" t="n">
        <v>744814</v>
      </c>
      <c r="P3310" s="1" t="n">
        <v>97.85</v>
      </c>
      <c r="Q3310" s="1" t="s">
        <v>20</v>
      </c>
      <c r="R3310" s="1" t="s">
        <v>27</v>
      </c>
      <c r="S3310" s="1" t="s">
        <v>28</v>
      </c>
      <c r="T3310" s="1" t="s">
        <v>29</v>
      </c>
    </row>
    <row r="3311" customFormat="false" ht="18.7" hidden="false" customHeight="true" outlineLevel="0" collapsed="false">
      <c r="A3311" s="1" t="n">
        <v>3310</v>
      </c>
      <c r="B3311" s="6" t="str">
        <f aca="false">HYPERLINK("https://mncourtfraud.com/file/MCRO_27-CR-23-18850_Order for Conditional Release_2023-09-06_20240430074750.pdf","MCRO_27-CR-23-18850_Order for Conditional Release_2023-09-06_20240430074750.pdf")</f>
        <v>MCRO_27-CR-23-18850_Order for Conditional Release_2023-09-06_20240430074750.pdf</v>
      </c>
      <c r="C3311" s="1" t="n">
        <v>4</v>
      </c>
      <c r="D3311" s="1" t="n">
        <v>1</v>
      </c>
      <c r="E3311" s="1" t="n">
        <v>1</v>
      </c>
      <c r="F3311" s="3" t="s">
        <v>20</v>
      </c>
      <c r="G3311" s="3" t="s">
        <v>13320</v>
      </c>
      <c r="H3311" s="1" t="s">
        <v>22</v>
      </c>
      <c r="I3311" s="1" t="n">
        <v>20240430074750</v>
      </c>
      <c r="J3311" s="3" t="s">
        <v>13321</v>
      </c>
      <c r="K3311" s="3" t="s">
        <v>13322</v>
      </c>
      <c r="L3311" s="3" t="s">
        <v>13323</v>
      </c>
      <c r="M3311" s="3" t="n">
        <v>110676</v>
      </c>
      <c r="N3311" s="3" t="s">
        <v>435</v>
      </c>
      <c r="O3311" s="1" t="n">
        <v>94290</v>
      </c>
      <c r="P3311" s="1" t="n">
        <v>85.19</v>
      </c>
      <c r="Q3311" s="1" t="s">
        <v>20</v>
      </c>
      <c r="R3311" s="1" t="s">
        <v>27</v>
      </c>
      <c r="S3311" s="1" t="s">
        <v>28</v>
      </c>
      <c r="T3311" s="1" t="s">
        <v>29</v>
      </c>
    </row>
    <row r="3312" customFormat="false" ht="18.7" hidden="false" customHeight="true" outlineLevel="0" collapsed="false">
      <c r="A3312" s="1" t="n">
        <v>3311</v>
      </c>
      <c r="B3312" s="6" t="str">
        <f aca="false">HYPERLINK("https://mncourtfraud.com/file/MCRO_27-CR-23-18850_Order for Conditional Release_2023-11-14_20240430074741.pdf","MCRO_27-CR-23-18850_Order for Conditional Release_2023-11-14_20240430074741.pdf")</f>
        <v>MCRO_27-CR-23-18850_Order for Conditional Release_2023-11-14_20240430074741.pdf</v>
      </c>
      <c r="C3312" s="1" t="n">
        <v>5</v>
      </c>
      <c r="D3312" s="1" t="n">
        <v>1</v>
      </c>
      <c r="E3312" s="1" t="n">
        <v>1</v>
      </c>
      <c r="F3312" s="3" t="s">
        <v>20</v>
      </c>
      <c r="G3312" s="3" t="s">
        <v>13324</v>
      </c>
      <c r="H3312" s="1" t="s">
        <v>22</v>
      </c>
      <c r="I3312" s="1" t="n">
        <v>20240430074741</v>
      </c>
      <c r="J3312" s="3" t="s">
        <v>13325</v>
      </c>
      <c r="K3312" s="3" t="s">
        <v>13326</v>
      </c>
      <c r="L3312" s="3" t="s">
        <v>13327</v>
      </c>
      <c r="M3312" s="3" t="n">
        <v>699353</v>
      </c>
      <c r="N3312" s="3" t="s">
        <v>922</v>
      </c>
      <c r="O3312" s="1" t="n">
        <v>682967</v>
      </c>
      <c r="P3312" s="1" t="n">
        <v>97.66</v>
      </c>
      <c r="Q3312" s="1" t="s">
        <v>20</v>
      </c>
      <c r="R3312" s="1" t="s">
        <v>27</v>
      </c>
      <c r="S3312" s="1" t="s">
        <v>28</v>
      </c>
      <c r="T3312" s="1" t="s">
        <v>29</v>
      </c>
    </row>
    <row r="3313" customFormat="false" ht="18.7" hidden="false" customHeight="true" outlineLevel="0" collapsed="false">
      <c r="A3313" s="1" t="n">
        <v>3312</v>
      </c>
      <c r="B3313" s="6" t="str">
        <f aca="false">HYPERLINK("https://mncourtfraud.com/file/MCRO_27-CR-23-18850_Other Document_2023-09-06_20240430074749.pdf","MCRO_27-CR-23-18850_Other Document_2023-09-06_20240430074749.pdf")</f>
        <v>MCRO_27-CR-23-18850_Other Document_2023-09-06_20240430074749.pdf</v>
      </c>
      <c r="C3313" s="1" t="n">
        <v>4</v>
      </c>
      <c r="D3313" s="1" t="n">
        <v>1</v>
      </c>
      <c r="E3313" s="1" t="n">
        <v>1</v>
      </c>
      <c r="F3313" s="3" t="s">
        <v>20</v>
      </c>
      <c r="G3313" s="3" t="s">
        <v>13328</v>
      </c>
      <c r="H3313" s="1" t="s">
        <v>22</v>
      </c>
      <c r="I3313" s="1" t="n">
        <v>20240430074749</v>
      </c>
      <c r="J3313" s="3" t="s">
        <v>13329</v>
      </c>
      <c r="K3313" s="3" t="s">
        <v>13330</v>
      </c>
      <c r="L3313" s="3" t="s">
        <v>13331</v>
      </c>
      <c r="M3313" s="3" t="n">
        <v>99797</v>
      </c>
      <c r="N3313" s="3" t="s">
        <v>435</v>
      </c>
      <c r="O3313" s="1" t="n">
        <v>83411</v>
      </c>
      <c r="P3313" s="1" t="n">
        <v>83.58</v>
      </c>
      <c r="Q3313" s="1" t="s">
        <v>20</v>
      </c>
      <c r="R3313" s="1" t="s">
        <v>27</v>
      </c>
      <c r="S3313" s="1" t="s">
        <v>28</v>
      </c>
      <c r="T3313" s="1" t="s">
        <v>29</v>
      </c>
    </row>
    <row r="3314" customFormat="false" ht="18.7" hidden="false" customHeight="true" outlineLevel="0" collapsed="false">
      <c r="A3314" s="1" t="n">
        <v>3313</v>
      </c>
      <c r="B3314" s="6" t="str">
        <f aca="false">HYPERLINK("https://mncourtfraud.com/file/MCRO_27-CR-23-18850_Returned Mail_2023-10-26_20240430074744.pdf","MCRO_27-CR-23-18850_Returned Mail_2023-10-26_20240430074744.pdf")</f>
        <v>MCRO_27-CR-23-18850_Returned Mail_2023-10-26_20240430074744.pdf</v>
      </c>
      <c r="C3314" s="1" t="n">
        <v>4</v>
      </c>
      <c r="D3314" s="1" t="n">
        <v>1</v>
      </c>
      <c r="E3314" s="1" t="n">
        <v>1</v>
      </c>
      <c r="F3314" s="3" t="s">
        <v>20</v>
      </c>
      <c r="G3314" s="3" t="s">
        <v>13332</v>
      </c>
      <c r="H3314" s="1" t="s">
        <v>22</v>
      </c>
      <c r="I3314" s="1" t="n">
        <v>20240430074744</v>
      </c>
      <c r="J3314" s="3" t="s">
        <v>13333</v>
      </c>
      <c r="K3314" s="3" t="s">
        <v>13334</v>
      </c>
      <c r="L3314" s="3" t="s">
        <v>13335</v>
      </c>
      <c r="M3314" s="3" t="n">
        <v>671209</v>
      </c>
      <c r="N3314" s="3" t="s">
        <v>1128</v>
      </c>
      <c r="O3314" s="1" t="n">
        <v>654823</v>
      </c>
      <c r="P3314" s="1" t="n">
        <v>97.56</v>
      </c>
      <c r="Q3314" s="1" t="s">
        <v>20</v>
      </c>
      <c r="R3314" s="1" t="s">
        <v>27</v>
      </c>
      <c r="S3314" s="1" t="s">
        <v>28</v>
      </c>
      <c r="T3314" s="1" t="s">
        <v>29</v>
      </c>
    </row>
    <row r="3315" customFormat="false" ht="18.7" hidden="false" customHeight="true" outlineLevel="0" collapsed="false">
      <c r="A3315" s="1" t="n">
        <v>3314</v>
      </c>
      <c r="B3315" s="6" t="str">
        <f aca="false">HYPERLINK("https://mncourtfraud.com/file/MCRO_27-CR-23-18850_Returned Mail_2023-11-09_20240430074742.pdf","MCRO_27-CR-23-18850_Returned Mail_2023-11-09_20240430074742.pdf")</f>
        <v>MCRO_27-CR-23-18850_Returned Mail_2023-11-09_20240430074742.pdf</v>
      </c>
      <c r="C3315" s="1" t="n">
        <v>4</v>
      </c>
      <c r="D3315" s="1" t="n">
        <v>1</v>
      </c>
      <c r="E3315" s="1" t="n">
        <v>1</v>
      </c>
      <c r="F3315" s="3" t="s">
        <v>20</v>
      </c>
      <c r="G3315" s="3" t="s">
        <v>13336</v>
      </c>
      <c r="H3315" s="1" t="s">
        <v>22</v>
      </c>
      <c r="I3315" s="1" t="n">
        <v>20240430074742</v>
      </c>
      <c r="J3315" s="3" t="s">
        <v>13337</v>
      </c>
      <c r="K3315" s="3" t="s">
        <v>13338</v>
      </c>
      <c r="L3315" s="3" t="s">
        <v>13339</v>
      </c>
      <c r="M3315" s="3" t="n">
        <v>99487</v>
      </c>
      <c r="N3315" s="3" t="s">
        <v>435</v>
      </c>
      <c r="O3315" s="1" t="n">
        <v>83101</v>
      </c>
      <c r="P3315" s="1" t="n">
        <v>83.53</v>
      </c>
      <c r="Q3315" s="1" t="s">
        <v>20</v>
      </c>
      <c r="R3315" s="1" t="s">
        <v>27</v>
      </c>
      <c r="S3315" s="1" t="s">
        <v>28</v>
      </c>
      <c r="T3315" s="1" t="s">
        <v>29</v>
      </c>
    </row>
    <row r="3316" customFormat="false" ht="18.7" hidden="false" customHeight="true" outlineLevel="0" collapsed="false">
      <c r="A3316" s="1" t="n">
        <v>3315</v>
      </c>
      <c r="B3316" s="6" t="str">
        <f aca="false">HYPERLINK("https://mncourtfraud.com/file/MCRO_27-CR-23-1886_Affidavit-Other_2024-04-09_20240430072354.pdf","MCRO_27-CR-23-1886_Affidavit-Other_2024-04-09_20240430072354.pdf")</f>
        <v>MCRO_27-CR-23-1886_Affidavit-Other_2024-04-09_20240430072354.pdf</v>
      </c>
      <c r="C3316" s="1" t="n">
        <v>4</v>
      </c>
      <c r="D3316" s="1" t="n">
        <v>1</v>
      </c>
      <c r="E3316" s="1" t="n">
        <v>1</v>
      </c>
      <c r="F3316" s="3" t="s">
        <v>20</v>
      </c>
      <c r="G3316" s="3" t="s">
        <v>13340</v>
      </c>
      <c r="H3316" s="1" t="s">
        <v>22</v>
      </c>
      <c r="I3316" s="1" t="n">
        <v>20240430072354</v>
      </c>
      <c r="J3316" s="3" t="s">
        <v>13341</v>
      </c>
      <c r="K3316" s="3" t="s">
        <v>13342</v>
      </c>
      <c r="L3316" s="3" t="s">
        <v>13343</v>
      </c>
      <c r="M3316" s="3" t="n">
        <v>21550353</v>
      </c>
      <c r="N3316" s="3" t="s">
        <v>13344</v>
      </c>
      <c r="O3316" s="1" t="n">
        <v>21533967</v>
      </c>
      <c r="P3316" s="1" t="n">
        <v>99.92</v>
      </c>
      <c r="Q3316" s="1" t="s">
        <v>20</v>
      </c>
      <c r="R3316" s="1" t="s">
        <v>27</v>
      </c>
      <c r="S3316" s="1" t="s">
        <v>28</v>
      </c>
      <c r="T3316" s="1" t="s">
        <v>29</v>
      </c>
    </row>
    <row r="3317" customFormat="false" ht="18.7" hidden="false" customHeight="true" outlineLevel="0" collapsed="false">
      <c r="A3317" s="1" t="n">
        <v>3316</v>
      </c>
      <c r="B3317" s="6" t="str">
        <f aca="false">HYPERLINK("https://mncourtfraud.com/file/MCRO_27-CR-23-1886_Certificate of Representation_2023-02-20_20240430072401.pdf","MCRO_27-CR-23-1886_Certificate of Representation_2023-02-20_20240430072401.pdf")</f>
        <v>MCRO_27-CR-23-1886_Certificate of Representation_2023-02-20_20240430072401.pdf</v>
      </c>
      <c r="C3317" s="1" t="n">
        <v>3</v>
      </c>
      <c r="D3317" s="1" t="n">
        <v>1</v>
      </c>
      <c r="E3317" s="1" t="n">
        <v>1</v>
      </c>
      <c r="F3317" s="3" t="s">
        <v>20</v>
      </c>
      <c r="G3317" s="3" t="s">
        <v>13345</v>
      </c>
      <c r="H3317" s="1" t="s">
        <v>22</v>
      </c>
      <c r="I3317" s="1" t="n">
        <v>20240430072401</v>
      </c>
      <c r="J3317" s="3" t="s">
        <v>13346</v>
      </c>
      <c r="K3317" s="3" t="s">
        <v>13347</v>
      </c>
      <c r="L3317" s="3" t="s">
        <v>13348</v>
      </c>
      <c r="M3317" s="3" t="n">
        <v>96610</v>
      </c>
      <c r="N3317" s="3" t="s">
        <v>777</v>
      </c>
      <c r="O3317" s="1" t="n">
        <v>80224</v>
      </c>
      <c r="P3317" s="1" t="n">
        <v>83.04</v>
      </c>
      <c r="Q3317" s="1" t="s">
        <v>20</v>
      </c>
      <c r="R3317" s="1" t="s">
        <v>27</v>
      </c>
      <c r="S3317" s="1" t="s">
        <v>28</v>
      </c>
      <c r="T3317" s="1" t="s">
        <v>29</v>
      </c>
    </row>
    <row r="3318" customFormat="false" ht="18.7" hidden="false" customHeight="true" outlineLevel="0" collapsed="false">
      <c r="A3318" s="1" t="n">
        <v>3317</v>
      </c>
      <c r="B3318" s="6" t="str">
        <f aca="false">HYPERLINK("https://mncourtfraud.com/file/MCRO_27-CR-23-1886_Correspondence_2024-04-12_20240430072343.pdf","MCRO_27-CR-23-1886_Correspondence_2024-04-12_20240430072343.pdf")</f>
        <v>MCRO_27-CR-23-1886_Correspondence_2024-04-12_20240430072343.pdf</v>
      </c>
      <c r="C3318" s="1" t="n">
        <v>3</v>
      </c>
      <c r="D3318" s="1" t="n">
        <v>1</v>
      </c>
      <c r="E3318" s="1" t="n">
        <v>1</v>
      </c>
      <c r="F3318" s="3" t="s">
        <v>20</v>
      </c>
      <c r="G3318" s="3" t="s">
        <v>13349</v>
      </c>
      <c r="H3318" s="1" t="s">
        <v>22</v>
      </c>
      <c r="I3318" s="1" t="n">
        <v>20240430072343</v>
      </c>
      <c r="J3318" s="3" t="s">
        <v>13350</v>
      </c>
      <c r="K3318" s="3" t="s">
        <v>13351</v>
      </c>
      <c r="L3318" s="3" t="s">
        <v>13352</v>
      </c>
      <c r="M3318" s="3" t="n">
        <v>82678</v>
      </c>
      <c r="N3318" s="3" t="s">
        <v>741</v>
      </c>
      <c r="O3318" s="1" t="n">
        <v>66292</v>
      </c>
      <c r="P3318" s="1" t="n">
        <v>80.18</v>
      </c>
      <c r="Q3318" s="1" t="s">
        <v>20</v>
      </c>
      <c r="R3318" s="1" t="s">
        <v>27</v>
      </c>
      <c r="S3318" s="1" t="s">
        <v>28</v>
      </c>
      <c r="T3318" s="1" t="s">
        <v>29</v>
      </c>
    </row>
    <row r="3319" customFormat="false" ht="18.7" hidden="false" customHeight="true" outlineLevel="0" collapsed="false">
      <c r="A3319" s="1" t="n">
        <v>3318</v>
      </c>
      <c r="B3319" s="6" t="str">
        <f aca="false">HYPERLINK("https://mncourtfraud.com/file/MCRO_27-CR-23-1886_Correspondence_2024-04-12_20240430072346.pdf","MCRO_27-CR-23-1886_Correspondence_2024-04-12_20240430072346.pdf")</f>
        <v>MCRO_27-CR-23-1886_Correspondence_2024-04-12_20240430072346.pdf</v>
      </c>
      <c r="C3319" s="1" t="n">
        <v>4</v>
      </c>
      <c r="D3319" s="1" t="n">
        <v>1</v>
      </c>
      <c r="E3319" s="1" t="n">
        <v>1</v>
      </c>
      <c r="F3319" s="3" t="s">
        <v>20</v>
      </c>
      <c r="G3319" s="3" t="s">
        <v>13353</v>
      </c>
      <c r="H3319" s="1" t="s">
        <v>22</v>
      </c>
      <c r="I3319" s="1" t="n">
        <v>20240430072346</v>
      </c>
      <c r="J3319" s="3" t="s">
        <v>13354</v>
      </c>
      <c r="K3319" s="3" t="s">
        <v>13355</v>
      </c>
      <c r="L3319" s="3" t="s">
        <v>13356</v>
      </c>
      <c r="M3319" s="3" t="n">
        <v>297235</v>
      </c>
      <c r="N3319" s="3" t="s">
        <v>11227</v>
      </c>
      <c r="O3319" s="1" t="n">
        <v>280849</v>
      </c>
      <c r="P3319" s="1" t="n">
        <v>94.49</v>
      </c>
      <c r="Q3319" s="1" t="s">
        <v>20</v>
      </c>
      <c r="R3319" s="1" t="s">
        <v>27</v>
      </c>
      <c r="S3319" s="1" t="s">
        <v>28</v>
      </c>
      <c r="T3319" s="1" t="s">
        <v>29</v>
      </c>
    </row>
    <row r="3320" customFormat="false" ht="18.7" hidden="false" customHeight="true" outlineLevel="0" collapsed="false">
      <c r="A3320" s="1" t="n">
        <v>3319</v>
      </c>
      <c r="B3320" s="6" t="str">
        <f aca="false">HYPERLINK("https://mncourtfraud.com/file/MCRO_27-CR-23-1886_Demand or Request for Discovery_2023-02-20_20240430072400.pdf","MCRO_27-CR-23-1886_Demand or Request for Discovery_2023-02-20_20240430072400.pdf")</f>
        <v>MCRO_27-CR-23-1886_Demand or Request for Discovery_2023-02-20_20240430072400.pdf</v>
      </c>
      <c r="C3320" s="1" t="n">
        <v>3</v>
      </c>
      <c r="D3320" s="1" t="n">
        <v>1</v>
      </c>
      <c r="E3320" s="1" t="n">
        <v>1</v>
      </c>
      <c r="F3320" s="3" t="s">
        <v>20</v>
      </c>
      <c r="G3320" s="3" t="s">
        <v>13357</v>
      </c>
      <c r="H3320" s="1" t="s">
        <v>22</v>
      </c>
      <c r="I3320" s="1" t="n">
        <v>20240430072400</v>
      </c>
      <c r="J3320" s="3" t="s">
        <v>13358</v>
      </c>
      <c r="K3320" s="3" t="s">
        <v>13359</v>
      </c>
      <c r="L3320" s="3" t="s">
        <v>13360</v>
      </c>
      <c r="M3320" s="3" t="n">
        <v>117875</v>
      </c>
      <c r="N3320" s="3" t="s">
        <v>10971</v>
      </c>
      <c r="O3320" s="1" t="n">
        <v>101489</v>
      </c>
      <c r="P3320" s="1" t="n">
        <v>86.1</v>
      </c>
      <c r="Q3320" s="1" t="s">
        <v>20</v>
      </c>
      <c r="R3320" s="1" t="s">
        <v>27</v>
      </c>
      <c r="S3320" s="1" t="s">
        <v>28</v>
      </c>
      <c r="T3320" s="1" t="s">
        <v>29</v>
      </c>
    </row>
    <row r="3321" customFormat="false" ht="18.7" hidden="false" customHeight="true" outlineLevel="0" collapsed="false">
      <c r="A3321" s="1" t="n">
        <v>3320</v>
      </c>
      <c r="B3321" s="6" t="str">
        <f aca="false">HYPERLINK("https://mncourtfraud.com/file/MCRO_27-CR-23-1886_Demand or Request for Discovery_2024-01-05_20240430072353.pdf","MCRO_27-CR-23-1886_Demand or Request for Discovery_2024-01-05_20240430072353.pdf")</f>
        <v>MCRO_27-CR-23-1886_Demand or Request for Discovery_2024-01-05_20240430072353.pdf</v>
      </c>
      <c r="C3321" s="1" t="n">
        <v>3</v>
      </c>
      <c r="D3321" s="1" t="n">
        <v>1</v>
      </c>
      <c r="E3321" s="1" t="n">
        <v>1</v>
      </c>
      <c r="F3321" s="3" t="s">
        <v>20</v>
      </c>
      <c r="G3321" s="3" t="s">
        <v>13361</v>
      </c>
      <c r="H3321" s="1" t="s">
        <v>22</v>
      </c>
      <c r="I3321" s="1" t="n">
        <v>20240430072353</v>
      </c>
      <c r="J3321" s="3" t="s">
        <v>13362</v>
      </c>
      <c r="K3321" s="3" t="s">
        <v>13363</v>
      </c>
      <c r="L3321" s="3" t="s">
        <v>13364</v>
      </c>
      <c r="M3321" s="3" t="n">
        <v>109828</v>
      </c>
      <c r="N3321" s="3" t="s">
        <v>5536</v>
      </c>
      <c r="O3321" s="1" t="n">
        <v>93442</v>
      </c>
      <c r="P3321" s="1" t="n">
        <v>85.08</v>
      </c>
      <c r="Q3321" s="1" t="s">
        <v>20</v>
      </c>
      <c r="R3321" s="1" t="s">
        <v>27</v>
      </c>
      <c r="S3321" s="1" t="s">
        <v>28</v>
      </c>
      <c r="T3321" s="1" t="s">
        <v>29</v>
      </c>
    </row>
    <row r="3322" customFormat="false" ht="18.7" hidden="false" customHeight="true" outlineLevel="0" collapsed="false">
      <c r="A3322" s="1" t="n">
        <v>3321</v>
      </c>
      <c r="B3322" s="6" t="str">
        <f aca="false">HYPERLINK("https://mncourtfraud.com/file/MCRO_27-CR-23-1886_E-filed Comp-Order for Detention_2023-01-24_20240430072407.pdf","MCRO_27-CR-23-1886_E-filed Comp-Order for Detention_2023-01-24_20240430072407.pdf")</f>
        <v>MCRO_27-CR-23-1886_E-filed Comp-Order for Detention_2023-01-24_20240430072407.pdf</v>
      </c>
      <c r="C3322" s="1" t="n">
        <v>5</v>
      </c>
      <c r="D3322" s="1" t="n">
        <v>2</v>
      </c>
      <c r="E3322" s="1" t="n">
        <v>2</v>
      </c>
      <c r="F3322" s="3" t="s">
        <v>20</v>
      </c>
      <c r="G3322" s="3" t="s">
        <v>13365</v>
      </c>
      <c r="H3322" s="1" t="s">
        <v>22</v>
      </c>
      <c r="I3322" s="1" t="n">
        <v>20240430072407</v>
      </c>
      <c r="J3322" s="3" t="s">
        <v>13366</v>
      </c>
      <c r="K3322" s="3" t="s">
        <v>13367</v>
      </c>
      <c r="L3322" s="3" t="s">
        <v>13368</v>
      </c>
      <c r="M3322" s="3" t="n">
        <v>497057</v>
      </c>
      <c r="N3322" s="3" t="s">
        <v>6893</v>
      </c>
      <c r="O3322" s="1" t="n">
        <v>480671</v>
      </c>
      <c r="P3322" s="1" t="n">
        <v>96.7</v>
      </c>
      <c r="Q3322" s="1" t="s">
        <v>20</v>
      </c>
      <c r="R3322" s="1" t="s">
        <v>27</v>
      </c>
      <c r="S3322" s="1" t="s">
        <v>28</v>
      </c>
      <c r="T3322" s="1" t="s">
        <v>29</v>
      </c>
    </row>
    <row r="3323" customFormat="false" ht="18.7" hidden="false" customHeight="true" outlineLevel="0" collapsed="false">
      <c r="A3323" s="1" t="n">
        <v>3322</v>
      </c>
      <c r="B3323" s="6" t="str">
        <f aca="false">HYPERLINK("https://mncourtfraud.com/file/MCRO_27-CR-23-1886_Finding of Incompetency and Order_2023-07-13_20240430072356.pdf","MCRO_27-CR-23-1886_Finding of Incompetency and Order_2023-07-13_20240430072356.pdf")</f>
        <v>MCRO_27-CR-23-1886_Finding of Incompetency and Order_2023-07-13_20240430072356.pdf</v>
      </c>
      <c r="C3323" s="1" t="n">
        <v>9</v>
      </c>
      <c r="D3323" s="1" t="n">
        <v>10</v>
      </c>
      <c r="E3323" s="1" t="n">
        <v>10</v>
      </c>
      <c r="F3323" s="3" t="s">
        <v>20</v>
      </c>
      <c r="G3323" s="3" t="s">
        <v>13369</v>
      </c>
      <c r="H3323" s="1" t="s">
        <v>22</v>
      </c>
      <c r="I3323" s="1" t="n">
        <v>20240430072356</v>
      </c>
      <c r="J3323" s="3" t="s">
        <v>13370</v>
      </c>
      <c r="K3323" s="3" t="s">
        <v>13371</v>
      </c>
      <c r="L3323" s="3" t="s">
        <v>13372</v>
      </c>
      <c r="M3323" s="3" t="n">
        <v>511028</v>
      </c>
      <c r="N3323" s="3" t="s">
        <v>2368</v>
      </c>
      <c r="O3323" s="1" t="n">
        <v>494642</v>
      </c>
      <c r="P3323" s="1" t="n">
        <v>96.79</v>
      </c>
      <c r="Q3323" s="1" t="s">
        <v>20</v>
      </c>
      <c r="R3323" s="1" t="s">
        <v>27</v>
      </c>
      <c r="S3323" s="1" t="s">
        <v>28</v>
      </c>
      <c r="T3323" s="1" t="s">
        <v>29</v>
      </c>
    </row>
    <row r="3324" customFormat="false" ht="18.7" hidden="false" customHeight="true" outlineLevel="0" collapsed="false">
      <c r="A3324" s="1" t="n">
        <v>3323</v>
      </c>
      <c r="B3324" s="6" t="str">
        <f aca="false">HYPERLINK("https://mncourtfraud.com/file/MCRO_27-CR-23-1886_Finding of Incompetency and Order_2024-01-17_20240430072352.pdf","MCRO_27-CR-23-1886_Finding of Incompetency and Order_2024-01-17_20240430072352.pdf")</f>
        <v>MCRO_27-CR-23-1886_Finding of Incompetency and Order_2024-01-17_20240430072352.pdf</v>
      </c>
      <c r="C3324" s="1" t="n">
        <v>9</v>
      </c>
      <c r="D3324" s="1" t="n">
        <v>3</v>
      </c>
      <c r="E3324" s="1" t="n">
        <v>3</v>
      </c>
      <c r="F3324" s="3" t="s">
        <v>20</v>
      </c>
      <c r="G3324" s="3" t="s">
        <v>13373</v>
      </c>
      <c r="H3324" s="1" t="s">
        <v>22</v>
      </c>
      <c r="I3324" s="1" t="n">
        <v>20240430072352</v>
      </c>
      <c r="J3324" s="3" t="s">
        <v>13341</v>
      </c>
      <c r="K3324" s="3" t="s">
        <v>13342</v>
      </c>
      <c r="L3324" s="3" t="s">
        <v>13374</v>
      </c>
      <c r="M3324" s="3" t="n">
        <v>932303</v>
      </c>
      <c r="N3324" s="3" t="s">
        <v>400</v>
      </c>
      <c r="O3324" s="1" t="n">
        <v>915917</v>
      </c>
      <c r="P3324" s="1" t="n">
        <v>98.24</v>
      </c>
      <c r="Q3324" s="1" t="s">
        <v>20</v>
      </c>
      <c r="R3324" s="1" t="s">
        <v>27</v>
      </c>
      <c r="S3324" s="1" t="s">
        <v>28</v>
      </c>
      <c r="T3324" s="1" t="s">
        <v>29</v>
      </c>
    </row>
    <row r="3325" customFormat="false" ht="18.7" hidden="false" customHeight="true" outlineLevel="0" collapsed="false">
      <c r="A3325" s="1" t="n">
        <v>3324</v>
      </c>
      <c r="B3325" s="6" t="str">
        <f aca="false">HYPERLINK("https://mncourtfraud.com/file/MCRO_27-CR-23-1886_Law Enforcement Notice of Release and Appearance_2023-01-25_20240430072404.pdf","MCRO_27-CR-23-1886_Law Enforcement Notice of Release and Appearance_2023-01-25_20240430072404.pdf")</f>
        <v>MCRO_27-CR-23-1886_Law Enforcement Notice of Release and Appearance_2023-01-25_20240430072404.pdf</v>
      </c>
      <c r="C3325" s="1" t="n">
        <v>4</v>
      </c>
      <c r="D3325" s="1" t="n">
        <v>1</v>
      </c>
      <c r="E3325" s="1" t="n">
        <v>1</v>
      </c>
      <c r="F3325" s="3" t="s">
        <v>20</v>
      </c>
      <c r="G3325" s="3" t="s">
        <v>13375</v>
      </c>
      <c r="H3325" s="1" t="s">
        <v>22</v>
      </c>
      <c r="I3325" s="1" t="n">
        <v>20240430072404</v>
      </c>
      <c r="J3325" s="3" t="s">
        <v>13376</v>
      </c>
      <c r="K3325" s="3" t="s">
        <v>13377</v>
      </c>
      <c r="L3325" s="3" t="s">
        <v>13378</v>
      </c>
      <c r="M3325" s="3" t="n">
        <v>106307</v>
      </c>
      <c r="N3325" s="3" t="s">
        <v>435</v>
      </c>
      <c r="O3325" s="1" t="n">
        <v>89921</v>
      </c>
      <c r="P3325" s="1" t="n">
        <v>84.59</v>
      </c>
      <c r="Q3325" s="1" t="s">
        <v>20</v>
      </c>
      <c r="R3325" s="1" t="s">
        <v>27</v>
      </c>
      <c r="S3325" s="1" t="s">
        <v>28</v>
      </c>
      <c r="T3325" s="1" t="s">
        <v>29</v>
      </c>
    </row>
    <row r="3326" customFormat="false" ht="18.7" hidden="false" customHeight="true" outlineLevel="0" collapsed="false">
      <c r="A3326" s="1" t="n">
        <v>3325</v>
      </c>
      <c r="B3326" s="6" t="str">
        <f aca="false">HYPERLINK("https://mncourtfraud.com/file/MCRO_27-CR-23-1886_Motion_2024-04-04_20240430072350.pdf","MCRO_27-CR-23-1886_Motion_2024-04-04_20240430072350.pdf")</f>
        <v>MCRO_27-CR-23-1886_Motion_2024-04-04_20240430072350.pdf</v>
      </c>
      <c r="C3326" s="1" t="n">
        <v>3</v>
      </c>
      <c r="D3326" s="1" t="n">
        <v>1</v>
      </c>
      <c r="E3326" s="1" t="n">
        <v>1</v>
      </c>
      <c r="F3326" s="3" t="s">
        <v>20</v>
      </c>
      <c r="G3326" s="3" t="s">
        <v>13379</v>
      </c>
      <c r="H3326" s="1" t="s">
        <v>22</v>
      </c>
      <c r="I3326" s="1" t="n">
        <v>20240430072350</v>
      </c>
      <c r="J3326" s="3" t="s">
        <v>13380</v>
      </c>
      <c r="K3326" s="3" t="s">
        <v>13381</v>
      </c>
      <c r="L3326" s="3" t="s">
        <v>13382</v>
      </c>
      <c r="M3326" s="3" t="n">
        <v>8308581</v>
      </c>
      <c r="N3326" s="3" t="s">
        <v>13383</v>
      </c>
      <c r="O3326" s="1" t="n">
        <v>8292195</v>
      </c>
      <c r="P3326" s="1" t="n">
        <v>99.8</v>
      </c>
      <c r="Q3326" s="1" t="s">
        <v>20</v>
      </c>
      <c r="R3326" s="1" t="s">
        <v>27</v>
      </c>
      <c r="S3326" s="1" t="s">
        <v>28</v>
      </c>
      <c r="T3326" s="1" t="s">
        <v>29</v>
      </c>
    </row>
    <row r="3327" customFormat="false" ht="18.7" hidden="false" customHeight="true" outlineLevel="0" collapsed="false">
      <c r="A3327" s="1" t="n">
        <v>3326</v>
      </c>
      <c r="B3327" s="6" t="str">
        <f aca="false">HYPERLINK("https://mncourtfraud.com/file/MCRO_27-CR-23-1886_Non-Cash Bond Posted_2023-01-25_20240430072405.pdf","MCRO_27-CR-23-1886_Non-Cash Bond Posted_2023-01-25_20240430072405.pdf")</f>
        <v>MCRO_27-CR-23-1886_Non-Cash Bond Posted_2023-01-25_20240430072405.pdf</v>
      </c>
      <c r="C3327" s="1" t="n">
        <v>4</v>
      </c>
      <c r="D3327" s="1" t="n">
        <v>1</v>
      </c>
      <c r="E3327" s="1" t="n">
        <v>1</v>
      </c>
      <c r="F3327" s="3" t="s">
        <v>20</v>
      </c>
      <c r="G3327" s="3" t="s">
        <v>13384</v>
      </c>
      <c r="H3327" s="1" t="s">
        <v>22</v>
      </c>
      <c r="I3327" s="1" t="n">
        <v>20240430072405</v>
      </c>
      <c r="J3327" s="3" t="s">
        <v>13385</v>
      </c>
      <c r="K3327" s="3" t="s">
        <v>13386</v>
      </c>
      <c r="L3327" s="3" t="s">
        <v>13387</v>
      </c>
      <c r="M3327" s="3" t="n">
        <v>198889</v>
      </c>
      <c r="N3327" s="3" t="s">
        <v>1159</v>
      </c>
      <c r="O3327" s="1" t="n">
        <v>182503</v>
      </c>
      <c r="P3327" s="1" t="n">
        <v>91.76</v>
      </c>
      <c r="Q3327" s="1" t="s">
        <v>20</v>
      </c>
      <c r="R3327" s="1" t="s">
        <v>27</v>
      </c>
      <c r="S3327" s="1" t="s">
        <v>28</v>
      </c>
      <c r="T3327" s="1" t="s">
        <v>29</v>
      </c>
    </row>
    <row r="3328" customFormat="false" ht="18.7" hidden="false" customHeight="true" outlineLevel="0" collapsed="false">
      <c r="A3328" s="1" t="n">
        <v>3327</v>
      </c>
      <c r="B3328" s="6" t="str">
        <f aca="false">HYPERLINK("https://mncourtfraud.com/file/MCRO_27-CR-23-1886_Notice of Hearing_2023-01-26_20240430072403.pdf","MCRO_27-CR-23-1886_Notice of Hearing_2023-01-26_20240430072403.pdf")</f>
        <v>MCRO_27-CR-23-1886_Notice of Hearing_2023-01-26_20240430072403.pdf</v>
      </c>
      <c r="C3328" s="1" t="n">
        <v>4</v>
      </c>
      <c r="D3328" s="1" t="n">
        <v>1</v>
      </c>
      <c r="E3328" s="1" t="n">
        <v>1</v>
      </c>
      <c r="F3328" s="3" t="s">
        <v>20</v>
      </c>
      <c r="G3328" s="3" t="s">
        <v>13388</v>
      </c>
      <c r="H3328" s="1" t="s">
        <v>22</v>
      </c>
      <c r="I3328" s="1" t="n">
        <v>20240430072403</v>
      </c>
      <c r="J3328" s="3" t="s">
        <v>13389</v>
      </c>
      <c r="K3328" s="3" t="s">
        <v>13390</v>
      </c>
      <c r="L3328" s="3" t="s">
        <v>13391</v>
      </c>
      <c r="M3328" s="3" t="n">
        <v>101089</v>
      </c>
      <c r="N3328" s="3" t="s">
        <v>435</v>
      </c>
      <c r="O3328" s="1" t="n">
        <v>84703</v>
      </c>
      <c r="P3328" s="1" t="n">
        <v>83.79</v>
      </c>
      <c r="Q3328" s="1" t="s">
        <v>20</v>
      </c>
      <c r="R3328" s="1" t="s">
        <v>27</v>
      </c>
      <c r="S3328" s="1" t="s">
        <v>28</v>
      </c>
      <c r="T3328" s="1" t="s">
        <v>29</v>
      </c>
    </row>
    <row r="3329" customFormat="false" ht="18.7" hidden="false" customHeight="true" outlineLevel="0" collapsed="false">
      <c r="A3329" s="1" t="n">
        <v>3328</v>
      </c>
      <c r="B3329" s="6" t="str">
        <f aca="false">HYPERLINK("https://mncourtfraud.com/file/MCRO_27-CR-23-1886_Notice of Motion and Motion_2024-04-03_20240430072407.pdf","MCRO_27-CR-23-1886_Notice of Motion and Motion_2024-04-03_20240430072407.pdf")</f>
        <v>MCRO_27-CR-23-1886_Notice of Motion and Motion_2024-04-03_20240430072407.pdf</v>
      </c>
      <c r="C3329" s="1" t="n">
        <v>3</v>
      </c>
      <c r="D3329" s="1" t="n">
        <v>1</v>
      </c>
      <c r="E3329" s="1" t="n">
        <v>1</v>
      </c>
      <c r="F3329" s="3" t="s">
        <v>20</v>
      </c>
      <c r="G3329" s="3" t="s">
        <v>13392</v>
      </c>
      <c r="H3329" s="1" t="s">
        <v>22</v>
      </c>
      <c r="I3329" s="1" t="n">
        <v>20240430072407</v>
      </c>
      <c r="J3329" s="3" t="s">
        <v>13389</v>
      </c>
      <c r="K3329" s="3" t="s">
        <v>13390</v>
      </c>
      <c r="L3329" s="3" t="s">
        <v>13393</v>
      </c>
      <c r="M3329" s="3" t="n">
        <v>30204896</v>
      </c>
      <c r="N3329" s="3" t="s">
        <v>13394</v>
      </c>
      <c r="O3329" s="1" t="n">
        <v>30188510</v>
      </c>
      <c r="P3329" s="1" t="n">
        <v>99.95</v>
      </c>
      <c r="Q3329" s="1" t="s">
        <v>20</v>
      </c>
      <c r="R3329" s="1" t="s">
        <v>27</v>
      </c>
      <c r="S3329" s="1" t="s">
        <v>28</v>
      </c>
      <c r="T3329" s="1" t="s">
        <v>29</v>
      </c>
    </row>
    <row r="3330" customFormat="false" ht="18.7" hidden="false" customHeight="true" outlineLevel="0" collapsed="false">
      <c r="A3330" s="1" t="n">
        <v>3329</v>
      </c>
      <c r="B3330" s="6" t="str">
        <f aca="false">HYPERLINK("https://mncourtfraud.com/file/MCRO_27-CR-23-1886_Notice of Remote Hearing with Instructions_2024-01-16_20240430072352.pdf","MCRO_27-CR-23-1886_Notice of Remote Hearing with Instructions_2024-01-16_20240430072352.pdf")</f>
        <v>MCRO_27-CR-23-1886_Notice of Remote Hearing with Instructions_2024-01-16_20240430072352.pdf</v>
      </c>
      <c r="C3330" s="1" t="n">
        <v>4</v>
      </c>
      <c r="D3330" s="1" t="n">
        <v>1</v>
      </c>
      <c r="E3330" s="1" t="n">
        <v>1</v>
      </c>
      <c r="F3330" s="3" t="s">
        <v>20</v>
      </c>
      <c r="G3330" s="3" t="s">
        <v>13395</v>
      </c>
      <c r="H3330" s="1" t="s">
        <v>22</v>
      </c>
      <c r="I3330" s="1" t="n">
        <v>20240430072352</v>
      </c>
      <c r="J3330" s="3" t="s">
        <v>13341</v>
      </c>
      <c r="K3330" s="3" t="s">
        <v>13342</v>
      </c>
      <c r="L3330" s="3" t="s">
        <v>13396</v>
      </c>
      <c r="M3330" s="3" t="n">
        <v>269979</v>
      </c>
      <c r="N3330" s="3" t="s">
        <v>74</v>
      </c>
      <c r="O3330" s="1" t="n">
        <v>253593</v>
      </c>
      <c r="P3330" s="1" t="n">
        <v>93.93</v>
      </c>
      <c r="Q3330" s="1" t="s">
        <v>20</v>
      </c>
      <c r="R3330" s="1" t="s">
        <v>27</v>
      </c>
      <c r="S3330" s="1" t="s">
        <v>28</v>
      </c>
      <c r="T3330" s="1" t="s">
        <v>29</v>
      </c>
    </row>
    <row r="3331" customFormat="false" ht="18.7" hidden="false" customHeight="true" outlineLevel="0" collapsed="false">
      <c r="A3331" s="1" t="n">
        <v>3330</v>
      </c>
      <c r="B3331" s="6" t="str">
        <f aca="false">HYPERLINK("https://mncourtfraud.com/file/MCRO_27-CR-23-1886_Order Denying Motion_2024-04-12_20240430072345.pdf","MCRO_27-CR-23-1886_Order Denying Motion_2024-04-12_20240430072345.pdf")</f>
        <v>MCRO_27-CR-23-1886_Order Denying Motion_2024-04-12_20240430072345.pdf</v>
      </c>
      <c r="C3331" s="1" t="n">
        <v>5</v>
      </c>
      <c r="D3331" s="1" t="n">
        <v>4</v>
      </c>
      <c r="E3331" s="1" t="n">
        <v>4</v>
      </c>
      <c r="F3331" s="3" t="s">
        <v>20</v>
      </c>
      <c r="G3331" s="3" t="s">
        <v>13397</v>
      </c>
      <c r="H3331" s="1" t="s">
        <v>22</v>
      </c>
      <c r="I3331" s="1" t="n">
        <v>20240430072345</v>
      </c>
      <c r="J3331" s="3" t="s">
        <v>13398</v>
      </c>
      <c r="K3331" s="3" t="s">
        <v>13399</v>
      </c>
      <c r="L3331" s="3" t="s">
        <v>13400</v>
      </c>
      <c r="M3331" s="3" t="n">
        <v>365930</v>
      </c>
      <c r="N3331" s="3" t="s">
        <v>3929</v>
      </c>
      <c r="O3331" s="1" t="n">
        <v>349544</v>
      </c>
      <c r="P3331" s="1" t="n">
        <v>95.52</v>
      </c>
      <c r="Q3331" s="1" t="s">
        <v>20</v>
      </c>
      <c r="R3331" s="1" t="s">
        <v>27</v>
      </c>
      <c r="S3331" s="1" t="s">
        <v>28</v>
      </c>
      <c r="T3331" s="1" t="s">
        <v>29</v>
      </c>
    </row>
    <row r="3332" customFormat="false" ht="18.7" hidden="false" customHeight="true" outlineLevel="0" collapsed="false">
      <c r="A3332" s="1" t="n">
        <v>3331</v>
      </c>
      <c r="B3332" s="6" t="str">
        <f aca="false">HYPERLINK("https://mncourtfraud.com/file/MCRO_27-CR-23-1886_Order-Evaluation for Competency to Proceed (Rule 20.01)_2023-01-25_20240430072406.pdf","MCRO_27-CR-23-1886_Order-Evaluation for Competency to Proceed (Rule 20.01)_2023-01-25_20240430072406.pdf")</f>
        <v>MCRO_27-CR-23-1886_Order-Evaluation for Competency to Proceed (Rule 20.01)_2023-01-25_20240430072406.pdf</v>
      </c>
      <c r="C3332" s="1" t="n">
        <v>4</v>
      </c>
      <c r="D3332" s="1" t="n">
        <v>1</v>
      </c>
      <c r="E3332" s="1" t="n">
        <v>1</v>
      </c>
      <c r="F3332" s="3" t="s">
        <v>20</v>
      </c>
      <c r="G3332" s="3" t="s">
        <v>13401</v>
      </c>
      <c r="H3332" s="1" t="s">
        <v>22</v>
      </c>
      <c r="I3332" s="1" t="n">
        <v>20240430072406</v>
      </c>
      <c r="J3332" s="3" t="s">
        <v>13402</v>
      </c>
      <c r="K3332" s="3" t="s">
        <v>13403</v>
      </c>
      <c r="L3332" s="3" t="s">
        <v>13404</v>
      </c>
      <c r="M3332" s="3" t="n">
        <v>138773</v>
      </c>
      <c r="N3332" s="3" t="s">
        <v>1159</v>
      </c>
      <c r="O3332" s="1" t="n">
        <v>122387</v>
      </c>
      <c r="P3332" s="1" t="n">
        <v>88.19</v>
      </c>
      <c r="Q3332" s="1" t="s">
        <v>20</v>
      </c>
      <c r="R3332" s="1" t="s">
        <v>27</v>
      </c>
      <c r="S3332" s="1" t="s">
        <v>28</v>
      </c>
      <c r="T3332" s="1" t="s">
        <v>29</v>
      </c>
    </row>
    <row r="3333" customFormat="false" ht="18.7" hidden="false" customHeight="true" outlineLevel="0" collapsed="false">
      <c r="A3333" s="1" t="n">
        <v>3332</v>
      </c>
      <c r="B3333" s="6" t="str">
        <f aca="false">HYPERLINK("https://mncourtfraud.com/file/MCRO_27-CR-23-1886_Order-Evaluation for Competency to Proceed (Rule 20.01)_2023-11-15_20240430072354.pdf","MCRO_27-CR-23-1886_Order-Evaluation for Competency to Proceed (Rule 20.01)_2023-11-15_20240430072354.pdf")</f>
        <v>MCRO_27-CR-23-1886_Order-Evaluation for Competency to Proceed (Rule 20.01)_2023-11-15_20240430072354.pdf</v>
      </c>
      <c r="C3333" s="1" t="n">
        <v>6</v>
      </c>
      <c r="D3333" s="1" t="n">
        <v>2</v>
      </c>
      <c r="E3333" s="1" t="n">
        <v>2</v>
      </c>
      <c r="F3333" s="3" t="s">
        <v>20</v>
      </c>
      <c r="G3333" s="3" t="s">
        <v>13405</v>
      </c>
      <c r="H3333" s="1" t="s">
        <v>22</v>
      </c>
      <c r="I3333" s="1" t="n">
        <v>20240430072354</v>
      </c>
      <c r="J3333" s="3" t="s">
        <v>13406</v>
      </c>
      <c r="K3333" s="3" t="s">
        <v>13407</v>
      </c>
      <c r="L3333" s="3" t="s">
        <v>13408</v>
      </c>
      <c r="M3333" s="3" t="n">
        <v>867817</v>
      </c>
      <c r="N3333" s="3" t="s">
        <v>796</v>
      </c>
      <c r="O3333" s="1" t="n">
        <v>851431</v>
      </c>
      <c r="P3333" s="1" t="n">
        <v>98.11</v>
      </c>
      <c r="Q3333" s="1" t="s">
        <v>20</v>
      </c>
      <c r="R3333" s="1" t="s">
        <v>27</v>
      </c>
      <c r="S3333" s="1" t="s">
        <v>28</v>
      </c>
      <c r="T3333" s="1" t="s">
        <v>29</v>
      </c>
    </row>
    <row r="3334" customFormat="false" ht="18.7" hidden="false" customHeight="true" outlineLevel="0" collapsed="false">
      <c r="A3334" s="1" t="n">
        <v>3333</v>
      </c>
      <c r="B3334" s="6" t="str">
        <f aca="false">HYPERLINK("https://mncourtfraud.com/file/MCRO_27-CR-23-1886_Order for Continuance_2023-06-14_20240430072357.pdf","MCRO_27-CR-23-1886_Order for Continuance_2023-06-14_20240430072357.pdf")</f>
        <v>MCRO_27-CR-23-1886_Order for Continuance_2023-06-14_20240430072357.pdf</v>
      </c>
      <c r="C3334" s="1" t="n">
        <v>5</v>
      </c>
      <c r="D3334" s="1" t="n">
        <v>3</v>
      </c>
      <c r="E3334" s="1" t="n">
        <v>3</v>
      </c>
      <c r="F3334" s="3" t="s">
        <v>20</v>
      </c>
      <c r="G3334" s="3" t="s">
        <v>13409</v>
      </c>
      <c r="H3334" s="1" t="s">
        <v>22</v>
      </c>
      <c r="I3334" s="1" t="n">
        <v>20240430072357</v>
      </c>
      <c r="J3334" s="3" t="s">
        <v>13410</v>
      </c>
      <c r="K3334" s="3" t="s">
        <v>13411</v>
      </c>
      <c r="L3334" s="3" t="s">
        <v>13412</v>
      </c>
      <c r="M3334" s="3" t="n">
        <v>244403</v>
      </c>
      <c r="N3334" s="3" t="s">
        <v>3215</v>
      </c>
      <c r="O3334" s="1" t="n">
        <v>228017</v>
      </c>
      <c r="P3334" s="1" t="n">
        <v>93.3</v>
      </c>
      <c r="Q3334" s="1" t="s">
        <v>20</v>
      </c>
      <c r="R3334" s="1" t="s">
        <v>27</v>
      </c>
      <c r="S3334" s="1" t="s">
        <v>28</v>
      </c>
      <c r="T3334" s="1" t="s">
        <v>29</v>
      </c>
    </row>
    <row r="3335" customFormat="false" ht="18.7" hidden="false" customHeight="true" outlineLevel="0" collapsed="false">
      <c r="A3335" s="1" t="n">
        <v>3334</v>
      </c>
      <c r="B3335" s="6" t="str">
        <f aca="false">HYPERLINK("https://mncourtfraud.com/file/MCRO_27-CR-23-1886_Order-Other_2023-07-13_20240430072355.pdf","MCRO_27-CR-23-1886_Order-Other_2023-07-13_20240430072355.pdf")</f>
        <v>MCRO_27-CR-23-1886_Order-Other_2023-07-13_20240430072355.pdf</v>
      </c>
      <c r="C3335" s="1" t="n">
        <v>11</v>
      </c>
      <c r="D3335" s="1" t="n">
        <v>10</v>
      </c>
      <c r="E3335" s="1" t="n">
        <v>10</v>
      </c>
      <c r="F3335" s="3" t="s">
        <v>27</v>
      </c>
      <c r="G3335" s="3" t="s">
        <v>13413</v>
      </c>
      <c r="H3335" s="1" t="s">
        <v>22</v>
      </c>
      <c r="I3335" s="1" t="n">
        <v>20240430072355</v>
      </c>
      <c r="J3335" s="3" t="s">
        <v>13414</v>
      </c>
      <c r="K3335" s="3" t="s">
        <v>13415</v>
      </c>
      <c r="L3335" s="3" t="s">
        <v>13416</v>
      </c>
      <c r="M3335" s="3" t="n">
        <v>1107468</v>
      </c>
      <c r="N3335" s="3" t="s">
        <v>390</v>
      </c>
      <c r="O3335" s="1" t="n">
        <v>1091082</v>
      </c>
      <c r="P3335" s="1" t="n">
        <v>98.52</v>
      </c>
      <c r="Q3335" s="1" t="s">
        <v>20</v>
      </c>
      <c r="R3335" s="1" t="s">
        <v>27</v>
      </c>
      <c r="S3335" s="1" t="s">
        <v>28</v>
      </c>
      <c r="T3335" s="1" t="s">
        <v>29</v>
      </c>
    </row>
    <row r="3336" customFormat="false" ht="18.7" hidden="false" customHeight="true" outlineLevel="0" collapsed="false">
      <c r="A3336" s="1" t="n">
        <v>3335</v>
      </c>
      <c r="B3336" s="6" t="str">
        <f aca="false">HYPERLINK("https://mncourtfraud.com/file/MCRO_27-CR-23-1886_Petition to Proceed as ProSe Counsel_2024-04-03_20240430072350.pdf","MCRO_27-CR-23-1886_Petition to Proceed as ProSe Counsel_2024-04-03_20240430072350.pdf")</f>
        <v>MCRO_27-CR-23-1886_Petition to Proceed as ProSe Counsel_2024-04-03_20240430072350.pdf</v>
      </c>
      <c r="C3336" s="1" t="n">
        <v>3</v>
      </c>
      <c r="D3336" s="1" t="n">
        <v>1</v>
      </c>
      <c r="E3336" s="1" t="n">
        <v>1</v>
      </c>
      <c r="F3336" s="3" t="s">
        <v>20</v>
      </c>
      <c r="G3336" s="3" t="s">
        <v>13417</v>
      </c>
      <c r="H3336" s="1" t="s">
        <v>22</v>
      </c>
      <c r="I3336" s="1" t="n">
        <v>20240430072350</v>
      </c>
      <c r="J3336" s="3" t="s">
        <v>13418</v>
      </c>
      <c r="K3336" s="3" t="s">
        <v>13419</v>
      </c>
      <c r="L3336" s="3" t="s">
        <v>13420</v>
      </c>
      <c r="M3336" s="3" t="n">
        <v>568587</v>
      </c>
      <c r="N3336" s="3" t="s">
        <v>13421</v>
      </c>
      <c r="O3336" s="1" t="n">
        <v>552201</v>
      </c>
      <c r="P3336" s="1" t="n">
        <v>97.12</v>
      </c>
      <c r="Q3336" s="1" t="s">
        <v>20</v>
      </c>
      <c r="R3336" s="1" t="s">
        <v>27</v>
      </c>
      <c r="S3336" s="1" t="s">
        <v>28</v>
      </c>
      <c r="T3336" s="1" t="s">
        <v>29</v>
      </c>
    </row>
    <row r="3337" customFormat="false" ht="18.7" hidden="false" customHeight="true" outlineLevel="0" collapsed="false">
      <c r="A3337" s="1" t="n">
        <v>3336</v>
      </c>
      <c r="B3337" s="6" t="str">
        <f aca="false">HYPERLINK("https://mncourtfraud.com/file/MCRO_27-CR-23-1886_Request for Continuance Needing Judicial Approval_2023-02-20_20240430072359.pdf","MCRO_27-CR-23-1886_Request for Continuance Needing Judicial Approval_2023-02-20_20240430072359.pdf")</f>
        <v>MCRO_27-CR-23-1886_Request for Continuance Needing Judicial Approval_2023-02-20_20240430072359.pdf</v>
      </c>
      <c r="C3337" s="1" t="n">
        <v>3</v>
      </c>
      <c r="D3337" s="1" t="n">
        <v>1</v>
      </c>
      <c r="E3337" s="1" t="n">
        <v>1</v>
      </c>
      <c r="F3337" s="3" t="s">
        <v>20</v>
      </c>
      <c r="G3337" s="3" t="s">
        <v>13422</v>
      </c>
      <c r="H3337" s="1" t="s">
        <v>22</v>
      </c>
      <c r="I3337" s="1" t="n">
        <v>20240430072359</v>
      </c>
      <c r="J3337" s="3" t="s">
        <v>13423</v>
      </c>
      <c r="K3337" s="3" t="s">
        <v>13424</v>
      </c>
      <c r="L3337" s="3" t="s">
        <v>13425</v>
      </c>
      <c r="M3337" s="3" t="n">
        <v>118497</v>
      </c>
      <c r="N3337" s="3" t="s">
        <v>3220</v>
      </c>
      <c r="O3337" s="1" t="n">
        <v>102111</v>
      </c>
      <c r="P3337" s="1" t="n">
        <v>86.17</v>
      </c>
      <c r="Q3337" s="1" t="s">
        <v>20</v>
      </c>
      <c r="R3337" s="1" t="s">
        <v>27</v>
      </c>
      <c r="S3337" s="1" t="s">
        <v>28</v>
      </c>
      <c r="T3337" s="1" t="s">
        <v>29</v>
      </c>
    </row>
    <row r="3338" customFormat="false" ht="18.7" hidden="false" customHeight="true" outlineLevel="0" collapsed="false">
      <c r="A3338" s="1" t="n">
        <v>3337</v>
      </c>
      <c r="B3338" s="6" t="str">
        <f aca="false">HYPERLINK("https://mncourtfraud.com/file/MCRO_27-CR-23-1886_Request for Continuance Needing Judicial Approval_2023-03-27_20240430072358.pdf","MCRO_27-CR-23-1886_Request for Continuance Needing Judicial Approval_2023-03-27_20240430072358.pdf")</f>
        <v>MCRO_27-CR-23-1886_Request for Continuance Needing Judicial Approval_2023-03-27_20240430072358.pdf</v>
      </c>
      <c r="C3338" s="1" t="n">
        <v>3</v>
      </c>
      <c r="D3338" s="1" t="n">
        <v>1</v>
      </c>
      <c r="E3338" s="1" t="n">
        <v>1</v>
      </c>
      <c r="F3338" s="3" t="s">
        <v>20</v>
      </c>
      <c r="G3338" s="3" t="s">
        <v>13426</v>
      </c>
      <c r="H3338" s="1" t="s">
        <v>22</v>
      </c>
      <c r="I3338" s="1" t="n">
        <v>20240430072358</v>
      </c>
      <c r="J3338" s="3" t="s">
        <v>13427</v>
      </c>
      <c r="K3338" s="3" t="s">
        <v>13428</v>
      </c>
      <c r="L3338" s="3" t="s">
        <v>13429</v>
      </c>
      <c r="M3338" s="3" t="n">
        <v>131600</v>
      </c>
      <c r="N3338" s="3" t="s">
        <v>13430</v>
      </c>
      <c r="O3338" s="1" t="n">
        <v>115214</v>
      </c>
      <c r="P3338" s="1" t="n">
        <v>87.55</v>
      </c>
      <c r="Q3338" s="1" t="s">
        <v>20</v>
      </c>
      <c r="R3338" s="1" t="s">
        <v>27</v>
      </c>
      <c r="S3338" s="1" t="s">
        <v>28</v>
      </c>
      <c r="T3338" s="1" t="s">
        <v>29</v>
      </c>
    </row>
    <row r="3339" customFormat="false" ht="18.7" hidden="false" customHeight="true" outlineLevel="0" collapsed="false">
      <c r="A3339" s="1" t="n">
        <v>3338</v>
      </c>
      <c r="B3339" s="6" t="str">
        <f aca="false">HYPERLINK("https://mncourtfraud.com/file/MCRO_27-CR-23-18964_Demand or Request for Discovery_2023-09-07_20240430074823.pdf","MCRO_27-CR-23-18964_Demand or Request for Discovery_2023-09-07_20240430074823.pdf")</f>
        <v>MCRO_27-CR-23-18964_Demand or Request for Discovery_2023-09-07_20240430074823.pdf</v>
      </c>
      <c r="C3339" s="1" t="n">
        <v>3</v>
      </c>
      <c r="D3339" s="1" t="n">
        <v>1</v>
      </c>
      <c r="E3339" s="1" t="n">
        <v>1</v>
      </c>
      <c r="F3339" s="3" t="s">
        <v>20</v>
      </c>
      <c r="G3339" s="3" t="s">
        <v>13431</v>
      </c>
      <c r="H3339" s="1" t="s">
        <v>22</v>
      </c>
      <c r="I3339" s="1" t="n">
        <v>20240430074823</v>
      </c>
      <c r="J3339" s="3" t="s">
        <v>13432</v>
      </c>
      <c r="K3339" s="3" t="s">
        <v>13433</v>
      </c>
      <c r="L3339" s="3" t="s">
        <v>13434</v>
      </c>
      <c r="M3339" s="3" t="n">
        <v>289164</v>
      </c>
      <c r="N3339" s="3" t="s">
        <v>2557</v>
      </c>
      <c r="O3339" s="1" t="n">
        <v>272778</v>
      </c>
      <c r="P3339" s="1" t="n">
        <v>94.33</v>
      </c>
      <c r="Q3339" s="1" t="s">
        <v>20</v>
      </c>
      <c r="R3339" s="1" t="s">
        <v>27</v>
      </c>
      <c r="S3339" s="1" t="s">
        <v>28</v>
      </c>
      <c r="T3339" s="1" t="s">
        <v>29</v>
      </c>
    </row>
    <row r="3340" customFormat="false" ht="18.7" hidden="false" customHeight="true" outlineLevel="0" collapsed="false">
      <c r="A3340" s="1" t="n">
        <v>3339</v>
      </c>
      <c r="B3340" s="6" t="str">
        <f aca="false">HYPERLINK("https://mncourtfraud.com/file/MCRO_27-CR-23-18964_E-filed Comp-Order for Detention_2023-09-06_20240430074826.pdf","MCRO_27-CR-23-18964_E-filed Comp-Order for Detention_2023-09-06_20240430074826.pdf")</f>
        <v>MCRO_27-CR-23-18964_E-filed Comp-Order for Detention_2023-09-06_20240430074826.pdf</v>
      </c>
      <c r="C3340" s="1" t="n">
        <v>5</v>
      </c>
      <c r="D3340" s="1" t="n">
        <v>2</v>
      </c>
      <c r="E3340" s="1" t="n">
        <v>2</v>
      </c>
      <c r="F3340" s="3" t="s">
        <v>20</v>
      </c>
      <c r="G3340" s="3" t="s">
        <v>13435</v>
      </c>
      <c r="H3340" s="1" t="s">
        <v>22</v>
      </c>
      <c r="I3340" s="1" t="n">
        <v>20240430074826</v>
      </c>
      <c r="J3340" s="3" t="s">
        <v>13436</v>
      </c>
      <c r="K3340" s="3" t="s">
        <v>13437</v>
      </c>
      <c r="L3340" s="3" t="s">
        <v>13438</v>
      </c>
      <c r="M3340" s="3" t="n">
        <v>459714</v>
      </c>
      <c r="N3340" s="3" t="s">
        <v>549</v>
      </c>
      <c r="O3340" s="1" t="n">
        <v>443328</v>
      </c>
      <c r="P3340" s="1" t="n">
        <v>96.44</v>
      </c>
      <c r="Q3340" s="1" t="s">
        <v>20</v>
      </c>
      <c r="R3340" s="1" t="s">
        <v>27</v>
      </c>
      <c r="S3340" s="1" t="s">
        <v>28</v>
      </c>
      <c r="T3340" s="1" t="s">
        <v>29</v>
      </c>
    </row>
    <row r="3341" customFormat="false" ht="18.7" hidden="false" customHeight="true" outlineLevel="0" collapsed="false">
      <c r="A3341" s="1" t="n">
        <v>3340</v>
      </c>
      <c r="B3341" s="6" t="str">
        <f aca="false">HYPERLINK("https://mncourtfraud.com/file/MCRO_27-CR-23-18964_Finding of Incompetency and Order_2023-10-18_20240430074822.pdf","MCRO_27-CR-23-18964_Finding of Incompetency and Order_2023-10-18_20240430074822.pdf")</f>
        <v>MCRO_27-CR-23-18964_Finding of Incompetency and Order_2023-10-18_20240430074822.pdf</v>
      </c>
      <c r="C3341" s="1" t="n">
        <v>9</v>
      </c>
      <c r="D3341" s="1" t="n">
        <v>3</v>
      </c>
      <c r="E3341" s="1" t="n">
        <v>3</v>
      </c>
      <c r="F3341" s="3" t="s">
        <v>27</v>
      </c>
      <c r="G3341" s="3" t="s">
        <v>13439</v>
      </c>
      <c r="H3341" s="1" t="s">
        <v>22</v>
      </c>
      <c r="I3341" s="1" t="n">
        <v>20240430074822</v>
      </c>
      <c r="J3341" s="3" t="s">
        <v>13440</v>
      </c>
      <c r="K3341" s="3" t="s">
        <v>13441</v>
      </c>
      <c r="L3341" s="3" t="s">
        <v>13442</v>
      </c>
      <c r="M3341" s="3" t="n">
        <v>945440</v>
      </c>
      <c r="N3341" s="3" t="s">
        <v>13443</v>
      </c>
      <c r="O3341" s="1" t="n">
        <v>929054</v>
      </c>
      <c r="P3341" s="1" t="n">
        <v>98.27</v>
      </c>
      <c r="Q3341" s="1" t="s">
        <v>20</v>
      </c>
      <c r="R3341" s="1" t="s">
        <v>27</v>
      </c>
      <c r="S3341" s="1" t="s">
        <v>28</v>
      </c>
      <c r="T3341" s="1" t="s">
        <v>29</v>
      </c>
    </row>
    <row r="3342" customFormat="false" ht="18.7" hidden="false" customHeight="true" outlineLevel="0" collapsed="false">
      <c r="A3342" s="1" t="n">
        <v>3341</v>
      </c>
      <c r="B3342" s="6" t="str">
        <f aca="false">HYPERLINK("https://mncourtfraud.com/file/MCRO_27-CR-23-18964_Order-Evaluation for Competency to Proceed (Rule 20.01)_2023-09-07_20240430074824.pdf","MCRO_27-CR-23-18964_Order-Evaluation for Competency to Proceed (Rule 20.01)_2023-09-07_20240430074824.pdf")</f>
        <v>MCRO_27-CR-23-18964_Order-Evaluation for Competency to Proceed (Rule 20.01)_2023-09-07_20240430074824.pdf</v>
      </c>
      <c r="C3342" s="1" t="n">
        <v>4</v>
      </c>
      <c r="D3342" s="1" t="n">
        <v>1</v>
      </c>
      <c r="E3342" s="1" t="n">
        <v>1</v>
      </c>
      <c r="F3342" s="3" t="s">
        <v>20</v>
      </c>
      <c r="G3342" s="3" t="s">
        <v>13444</v>
      </c>
      <c r="H3342" s="1" t="s">
        <v>22</v>
      </c>
      <c r="I3342" s="1" t="n">
        <v>20240430074824</v>
      </c>
      <c r="J3342" s="3" t="s">
        <v>13445</v>
      </c>
      <c r="K3342" s="3" t="s">
        <v>13446</v>
      </c>
      <c r="L3342" s="3" t="s">
        <v>13447</v>
      </c>
      <c r="M3342" s="3" t="n">
        <v>138763</v>
      </c>
      <c r="N3342" s="3" t="s">
        <v>1159</v>
      </c>
      <c r="O3342" s="1" t="n">
        <v>122377</v>
      </c>
      <c r="P3342" s="1" t="n">
        <v>88.19</v>
      </c>
      <c r="Q3342" s="1" t="s">
        <v>20</v>
      </c>
      <c r="R3342" s="1" t="s">
        <v>27</v>
      </c>
      <c r="S3342" s="1" t="s">
        <v>28</v>
      </c>
      <c r="T3342" s="1" t="s">
        <v>29</v>
      </c>
    </row>
    <row r="3343" customFormat="false" ht="18.7" hidden="false" customHeight="true" outlineLevel="0" collapsed="false">
      <c r="A3343" s="1" t="n">
        <v>3342</v>
      </c>
      <c r="B3343" s="6" t="str">
        <f aca="false">HYPERLINK("https://mncourtfraud.com/file/MCRO_27-CR-23-18964_Waiver of Extradition_2023-09-07_20240430074825.pdf","MCRO_27-CR-23-18964_Waiver of Extradition_2023-09-07_20240430074825.pdf")</f>
        <v>MCRO_27-CR-23-18964_Waiver of Extradition_2023-09-07_20240430074825.pdf</v>
      </c>
      <c r="C3343" s="1" t="n">
        <v>4</v>
      </c>
      <c r="D3343" s="1" t="n">
        <v>1</v>
      </c>
      <c r="E3343" s="1" t="n">
        <v>1</v>
      </c>
      <c r="F3343" s="3" t="s">
        <v>20</v>
      </c>
      <c r="G3343" s="3" t="s">
        <v>13448</v>
      </c>
      <c r="H3343" s="1" t="s">
        <v>22</v>
      </c>
      <c r="I3343" s="1" t="n">
        <v>20240430074825</v>
      </c>
      <c r="J3343" s="3" t="s">
        <v>13449</v>
      </c>
      <c r="K3343" s="3" t="s">
        <v>13450</v>
      </c>
      <c r="L3343" s="3" t="s">
        <v>13451</v>
      </c>
      <c r="M3343" s="3" t="n">
        <v>95040</v>
      </c>
      <c r="N3343" s="3" t="s">
        <v>435</v>
      </c>
      <c r="O3343" s="1" t="n">
        <v>78654</v>
      </c>
      <c r="P3343" s="1" t="n">
        <v>82.76</v>
      </c>
      <c r="Q3343" s="1" t="s">
        <v>20</v>
      </c>
      <c r="R3343" s="1" t="s">
        <v>27</v>
      </c>
      <c r="S3343" s="1" t="s">
        <v>28</v>
      </c>
      <c r="T3343" s="1" t="s">
        <v>29</v>
      </c>
    </row>
    <row r="3344" customFormat="false" ht="18.7" hidden="false" customHeight="true" outlineLevel="0" collapsed="false">
      <c r="A3344" s="1" t="n">
        <v>3343</v>
      </c>
      <c r="B3344" s="6" t="str">
        <f aca="false">HYPERLINK("https://mncourtfraud.com/file/MCRO_27-CR-23-20715_Demand or Request for Discovery_2023-10-02_20240430074857.pdf","MCRO_27-CR-23-20715_Demand or Request for Discovery_2023-10-02_20240430074857.pdf")</f>
        <v>MCRO_27-CR-23-20715_Demand or Request for Discovery_2023-10-02_20240430074857.pdf</v>
      </c>
      <c r="C3344" s="1" t="n">
        <v>3</v>
      </c>
      <c r="D3344" s="1" t="n">
        <v>1</v>
      </c>
      <c r="E3344" s="1" t="n">
        <v>1</v>
      </c>
      <c r="F3344" s="3" t="s">
        <v>20</v>
      </c>
      <c r="G3344" s="3" t="s">
        <v>13452</v>
      </c>
      <c r="H3344" s="1" t="s">
        <v>22</v>
      </c>
      <c r="I3344" s="1" t="n">
        <v>20240430074857</v>
      </c>
      <c r="J3344" s="3" t="s">
        <v>13453</v>
      </c>
      <c r="K3344" s="3" t="s">
        <v>13454</v>
      </c>
      <c r="L3344" s="3" t="s">
        <v>13455</v>
      </c>
      <c r="M3344" s="3" t="n">
        <v>372283</v>
      </c>
      <c r="N3344" s="3" t="s">
        <v>39</v>
      </c>
      <c r="O3344" s="1" t="n">
        <v>355897</v>
      </c>
      <c r="P3344" s="1" t="n">
        <v>95.6</v>
      </c>
      <c r="Q3344" s="1" t="s">
        <v>20</v>
      </c>
      <c r="R3344" s="1" t="s">
        <v>27</v>
      </c>
      <c r="S3344" s="1" t="s">
        <v>28</v>
      </c>
      <c r="T3344" s="1" t="s">
        <v>29</v>
      </c>
    </row>
    <row r="3345" customFormat="false" ht="18.7" hidden="false" customHeight="true" outlineLevel="0" collapsed="false">
      <c r="A3345" s="1" t="n">
        <v>3344</v>
      </c>
      <c r="B3345" s="6" t="str">
        <f aca="false">HYPERLINK("https://mncourtfraud.com/file/MCRO_27-CR-23-20715_E-filed Comp-Order for Detention_2023-09-28_20240430074859.pdf","MCRO_27-CR-23-20715_E-filed Comp-Order for Detention_2023-09-28_20240430074859.pdf")</f>
        <v>MCRO_27-CR-23-20715_E-filed Comp-Order for Detention_2023-09-28_20240430074859.pdf</v>
      </c>
      <c r="C3345" s="1" t="n">
        <v>5</v>
      </c>
      <c r="D3345" s="1" t="n">
        <v>2</v>
      </c>
      <c r="E3345" s="1" t="n">
        <v>2</v>
      </c>
      <c r="F3345" s="3" t="s">
        <v>20</v>
      </c>
      <c r="G3345" s="3" t="s">
        <v>13456</v>
      </c>
      <c r="H3345" s="1" t="s">
        <v>22</v>
      </c>
      <c r="I3345" s="1" t="n">
        <v>20240430074859</v>
      </c>
      <c r="J3345" s="3" t="s">
        <v>13457</v>
      </c>
      <c r="K3345" s="3" t="s">
        <v>13458</v>
      </c>
      <c r="L3345" s="3" t="s">
        <v>13459</v>
      </c>
      <c r="M3345" s="3" t="n">
        <v>455323</v>
      </c>
      <c r="N3345" s="3" t="s">
        <v>13460</v>
      </c>
      <c r="O3345" s="1" t="n">
        <v>438937</v>
      </c>
      <c r="P3345" s="1" t="n">
        <v>96.4</v>
      </c>
      <c r="Q3345" s="1" t="s">
        <v>20</v>
      </c>
      <c r="R3345" s="1" t="s">
        <v>27</v>
      </c>
      <c r="S3345" s="1" t="s">
        <v>28</v>
      </c>
      <c r="T3345" s="1" t="s">
        <v>29</v>
      </c>
    </row>
    <row r="3346" customFormat="false" ht="18.7" hidden="false" customHeight="true" outlineLevel="0" collapsed="false">
      <c r="A3346" s="1" t="n">
        <v>3345</v>
      </c>
      <c r="B3346" s="6" t="str">
        <f aca="false">HYPERLINK("https://mncourtfraud.com/file/MCRO_27-CR-23-20715_Finding of Incompetency and Order_2023-11-01_20240430074856.pdf","MCRO_27-CR-23-20715_Finding of Incompetency and Order_2023-11-01_20240430074856.pdf")</f>
        <v>MCRO_27-CR-23-20715_Finding of Incompetency and Order_2023-11-01_20240430074856.pdf</v>
      </c>
      <c r="C3346" s="1" t="n">
        <v>7</v>
      </c>
      <c r="D3346" s="1" t="n">
        <v>2</v>
      </c>
      <c r="E3346" s="1" t="n">
        <v>2</v>
      </c>
      <c r="F3346" s="3" t="s">
        <v>20</v>
      </c>
      <c r="G3346" s="3" t="s">
        <v>13461</v>
      </c>
      <c r="H3346" s="1" t="s">
        <v>22</v>
      </c>
      <c r="I3346" s="1" t="n">
        <v>20240430074856</v>
      </c>
      <c r="J3346" s="3" t="s">
        <v>13462</v>
      </c>
      <c r="K3346" s="3" t="s">
        <v>13463</v>
      </c>
      <c r="L3346" s="3" t="s">
        <v>13464</v>
      </c>
      <c r="M3346" s="3" t="n">
        <v>880821</v>
      </c>
      <c r="N3346" s="3" t="s">
        <v>6172</v>
      </c>
      <c r="O3346" s="1" t="n">
        <v>864435</v>
      </c>
      <c r="P3346" s="1" t="n">
        <v>98.14</v>
      </c>
      <c r="Q3346" s="1" t="s">
        <v>20</v>
      </c>
      <c r="R3346" s="1" t="s">
        <v>27</v>
      </c>
      <c r="S3346" s="1" t="s">
        <v>28</v>
      </c>
      <c r="T3346" s="1" t="s">
        <v>29</v>
      </c>
    </row>
    <row r="3347" customFormat="false" ht="18.7" hidden="false" customHeight="true" outlineLevel="0" collapsed="false">
      <c r="A3347" s="1" t="n">
        <v>3346</v>
      </c>
      <c r="B3347" s="6" t="str">
        <f aca="false">HYPERLINK("https://mncourtfraud.com/file/MCRO_27-CR-23-20715_Order-Evaluation for Competency to Proceed (Rule 20.01)_2023-09-29_20240430074858.pdf","MCRO_27-CR-23-20715_Order-Evaluation for Competency to Proceed (Rule 20.01)_2023-09-29_20240430074858.pdf")</f>
        <v>MCRO_27-CR-23-20715_Order-Evaluation for Competency to Proceed (Rule 20.01)_2023-09-29_20240430074858.pdf</v>
      </c>
      <c r="C3347" s="1" t="n">
        <v>4</v>
      </c>
      <c r="D3347" s="1" t="n">
        <v>1</v>
      </c>
      <c r="E3347" s="1" t="n">
        <v>1</v>
      </c>
      <c r="F3347" s="3" t="s">
        <v>20</v>
      </c>
      <c r="G3347" s="3" t="s">
        <v>13465</v>
      </c>
      <c r="H3347" s="1" t="s">
        <v>22</v>
      </c>
      <c r="I3347" s="1" t="n">
        <v>20240430074858</v>
      </c>
      <c r="J3347" s="3" t="s">
        <v>13466</v>
      </c>
      <c r="K3347" s="3" t="s">
        <v>13467</v>
      </c>
      <c r="L3347" s="3" t="s">
        <v>13468</v>
      </c>
      <c r="M3347" s="3" t="n">
        <v>144191</v>
      </c>
      <c r="N3347" s="3" t="s">
        <v>1159</v>
      </c>
      <c r="O3347" s="1" t="n">
        <v>127805</v>
      </c>
      <c r="P3347" s="1" t="n">
        <v>88.64</v>
      </c>
      <c r="Q3347" s="1" t="s">
        <v>20</v>
      </c>
      <c r="R3347" s="1" t="s">
        <v>27</v>
      </c>
      <c r="S3347" s="1" t="s">
        <v>28</v>
      </c>
      <c r="T3347" s="1" t="s">
        <v>29</v>
      </c>
    </row>
    <row r="3348" customFormat="false" ht="18.7" hidden="false" customHeight="true" outlineLevel="0" collapsed="false">
      <c r="A3348" s="1" t="n">
        <v>3347</v>
      </c>
      <c r="B3348" s="6" t="str">
        <f aca="false">HYPERLINK("https://mncourtfraud.com/file/MCRO_27-CR-23-20715_Order-Evaluation for Competency to Proceed (Rule 20.01)_2024-02-02_20240430074855.pdf","MCRO_27-CR-23-20715_Order-Evaluation for Competency to Proceed (Rule 20.01)_2024-02-02_20240430074855.pdf")</f>
        <v>MCRO_27-CR-23-20715_Order-Evaluation for Competency to Proceed (Rule 20.01)_2024-02-02_20240430074855.pdf</v>
      </c>
      <c r="C3348" s="1" t="n">
        <v>6</v>
      </c>
      <c r="D3348" s="1" t="n">
        <v>2</v>
      </c>
      <c r="E3348" s="1" t="n">
        <v>2</v>
      </c>
      <c r="F3348" s="3" t="s">
        <v>20</v>
      </c>
      <c r="G3348" s="3" t="s">
        <v>13469</v>
      </c>
      <c r="H3348" s="1" t="s">
        <v>22</v>
      </c>
      <c r="I3348" s="1" t="n">
        <v>20240430074855</v>
      </c>
      <c r="J3348" s="3" t="s">
        <v>13470</v>
      </c>
      <c r="K3348" s="3" t="s">
        <v>13471</v>
      </c>
      <c r="L3348" s="3" t="s">
        <v>13472</v>
      </c>
      <c r="M3348" s="3" t="n">
        <v>866979</v>
      </c>
      <c r="N3348" s="3" t="s">
        <v>6214</v>
      </c>
      <c r="O3348" s="1" t="n">
        <v>850593</v>
      </c>
      <c r="P3348" s="1" t="n">
        <v>98.11</v>
      </c>
      <c r="Q3348" s="1" t="s">
        <v>20</v>
      </c>
      <c r="R3348" s="1" t="s">
        <v>27</v>
      </c>
      <c r="S3348" s="1" t="s">
        <v>28</v>
      </c>
      <c r="T3348" s="1" t="s">
        <v>29</v>
      </c>
    </row>
    <row r="3349" customFormat="false" ht="18.7" hidden="false" customHeight="true" outlineLevel="0" collapsed="false">
      <c r="A3349" s="1" t="n">
        <v>3348</v>
      </c>
      <c r="B3349" s="6" t="str">
        <f aca="false">HYPERLINK("https://mncourtfraud.com/file/MCRO_27-CR-23-2073_E-filed Comp-Summons_2023-01-26_20240430072459.pdf","MCRO_27-CR-23-2073_E-filed Comp-Summons_2023-01-26_20240430072459.pdf")</f>
        <v>MCRO_27-CR-23-2073_E-filed Comp-Summons_2023-01-26_20240430072459.pdf</v>
      </c>
      <c r="C3349" s="1" t="n">
        <v>5</v>
      </c>
      <c r="D3349" s="1" t="n">
        <v>2</v>
      </c>
      <c r="E3349" s="1" t="n">
        <v>2</v>
      </c>
      <c r="F3349" s="3" t="s">
        <v>20</v>
      </c>
      <c r="G3349" s="3" t="s">
        <v>13473</v>
      </c>
      <c r="H3349" s="1" t="s">
        <v>22</v>
      </c>
      <c r="I3349" s="1" t="n">
        <v>20240430072459</v>
      </c>
      <c r="J3349" s="3" t="s">
        <v>13474</v>
      </c>
      <c r="K3349" s="3" t="s">
        <v>13475</v>
      </c>
      <c r="L3349" s="3" t="s">
        <v>13476</v>
      </c>
      <c r="M3349" s="3" t="n">
        <v>441275</v>
      </c>
      <c r="N3349" s="3" t="s">
        <v>1574</v>
      </c>
      <c r="O3349" s="1" t="n">
        <v>424889</v>
      </c>
      <c r="P3349" s="1" t="n">
        <v>96.29</v>
      </c>
      <c r="Q3349" s="1" t="s">
        <v>20</v>
      </c>
      <c r="R3349" s="1" t="s">
        <v>27</v>
      </c>
      <c r="S3349" s="1" t="s">
        <v>28</v>
      </c>
      <c r="T3349" s="1" t="s">
        <v>29</v>
      </c>
    </row>
    <row r="3350" customFormat="false" ht="18.7" hidden="false" customHeight="true" outlineLevel="0" collapsed="false">
      <c r="A3350" s="1" t="n">
        <v>3349</v>
      </c>
      <c r="B3350" s="6" t="str">
        <f aca="false">HYPERLINK("https://mncourtfraud.com/file/MCRO_27-CR-23-2073_Notice of Hearing_2023-02-27_20240430072457.pdf","MCRO_27-CR-23-2073_Notice of Hearing_2023-02-27_20240430072457.pdf")</f>
        <v>MCRO_27-CR-23-2073_Notice of Hearing_2023-02-27_20240430072457.pdf</v>
      </c>
      <c r="C3350" s="1" t="n">
        <v>5</v>
      </c>
      <c r="D3350" s="1" t="n">
        <v>1</v>
      </c>
      <c r="E3350" s="1" t="n">
        <v>1</v>
      </c>
      <c r="F3350" s="3" t="s">
        <v>20</v>
      </c>
      <c r="G3350" s="3" t="s">
        <v>13477</v>
      </c>
      <c r="H3350" s="1" t="s">
        <v>22</v>
      </c>
      <c r="I3350" s="1" t="n">
        <v>20240430072457</v>
      </c>
      <c r="J3350" s="3" t="s">
        <v>13478</v>
      </c>
      <c r="K3350" s="3" t="s">
        <v>13479</v>
      </c>
      <c r="L3350" s="3" t="s">
        <v>13480</v>
      </c>
      <c r="M3350" s="3" t="n">
        <v>739681</v>
      </c>
      <c r="N3350" s="3" t="s">
        <v>722</v>
      </c>
      <c r="O3350" s="1" t="n">
        <v>723295</v>
      </c>
      <c r="P3350" s="1" t="n">
        <v>97.78</v>
      </c>
      <c r="Q3350" s="1" t="s">
        <v>20</v>
      </c>
      <c r="R3350" s="1" t="s">
        <v>27</v>
      </c>
      <c r="S3350" s="1" t="s">
        <v>28</v>
      </c>
      <c r="T3350" s="1" t="s">
        <v>29</v>
      </c>
    </row>
    <row r="3351" customFormat="false" ht="18.7" hidden="false" customHeight="true" outlineLevel="0" collapsed="false">
      <c r="A3351" s="1" t="n">
        <v>3350</v>
      </c>
      <c r="B3351" s="6" t="str">
        <f aca="false">HYPERLINK("https://mncourtfraud.com/file/MCRO_27-CR-23-2073_Notice of Hearing_2023-03-31_20240430072455.pdf","MCRO_27-CR-23-2073_Notice of Hearing_2023-03-31_20240430072455.pdf")</f>
        <v>MCRO_27-CR-23-2073_Notice of Hearing_2023-03-31_20240430072455.pdf</v>
      </c>
      <c r="C3351" s="1" t="n">
        <v>4</v>
      </c>
      <c r="D3351" s="1" t="n">
        <v>1</v>
      </c>
      <c r="E3351" s="1" t="n">
        <v>1</v>
      </c>
      <c r="F3351" s="3" t="s">
        <v>20</v>
      </c>
      <c r="G3351" s="3" t="s">
        <v>13481</v>
      </c>
      <c r="H3351" s="1" t="s">
        <v>22</v>
      </c>
      <c r="I3351" s="1" t="n">
        <v>20240430072455</v>
      </c>
      <c r="J3351" s="3" t="s">
        <v>13482</v>
      </c>
      <c r="K3351" s="3" t="s">
        <v>13483</v>
      </c>
      <c r="L3351" s="3" t="s">
        <v>13484</v>
      </c>
      <c r="M3351" s="3" t="n">
        <v>714207</v>
      </c>
      <c r="N3351" s="3" t="s">
        <v>936</v>
      </c>
      <c r="O3351" s="1" t="n">
        <v>697821</v>
      </c>
      <c r="P3351" s="1" t="n">
        <v>97.71</v>
      </c>
      <c r="Q3351" s="1" t="s">
        <v>20</v>
      </c>
      <c r="R3351" s="1" t="s">
        <v>27</v>
      </c>
      <c r="S3351" s="1" t="s">
        <v>28</v>
      </c>
      <c r="T3351" s="1" t="s">
        <v>29</v>
      </c>
    </row>
    <row r="3352" customFormat="false" ht="18.7" hidden="false" customHeight="true" outlineLevel="0" collapsed="false">
      <c r="A3352" s="1" t="n">
        <v>3351</v>
      </c>
      <c r="B3352" s="6" t="str">
        <f aca="false">HYPERLINK("https://mncourtfraud.com/file/MCRO_27-CR-23-2073_Order-Evaluation for Competency to Proceed (Rule 20.01)_2023-06-05_20240430072455.pdf","MCRO_27-CR-23-2073_Order-Evaluation for Competency to Proceed (Rule 20.01)_2023-06-05_20240430072455.pdf")</f>
        <v>MCRO_27-CR-23-2073_Order-Evaluation for Competency to Proceed (Rule 20.01)_2023-06-05_20240430072455.pdf</v>
      </c>
      <c r="C3352" s="1" t="n">
        <v>5</v>
      </c>
      <c r="D3352" s="1" t="n">
        <v>2</v>
      </c>
      <c r="E3352" s="1" t="n">
        <v>2</v>
      </c>
      <c r="F3352" s="3" t="s">
        <v>20</v>
      </c>
      <c r="G3352" s="3" t="s">
        <v>13485</v>
      </c>
      <c r="H3352" s="1" t="s">
        <v>22</v>
      </c>
      <c r="I3352" s="1" t="n">
        <v>20240430072455</v>
      </c>
      <c r="J3352" s="3" t="s">
        <v>13486</v>
      </c>
      <c r="K3352" s="3" t="s">
        <v>13487</v>
      </c>
      <c r="L3352" s="3" t="s">
        <v>13488</v>
      </c>
      <c r="M3352" s="3" t="n">
        <v>1035718</v>
      </c>
      <c r="N3352" s="3" t="s">
        <v>4934</v>
      </c>
      <c r="O3352" s="1" t="n">
        <v>1019332</v>
      </c>
      <c r="P3352" s="1" t="n">
        <v>98.42</v>
      </c>
      <c r="Q3352" s="1" t="s">
        <v>20</v>
      </c>
      <c r="R3352" s="1" t="s">
        <v>27</v>
      </c>
      <c r="S3352" s="1" t="s">
        <v>28</v>
      </c>
      <c r="T3352" s="1" t="s">
        <v>29</v>
      </c>
    </row>
    <row r="3353" customFormat="false" ht="18.7" hidden="false" customHeight="true" outlineLevel="0" collapsed="false">
      <c r="A3353" s="1" t="n">
        <v>3352</v>
      </c>
      <c r="B3353" s="6" t="str">
        <f aca="false">HYPERLINK("https://mncourtfraud.com/file/MCRO_27-CR-23-2073_Summons_2023-01-26_20240430072458.pdf","MCRO_27-CR-23-2073_Summons_2023-01-26_20240430072458.pdf")</f>
        <v>MCRO_27-CR-23-2073_Summons_2023-01-26_20240430072458.pdf</v>
      </c>
      <c r="C3353" s="1" t="n">
        <v>5</v>
      </c>
      <c r="D3353" s="1" t="n">
        <v>1</v>
      </c>
      <c r="E3353" s="1" t="n">
        <v>1</v>
      </c>
      <c r="F3353" s="3" t="s">
        <v>20</v>
      </c>
      <c r="G3353" s="3" t="s">
        <v>13489</v>
      </c>
      <c r="H3353" s="1" t="s">
        <v>22</v>
      </c>
      <c r="I3353" s="1" t="n">
        <v>20240430072458</v>
      </c>
      <c r="J3353" s="3" t="s">
        <v>13490</v>
      </c>
      <c r="K3353" s="3" t="s">
        <v>13491</v>
      </c>
      <c r="L3353" s="3" t="s">
        <v>13492</v>
      </c>
      <c r="M3353" s="3" t="n">
        <v>703211</v>
      </c>
      <c r="N3353" s="3" t="s">
        <v>2723</v>
      </c>
      <c r="O3353" s="1" t="n">
        <v>686825</v>
      </c>
      <c r="P3353" s="1" t="n">
        <v>97.67</v>
      </c>
      <c r="Q3353" s="1" t="s">
        <v>20</v>
      </c>
      <c r="R3353" s="1" t="s">
        <v>27</v>
      </c>
      <c r="S3353" s="1" t="s">
        <v>28</v>
      </c>
      <c r="T3353" s="1" t="s">
        <v>29</v>
      </c>
    </row>
    <row r="3354" customFormat="false" ht="18.7" hidden="false" customHeight="true" outlineLevel="0" collapsed="false">
      <c r="A3354" s="1" t="n">
        <v>3353</v>
      </c>
      <c r="B3354" s="6" t="str">
        <f aca="false">HYPERLINK("https://mncourtfraud.com/file/MCRO_27-CR-23-21403_E-filed Comp-Order for Detention_2023-10-06_20240430074941.pdf","MCRO_27-CR-23-21403_E-filed Comp-Order for Detention_2023-10-06_20240430074941.pdf")</f>
        <v>MCRO_27-CR-23-21403_E-filed Comp-Order for Detention_2023-10-06_20240430074941.pdf</v>
      </c>
      <c r="C3354" s="1" t="n">
        <v>5</v>
      </c>
      <c r="D3354" s="1" t="n">
        <v>2</v>
      </c>
      <c r="E3354" s="1" t="n">
        <v>2</v>
      </c>
      <c r="F3354" s="3" t="s">
        <v>20</v>
      </c>
      <c r="G3354" s="3" t="s">
        <v>13493</v>
      </c>
      <c r="H3354" s="1" t="s">
        <v>22</v>
      </c>
      <c r="I3354" s="1" t="n">
        <v>20240430074941</v>
      </c>
      <c r="J3354" s="3" t="s">
        <v>13494</v>
      </c>
      <c r="K3354" s="3" t="s">
        <v>13495</v>
      </c>
      <c r="L3354" s="3" t="s">
        <v>13496</v>
      </c>
      <c r="M3354" s="3" t="n">
        <v>476563</v>
      </c>
      <c r="N3354" s="3" t="s">
        <v>4680</v>
      </c>
      <c r="O3354" s="1" t="n">
        <v>460177</v>
      </c>
      <c r="P3354" s="1" t="n">
        <v>96.56</v>
      </c>
      <c r="Q3354" s="1" t="s">
        <v>20</v>
      </c>
      <c r="R3354" s="1" t="s">
        <v>27</v>
      </c>
      <c r="S3354" s="1" t="s">
        <v>28</v>
      </c>
      <c r="T3354" s="1" t="s">
        <v>29</v>
      </c>
    </row>
    <row r="3355" customFormat="false" ht="18.7" hidden="false" customHeight="true" outlineLevel="0" collapsed="false">
      <c r="A3355" s="1" t="n">
        <v>3354</v>
      </c>
      <c r="B3355" s="6" t="str">
        <f aca="false">HYPERLINK("https://mncourtfraud.com/file/MCRO_27-CR-23-21403_Finding of Incompetency and Order_2024-04-26_20240430074932.pdf","MCRO_27-CR-23-21403_Finding of Incompetency and Order_2024-04-26_20240430074932.pdf")</f>
        <v>MCRO_27-CR-23-21403_Finding of Incompetency and Order_2024-04-26_20240430074932.pdf</v>
      </c>
      <c r="C3355" s="1" t="n">
        <v>6</v>
      </c>
      <c r="D3355" s="1" t="n">
        <v>2</v>
      </c>
      <c r="E3355" s="1" t="n">
        <v>2</v>
      </c>
      <c r="F3355" s="3" t="s">
        <v>20</v>
      </c>
      <c r="G3355" s="3" t="s">
        <v>13497</v>
      </c>
      <c r="H3355" s="1" t="s">
        <v>22</v>
      </c>
      <c r="I3355" s="1" t="n">
        <v>20240430074932</v>
      </c>
      <c r="J3355" s="3" t="s">
        <v>13498</v>
      </c>
      <c r="K3355" s="3" t="s">
        <v>13499</v>
      </c>
      <c r="L3355" s="3" t="s">
        <v>13500</v>
      </c>
      <c r="M3355" s="3" t="n">
        <v>818784</v>
      </c>
      <c r="N3355" s="3" t="s">
        <v>3602</v>
      </c>
      <c r="O3355" s="1" t="n">
        <v>802398</v>
      </c>
      <c r="P3355" s="1" t="n">
        <v>98</v>
      </c>
      <c r="Q3355" s="1" t="s">
        <v>20</v>
      </c>
      <c r="R3355" s="1" t="s">
        <v>27</v>
      </c>
      <c r="S3355" s="1" t="s">
        <v>28</v>
      </c>
      <c r="T3355" s="1" t="s">
        <v>29</v>
      </c>
    </row>
    <row r="3356" customFormat="false" ht="18.7" hidden="false" customHeight="true" outlineLevel="0" collapsed="false">
      <c r="A3356" s="1" t="n">
        <v>3355</v>
      </c>
      <c r="B3356" s="6" t="str">
        <f aca="false">HYPERLINK("https://mncourtfraud.com/file/MCRO_27-CR-23-21403_Findings of Fact, Conclusions of Law and Order_2024-04-26_20240430074934.pdf","MCRO_27-CR-23-21403_Findings of Fact, Conclusions of Law and Order_2024-04-26_20240430074934.pdf")</f>
        <v>MCRO_27-CR-23-21403_Findings of Fact, Conclusions of Law and Order_2024-04-26_20240430074934.pdf</v>
      </c>
      <c r="C3356" s="1" t="n">
        <v>6</v>
      </c>
      <c r="D3356" s="1" t="n">
        <v>11</v>
      </c>
      <c r="E3356" s="1" t="n">
        <v>11</v>
      </c>
      <c r="F3356" s="3" t="s">
        <v>20</v>
      </c>
      <c r="G3356" s="3" t="s">
        <v>13501</v>
      </c>
      <c r="H3356" s="1" t="s">
        <v>22</v>
      </c>
      <c r="I3356" s="1" t="n">
        <v>20240430074934</v>
      </c>
      <c r="J3356" s="3" t="s">
        <v>13502</v>
      </c>
      <c r="K3356" s="3" t="s">
        <v>13503</v>
      </c>
      <c r="L3356" s="3" t="s">
        <v>13504</v>
      </c>
      <c r="M3356" s="3" t="n">
        <v>444949</v>
      </c>
      <c r="N3356" s="3" t="s">
        <v>3164</v>
      </c>
      <c r="O3356" s="1" t="n">
        <v>428563</v>
      </c>
      <c r="P3356" s="1" t="n">
        <v>96.32</v>
      </c>
      <c r="Q3356" s="1" t="s">
        <v>20</v>
      </c>
      <c r="R3356" s="1" t="s">
        <v>27</v>
      </c>
      <c r="S3356" s="1" t="s">
        <v>28</v>
      </c>
      <c r="T3356" s="1" t="s">
        <v>29</v>
      </c>
    </row>
    <row r="3357" customFormat="false" ht="18.7" hidden="false" customHeight="true" outlineLevel="0" collapsed="false">
      <c r="A3357" s="1" t="n">
        <v>3356</v>
      </c>
      <c r="B3357" s="6" t="str">
        <f aca="false">HYPERLINK("https://mncourtfraud.com/file/MCRO_27-CR-23-21403_Notice of Hearing_2023-10-09_20240430074938.pdf","MCRO_27-CR-23-21403_Notice of Hearing_2023-10-09_20240430074938.pdf")</f>
        <v>MCRO_27-CR-23-21403_Notice of Hearing_2023-10-09_20240430074938.pdf</v>
      </c>
      <c r="C3357" s="1" t="n">
        <v>4</v>
      </c>
      <c r="D3357" s="1" t="n">
        <v>1</v>
      </c>
      <c r="E3357" s="1" t="n">
        <v>1</v>
      </c>
      <c r="F3357" s="3" t="s">
        <v>20</v>
      </c>
      <c r="G3357" s="3" t="s">
        <v>13505</v>
      </c>
      <c r="H3357" s="1" t="s">
        <v>22</v>
      </c>
      <c r="I3357" s="1" t="n">
        <v>20240430074938</v>
      </c>
      <c r="J3357" s="3" t="s">
        <v>13506</v>
      </c>
      <c r="K3357" s="3" t="s">
        <v>13507</v>
      </c>
      <c r="L3357" s="3" t="s">
        <v>13508</v>
      </c>
      <c r="M3357" s="3" t="n">
        <v>101248</v>
      </c>
      <c r="N3357" s="3" t="s">
        <v>435</v>
      </c>
      <c r="O3357" s="1" t="n">
        <v>84862</v>
      </c>
      <c r="P3357" s="1" t="n">
        <v>83.82</v>
      </c>
      <c r="Q3357" s="1" t="s">
        <v>20</v>
      </c>
      <c r="R3357" s="1" t="s">
        <v>27</v>
      </c>
      <c r="S3357" s="1" t="s">
        <v>28</v>
      </c>
      <c r="T3357" s="1" t="s">
        <v>29</v>
      </c>
    </row>
    <row r="3358" customFormat="false" ht="18.7" hidden="false" customHeight="true" outlineLevel="0" collapsed="false">
      <c r="A3358" s="1" t="n">
        <v>3357</v>
      </c>
      <c r="B3358" s="6" t="str">
        <f aca="false">HYPERLINK("https://mncourtfraud.com/file/MCRO_27-CR-23-21403_Notice of Hearing_2024-02-14_20240430074935.pdf","MCRO_27-CR-23-21403_Notice of Hearing_2024-02-14_20240430074935.pdf")</f>
        <v>MCRO_27-CR-23-21403_Notice of Hearing_2024-02-14_20240430074935.pdf</v>
      </c>
      <c r="C3358" s="1" t="n">
        <v>5</v>
      </c>
      <c r="D3358" s="1" t="n">
        <v>1</v>
      </c>
      <c r="E3358" s="1" t="n">
        <v>1</v>
      </c>
      <c r="F3358" s="3" t="s">
        <v>20</v>
      </c>
      <c r="G3358" s="3" t="s">
        <v>13509</v>
      </c>
      <c r="H3358" s="1" t="s">
        <v>22</v>
      </c>
      <c r="I3358" s="1" t="n">
        <v>20240430074935</v>
      </c>
      <c r="J3358" s="3" t="s">
        <v>13510</v>
      </c>
      <c r="K3358" s="3" t="s">
        <v>13511</v>
      </c>
      <c r="L3358" s="3" t="s">
        <v>13512</v>
      </c>
      <c r="M3358" s="3" t="n">
        <v>729133</v>
      </c>
      <c r="N3358" s="3" t="s">
        <v>1278</v>
      </c>
      <c r="O3358" s="1" t="n">
        <v>712747</v>
      </c>
      <c r="P3358" s="1" t="n">
        <v>97.75</v>
      </c>
      <c r="Q3358" s="1" t="s">
        <v>20</v>
      </c>
      <c r="R3358" s="1" t="s">
        <v>27</v>
      </c>
      <c r="S3358" s="1" t="s">
        <v>28</v>
      </c>
      <c r="T3358" s="1" t="s">
        <v>29</v>
      </c>
    </row>
    <row r="3359" customFormat="false" ht="18.7" hidden="false" customHeight="true" outlineLevel="0" collapsed="false">
      <c r="A3359" s="1" t="n">
        <v>3358</v>
      </c>
      <c r="B3359" s="6" t="str">
        <f aca="false">HYPERLINK("https://mncourtfraud.com/file/MCRO_27-CR-23-21403_Notice of Remote Hearing with Instructions_2023-10-09_20240430074939.pdf","MCRO_27-CR-23-21403_Notice of Remote Hearing with Instructions_2023-10-09_20240430074939.pdf")</f>
        <v>MCRO_27-CR-23-21403_Notice of Remote Hearing with Instructions_2023-10-09_20240430074939.pdf</v>
      </c>
      <c r="C3359" s="1" t="n">
        <v>4</v>
      </c>
      <c r="D3359" s="1" t="n">
        <v>1</v>
      </c>
      <c r="E3359" s="1" t="n">
        <v>1</v>
      </c>
      <c r="F3359" s="3" t="s">
        <v>20</v>
      </c>
      <c r="G3359" s="3" t="s">
        <v>13513</v>
      </c>
      <c r="H3359" s="1" t="s">
        <v>22</v>
      </c>
      <c r="I3359" s="1" t="n">
        <v>20240430074939</v>
      </c>
      <c r="J3359" s="3" t="s">
        <v>13514</v>
      </c>
      <c r="K3359" s="3" t="s">
        <v>13515</v>
      </c>
      <c r="L3359" s="3" t="s">
        <v>13516</v>
      </c>
      <c r="M3359" s="3" t="n">
        <v>140039</v>
      </c>
      <c r="N3359" s="3" t="s">
        <v>1159</v>
      </c>
      <c r="O3359" s="1" t="n">
        <v>123653</v>
      </c>
      <c r="P3359" s="1" t="n">
        <v>88.3</v>
      </c>
      <c r="Q3359" s="1" t="s">
        <v>20</v>
      </c>
      <c r="R3359" s="1" t="s">
        <v>27</v>
      </c>
      <c r="S3359" s="1" t="s">
        <v>28</v>
      </c>
      <c r="T3359" s="1" t="s">
        <v>29</v>
      </c>
    </row>
    <row r="3360" customFormat="false" ht="18.7" hidden="false" customHeight="true" outlineLevel="0" collapsed="false">
      <c r="A3360" s="1" t="n">
        <v>3359</v>
      </c>
      <c r="B3360" s="6" t="str">
        <f aca="false">HYPERLINK("https://mncourtfraud.com/file/MCRO_27-CR-23-21403_Notice of Remote Hearing with Instructions_2023-12-12_20240430074937.pdf","MCRO_27-CR-23-21403_Notice of Remote Hearing with Instructions_2023-12-12_20240430074937.pdf")</f>
        <v>MCRO_27-CR-23-21403_Notice of Remote Hearing with Instructions_2023-12-12_20240430074937.pdf</v>
      </c>
      <c r="C3360" s="1" t="n">
        <v>5</v>
      </c>
      <c r="D3360" s="1" t="n">
        <v>1</v>
      </c>
      <c r="E3360" s="1" t="n">
        <v>1</v>
      </c>
      <c r="F3360" s="3" t="s">
        <v>20</v>
      </c>
      <c r="G3360" s="3" t="s">
        <v>13517</v>
      </c>
      <c r="H3360" s="1" t="s">
        <v>22</v>
      </c>
      <c r="I3360" s="1" t="n">
        <v>20240430074937</v>
      </c>
      <c r="J3360" s="3" t="s">
        <v>13518</v>
      </c>
      <c r="K3360" s="3" t="s">
        <v>13519</v>
      </c>
      <c r="L3360" s="3" t="s">
        <v>13520</v>
      </c>
      <c r="M3360" s="3" t="n">
        <v>847148</v>
      </c>
      <c r="N3360" s="3" t="s">
        <v>1574</v>
      </c>
      <c r="O3360" s="1" t="n">
        <v>830762</v>
      </c>
      <c r="P3360" s="1" t="n">
        <v>98.07</v>
      </c>
      <c r="Q3360" s="1" t="s">
        <v>20</v>
      </c>
      <c r="R3360" s="1" t="s">
        <v>27</v>
      </c>
      <c r="S3360" s="1" t="s">
        <v>28</v>
      </c>
      <c r="T3360" s="1" t="s">
        <v>29</v>
      </c>
    </row>
    <row r="3361" customFormat="false" ht="18.7" hidden="false" customHeight="true" outlineLevel="0" collapsed="false">
      <c r="A3361" s="1" t="n">
        <v>3360</v>
      </c>
      <c r="B3361" s="6" t="str">
        <f aca="false">HYPERLINK("https://mncourtfraud.com/file/MCRO_27-CR-23-21403_Notice of Remote Hearing with Instructions_2024-02-06_20240430074936.pdf","MCRO_27-CR-23-21403_Notice of Remote Hearing with Instructions_2024-02-06_20240430074936.pdf")</f>
        <v>MCRO_27-CR-23-21403_Notice of Remote Hearing with Instructions_2024-02-06_20240430074936.pdf</v>
      </c>
      <c r="C3361" s="1" t="n">
        <v>5</v>
      </c>
      <c r="D3361" s="1" t="n">
        <v>1</v>
      </c>
      <c r="E3361" s="1" t="n">
        <v>1</v>
      </c>
      <c r="F3361" s="3" t="s">
        <v>20</v>
      </c>
      <c r="G3361" s="3" t="s">
        <v>13521</v>
      </c>
      <c r="H3361" s="1" t="s">
        <v>22</v>
      </c>
      <c r="I3361" s="1" t="n">
        <v>20240430074936</v>
      </c>
      <c r="J3361" s="3" t="s">
        <v>13522</v>
      </c>
      <c r="K3361" s="3" t="s">
        <v>13523</v>
      </c>
      <c r="L3361" s="3" t="s">
        <v>13524</v>
      </c>
      <c r="M3361" s="3" t="n">
        <v>844679</v>
      </c>
      <c r="N3361" s="3" t="s">
        <v>2852</v>
      </c>
      <c r="O3361" s="1" t="n">
        <v>828293</v>
      </c>
      <c r="P3361" s="1" t="n">
        <v>98.06</v>
      </c>
      <c r="Q3361" s="1" t="s">
        <v>20</v>
      </c>
      <c r="R3361" s="1" t="s">
        <v>27</v>
      </c>
      <c r="S3361" s="1" t="s">
        <v>28</v>
      </c>
      <c r="T3361" s="1" t="s">
        <v>29</v>
      </c>
    </row>
    <row r="3362" customFormat="false" ht="18.7" hidden="false" customHeight="true" outlineLevel="0" collapsed="false">
      <c r="A3362" s="1" t="n">
        <v>3361</v>
      </c>
      <c r="B3362" s="6" t="str">
        <f aca="false">HYPERLINK("https://mncourtfraud.com/file/MCRO_27-CR-23-21403_Order-Evaluation for Competency to Proceed (Rule 20.01)_2023-10-09_20240430074940.pdf","MCRO_27-CR-23-21403_Order-Evaluation for Competency to Proceed (Rule 20.01)_2023-10-09_20240430074940.pdf")</f>
        <v>MCRO_27-CR-23-21403_Order-Evaluation for Competency to Proceed (Rule 20.01)_2023-10-09_20240430074940.pdf</v>
      </c>
      <c r="C3362" s="1" t="n">
        <v>4</v>
      </c>
      <c r="D3362" s="1" t="n">
        <v>1</v>
      </c>
      <c r="E3362" s="1" t="n">
        <v>1</v>
      </c>
      <c r="F3362" s="3" t="s">
        <v>20</v>
      </c>
      <c r="G3362" s="3" t="s">
        <v>13525</v>
      </c>
      <c r="H3362" s="1" t="s">
        <v>22</v>
      </c>
      <c r="I3362" s="1" t="n">
        <v>20240430074940</v>
      </c>
      <c r="J3362" s="3" t="s">
        <v>13526</v>
      </c>
      <c r="K3362" s="3" t="s">
        <v>13527</v>
      </c>
      <c r="L3362" s="3" t="s">
        <v>13528</v>
      </c>
      <c r="M3362" s="3" t="n">
        <v>183158</v>
      </c>
      <c r="N3362" s="3" t="s">
        <v>347</v>
      </c>
      <c r="O3362" s="1" t="n">
        <v>166772</v>
      </c>
      <c r="P3362" s="1" t="n">
        <v>91.05</v>
      </c>
      <c r="Q3362" s="1" t="s">
        <v>20</v>
      </c>
      <c r="R3362" s="1" t="s">
        <v>27</v>
      </c>
      <c r="S3362" s="1" t="s">
        <v>28</v>
      </c>
      <c r="T3362" s="1" t="s">
        <v>29</v>
      </c>
    </row>
    <row r="3363" customFormat="false" ht="18.7" hidden="false" customHeight="true" outlineLevel="0" collapsed="false">
      <c r="A3363" s="1" t="n">
        <v>3362</v>
      </c>
      <c r="B3363" s="6" t="str">
        <f aca="false">HYPERLINK("https://mncourtfraud.com/file/MCRO_27-CR-23-2152_Citation Data Summary_2023-01-27_20240430072556.pdf","MCRO_27-CR-23-2152_Citation Data Summary_2023-01-27_20240430072556.pdf")</f>
        <v>MCRO_27-CR-23-2152_Citation Data Summary_2023-01-27_20240430072556.pdf</v>
      </c>
      <c r="C3363" s="1" t="n">
        <v>5</v>
      </c>
      <c r="D3363" s="1" t="n">
        <v>2</v>
      </c>
      <c r="E3363" s="1" t="n">
        <v>2</v>
      </c>
      <c r="F3363" s="3" t="s">
        <v>20</v>
      </c>
      <c r="G3363" s="3" t="s">
        <v>13529</v>
      </c>
      <c r="H3363" s="1" t="s">
        <v>22</v>
      </c>
      <c r="I3363" s="1" t="n">
        <v>20240430072556</v>
      </c>
      <c r="J3363" s="3" t="s">
        <v>13530</v>
      </c>
      <c r="K3363" s="3" t="s">
        <v>13531</v>
      </c>
      <c r="L3363" s="3" t="s">
        <v>13532</v>
      </c>
      <c r="M3363" s="3" t="n">
        <v>103122</v>
      </c>
      <c r="N3363" s="3" t="s">
        <v>535</v>
      </c>
      <c r="O3363" s="1" t="n">
        <v>86736</v>
      </c>
      <c r="P3363" s="1" t="n">
        <v>84.11</v>
      </c>
      <c r="Q3363" s="1" t="s">
        <v>20</v>
      </c>
      <c r="R3363" s="1" t="s">
        <v>27</v>
      </c>
      <c r="S3363" s="1" t="s">
        <v>28</v>
      </c>
      <c r="T3363" s="1" t="s">
        <v>29</v>
      </c>
    </row>
    <row r="3364" customFormat="false" ht="18.7" hidden="false" customHeight="true" outlineLevel="0" collapsed="false">
      <c r="A3364" s="1" t="n">
        <v>3363</v>
      </c>
      <c r="B3364" s="6" t="str">
        <f aca="false">HYPERLINK("https://mncourtfraud.com/file/MCRO_27-CR-23-2152_Notice of Hearing_2023-04-20_20240430072554.pdf","MCRO_27-CR-23-2152_Notice of Hearing_2023-04-20_20240430072554.pdf")</f>
        <v>MCRO_27-CR-23-2152_Notice of Hearing_2023-04-20_20240430072554.pdf</v>
      </c>
      <c r="C3364" s="1" t="n">
        <v>5</v>
      </c>
      <c r="D3364" s="1" t="n">
        <v>1</v>
      </c>
      <c r="E3364" s="1" t="n">
        <v>1</v>
      </c>
      <c r="F3364" s="3" t="s">
        <v>20</v>
      </c>
      <c r="G3364" s="3" t="s">
        <v>13533</v>
      </c>
      <c r="H3364" s="1" t="s">
        <v>22</v>
      </c>
      <c r="I3364" s="1" t="n">
        <v>20240430072554</v>
      </c>
      <c r="J3364" s="3" t="s">
        <v>13534</v>
      </c>
      <c r="K3364" s="3" t="s">
        <v>13535</v>
      </c>
      <c r="L3364" s="3" t="s">
        <v>13536</v>
      </c>
      <c r="M3364" s="3" t="n">
        <v>740669</v>
      </c>
      <c r="N3364" s="3" t="s">
        <v>13537</v>
      </c>
      <c r="O3364" s="1" t="n">
        <v>724283</v>
      </c>
      <c r="P3364" s="1" t="n">
        <v>97.79</v>
      </c>
      <c r="Q3364" s="1" t="s">
        <v>20</v>
      </c>
      <c r="R3364" s="1" t="s">
        <v>27</v>
      </c>
      <c r="S3364" s="1" t="s">
        <v>28</v>
      </c>
      <c r="T3364" s="1" t="s">
        <v>29</v>
      </c>
    </row>
    <row r="3365" customFormat="false" ht="18.7" hidden="false" customHeight="true" outlineLevel="0" collapsed="false">
      <c r="A3365" s="1" t="n">
        <v>3364</v>
      </c>
      <c r="B3365" s="6" t="str">
        <f aca="false">HYPERLINK("https://mncourtfraud.com/file/MCRO_27-CR-23-2152_Notice of Hearing_2023-05-12_20240430072552.pdf","MCRO_27-CR-23-2152_Notice of Hearing_2023-05-12_20240430072552.pdf")</f>
        <v>MCRO_27-CR-23-2152_Notice of Hearing_2023-05-12_20240430072552.pdf</v>
      </c>
      <c r="C3365" s="1" t="n">
        <v>4</v>
      </c>
      <c r="D3365" s="1" t="n">
        <v>1</v>
      </c>
      <c r="E3365" s="1" t="n">
        <v>1</v>
      </c>
      <c r="F3365" s="3" t="s">
        <v>20</v>
      </c>
      <c r="G3365" s="3" t="s">
        <v>13538</v>
      </c>
      <c r="H3365" s="1" t="s">
        <v>22</v>
      </c>
      <c r="I3365" s="1" t="n">
        <v>20240430072552</v>
      </c>
      <c r="J3365" s="3" t="s">
        <v>13539</v>
      </c>
      <c r="K3365" s="3" t="s">
        <v>13540</v>
      </c>
      <c r="L3365" s="3" t="s">
        <v>13541</v>
      </c>
      <c r="M3365" s="3" t="n">
        <v>104875</v>
      </c>
      <c r="N3365" s="3" t="s">
        <v>435</v>
      </c>
      <c r="O3365" s="1" t="n">
        <v>88489</v>
      </c>
      <c r="P3365" s="1" t="n">
        <v>84.38</v>
      </c>
      <c r="Q3365" s="1" t="s">
        <v>20</v>
      </c>
      <c r="R3365" s="1" t="s">
        <v>27</v>
      </c>
      <c r="S3365" s="1" t="s">
        <v>28</v>
      </c>
      <c r="T3365" s="1" t="s">
        <v>29</v>
      </c>
    </row>
    <row r="3366" customFormat="false" ht="18.7" hidden="false" customHeight="true" outlineLevel="0" collapsed="false">
      <c r="A3366" s="1" t="n">
        <v>3365</v>
      </c>
      <c r="B3366" s="6" t="str">
        <f aca="false">HYPERLINK("https://mncourtfraud.com/file/MCRO_27-CR-23-2152_Notice of Hearing_2023-08-21_20240430072547.pdf","MCRO_27-CR-23-2152_Notice of Hearing_2023-08-21_20240430072547.pdf")</f>
        <v>MCRO_27-CR-23-2152_Notice of Hearing_2023-08-21_20240430072547.pdf</v>
      </c>
      <c r="C3366" s="1" t="n">
        <v>4</v>
      </c>
      <c r="D3366" s="1" t="n">
        <v>1</v>
      </c>
      <c r="E3366" s="1" t="n">
        <v>1</v>
      </c>
      <c r="F3366" s="3" t="s">
        <v>20</v>
      </c>
      <c r="G3366" s="3" t="s">
        <v>13542</v>
      </c>
      <c r="H3366" s="1" t="s">
        <v>22</v>
      </c>
      <c r="I3366" s="1" t="n">
        <v>20240430072547</v>
      </c>
      <c r="J3366" s="3" t="s">
        <v>13543</v>
      </c>
      <c r="K3366" s="3" t="s">
        <v>13544</v>
      </c>
      <c r="L3366" s="3" t="s">
        <v>13545</v>
      </c>
      <c r="M3366" s="3" t="n">
        <v>102261</v>
      </c>
      <c r="N3366" s="3" t="s">
        <v>435</v>
      </c>
      <c r="O3366" s="1" t="n">
        <v>85875</v>
      </c>
      <c r="P3366" s="1" t="n">
        <v>83.98</v>
      </c>
      <c r="Q3366" s="1" t="s">
        <v>20</v>
      </c>
      <c r="R3366" s="1" t="s">
        <v>27</v>
      </c>
      <c r="S3366" s="1" t="s">
        <v>28</v>
      </c>
      <c r="T3366" s="1" t="s">
        <v>29</v>
      </c>
    </row>
    <row r="3367" customFormat="false" ht="18.7" hidden="false" customHeight="true" outlineLevel="0" collapsed="false">
      <c r="A3367" s="1" t="n">
        <v>3366</v>
      </c>
      <c r="B3367" s="6" t="str">
        <f aca="false">HYPERLINK("https://mncourtfraud.com/file/MCRO_27-CR-23-2152_Notice of Hearing_2023-08-23_20240430072544.pdf","MCRO_27-CR-23-2152_Notice of Hearing_2023-08-23_20240430072544.pdf")</f>
        <v>MCRO_27-CR-23-2152_Notice of Hearing_2023-08-23_20240430072544.pdf</v>
      </c>
      <c r="C3367" s="1" t="n">
        <v>4</v>
      </c>
      <c r="D3367" s="1" t="n">
        <v>1</v>
      </c>
      <c r="E3367" s="1" t="n">
        <v>1</v>
      </c>
      <c r="F3367" s="3" t="s">
        <v>20</v>
      </c>
      <c r="G3367" s="3" t="s">
        <v>13546</v>
      </c>
      <c r="H3367" s="1" t="s">
        <v>22</v>
      </c>
      <c r="I3367" s="1" t="n">
        <v>20240430072544</v>
      </c>
      <c r="J3367" s="3" t="s">
        <v>13547</v>
      </c>
      <c r="K3367" s="3" t="s">
        <v>13548</v>
      </c>
      <c r="L3367" s="3" t="s">
        <v>13549</v>
      </c>
      <c r="M3367" s="3" t="n">
        <v>421856</v>
      </c>
      <c r="N3367" s="3" t="s">
        <v>158</v>
      </c>
      <c r="O3367" s="1" t="n">
        <v>405470</v>
      </c>
      <c r="P3367" s="1" t="n">
        <v>96.12</v>
      </c>
      <c r="Q3367" s="1" t="s">
        <v>20</v>
      </c>
      <c r="R3367" s="1" t="s">
        <v>27</v>
      </c>
      <c r="S3367" s="1" t="s">
        <v>28</v>
      </c>
      <c r="T3367" s="1" t="s">
        <v>29</v>
      </c>
    </row>
    <row r="3368" customFormat="false" ht="18.7" hidden="false" customHeight="true" outlineLevel="0" collapsed="false">
      <c r="A3368" s="1" t="n">
        <v>3367</v>
      </c>
      <c r="B3368" s="6" t="str">
        <f aca="false">HYPERLINK("https://mncourtfraud.com/file/MCRO_27-CR-23-2152_Notice of Hearing_2023-11-28_20240430072538.pdf","MCRO_27-CR-23-2152_Notice of Hearing_2023-11-28_20240430072538.pdf")</f>
        <v>MCRO_27-CR-23-2152_Notice of Hearing_2023-11-28_20240430072538.pdf</v>
      </c>
      <c r="C3368" s="1" t="n">
        <v>5</v>
      </c>
      <c r="D3368" s="1" t="n">
        <v>1</v>
      </c>
      <c r="E3368" s="1" t="n">
        <v>1</v>
      </c>
      <c r="F3368" s="3" t="s">
        <v>20</v>
      </c>
      <c r="G3368" s="3" t="s">
        <v>13550</v>
      </c>
      <c r="H3368" s="1" t="s">
        <v>22</v>
      </c>
      <c r="I3368" s="1" t="n">
        <v>20240430072538</v>
      </c>
      <c r="J3368" s="3" t="s">
        <v>13551</v>
      </c>
      <c r="K3368" s="3" t="s">
        <v>13552</v>
      </c>
      <c r="L3368" s="3" t="s">
        <v>13553</v>
      </c>
      <c r="M3368" s="3" t="n">
        <v>729078</v>
      </c>
      <c r="N3368" s="3" t="s">
        <v>1278</v>
      </c>
      <c r="O3368" s="1" t="n">
        <v>712692</v>
      </c>
      <c r="P3368" s="1" t="n">
        <v>97.75</v>
      </c>
      <c r="Q3368" s="1" t="s">
        <v>20</v>
      </c>
      <c r="R3368" s="1" t="s">
        <v>27</v>
      </c>
      <c r="S3368" s="1" t="s">
        <v>28</v>
      </c>
      <c r="T3368" s="1" t="s">
        <v>29</v>
      </c>
    </row>
    <row r="3369" customFormat="false" ht="18.7" hidden="false" customHeight="true" outlineLevel="0" collapsed="false">
      <c r="A3369" s="1" t="n">
        <v>3368</v>
      </c>
      <c r="B3369" s="6" t="str">
        <f aca="false">HYPERLINK("https://mncourtfraud.com/file/MCRO_27-CR-23-2152_Notice of Hearing_2023-12-19_20240430072534.pdf","MCRO_27-CR-23-2152_Notice of Hearing_2023-12-19_20240430072534.pdf")</f>
        <v>MCRO_27-CR-23-2152_Notice of Hearing_2023-12-19_20240430072534.pdf</v>
      </c>
      <c r="C3369" s="1" t="n">
        <v>4</v>
      </c>
      <c r="D3369" s="1" t="n">
        <v>1</v>
      </c>
      <c r="E3369" s="1" t="n">
        <v>1</v>
      </c>
      <c r="F3369" s="3" t="s">
        <v>20</v>
      </c>
      <c r="G3369" s="3" t="s">
        <v>13554</v>
      </c>
      <c r="H3369" s="1" t="s">
        <v>22</v>
      </c>
      <c r="I3369" s="1" t="n">
        <v>20240430072534</v>
      </c>
      <c r="J3369" s="3" t="s">
        <v>13555</v>
      </c>
      <c r="K3369" s="3" t="s">
        <v>13556</v>
      </c>
      <c r="L3369" s="3" t="s">
        <v>13557</v>
      </c>
      <c r="M3369" s="3" t="n">
        <v>143626</v>
      </c>
      <c r="N3369" s="3" t="s">
        <v>418</v>
      </c>
      <c r="O3369" s="1" t="n">
        <v>127240</v>
      </c>
      <c r="P3369" s="1" t="n">
        <v>88.59</v>
      </c>
      <c r="Q3369" s="1" t="s">
        <v>20</v>
      </c>
      <c r="R3369" s="1" t="s">
        <v>27</v>
      </c>
      <c r="S3369" s="1" t="s">
        <v>28</v>
      </c>
      <c r="T3369" s="1" t="s">
        <v>29</v>
      </c>
    </row>
    <row r="3370" customFormat="false" ht="18.7" hidden="false" customHeight="true" outlineLevel="0" collapsed="false">
      <c r="A3370" s="1" t="n">
        <v>3369</v>
      </c>
      <c r="B3370" s="6" t="str">
        <f aca="false">HYPERLINK("https://mncourtfraud.com/file/MCRO_27-CR-23-2152_Notice of Remote Hearing with Instructions_2023-05-12_20240430072553.pdf","MCRO_27-CR-23-2152_Notice of Remote Hearing with Instructions_2023-05-12_20240430072553.pdf")</f>
        <v>MCRO_27-CR-23-2152_Notice of Remote Hearing with Instructions_2023-05-12_20240430072553.pdf</v>
      </c>
      <c r="C3370" s="1" t="n">
        <v>4</v>
      </c>
      <c r="D3370" s="1" t="n">
        <v>1</v>
      </c>
      <c r="E3370" s="1" t="n">
        <v>1</v>
      </c>
      <c r="F3370" s="3" t="s">
        <v>20</v>
      </c>
      <c r="G3370" s="3" t="s">
        <v>13558</v>
      </c>
      <c r="H3370" s="1" t="s">
        <v>22</v>
      </c>
      <c r="I3370" s="1" t="n">
        <v>20240430072553</v>
      </c>
      <c r="J3370" s="3" t="s">
        <v>13559</v>
      </c>
      <c r="K3370" s="3" t="s">
        <v>13560</v>
      </c>
      <c r="L3370" s="3" t="s">
        <v>13561</v>
      </c>
      <c r="M3370" s="3" t="n">
        <v>137497</v>
      </c>
      <c r="N3370" s="3" t="s">
        <v>1159</v>
      </c>
      <c r="O3370" s="1" t="n">
        <v>121111</v>
      </c>
      <c r="P3370" s="1" t="n">
        <v>88.08</v>
      </c>
      <c r="Q3370" s="1" t="s">
        <v>20</v>
      </c>
      <c r="R3370" s="1" t="s">
        <v>27</v>
      </c>
      <c r="S3370" s="1" t="s">
        <v>28</v>
      </c>
      <c r="T3370" s="1" t="s">
        <v>29</v>
      </c>
    </row>
    <row r="3371" customFormat="false" ht="18.7" hidden="false" customHeight="true" outlineLevel="0" collapsed="false">
      <c r="A3371" s="1" t="n">
        <v>3370</v>
      </c>
      <c r="B3371" s="6" t="str">
        <f aca="false">HYPERLINK("https://mncourtfraud.com/file/MCRO_27-CR-23-2152_Notice of Remote Hearing with Instructions_2023-08-21_20240430072548.pdf","MCRO_27-CR-23-2152_Notice of Remote Hearing with Instructions_2023-08-21_20240430072548.pdf")</f>
        <v>MCRO_27-CR-23-2152_Notice of Remote Hearing with Instructions_2023-08-21_20240430072548.pdf</v>
      </c>
      <c r="C3371" s="1" t="n">
        <v>4</v>
      </c>
      <c r="D3371" s="1" t="n">
        <v>1</v>
      </c>
      <c r="E3371" s="1" t="n">
        <v>1</v>
      </c>
      <c r="F3371" s="3" t="s">
        <v>20</v>
      </c>
      <c r="G3371" s="3" t="s">
        <v>13562</v>
      </c>
      <c r="H3371" s="1" t="s">
        <v>22</v>
      </c>
      <c r="I3371" s="1" t="n">
        <v>20240430072548</v>
      </c>
      <c r="J3371" s="3" t="s">
        <v>13563</v>
      </c>
      <c r="K3371" s="3" t="s">
        <v>13564</v>
      </c>
      <c r="L3371" s="3" t="s">
        <v>13565</v>
      </c>
      <c r="M3371" s="3" t="n">
        <v>137386</v>
      </c>
      <c r="N3371" s="3" t="s">
        <v>1159</v>
      </c>
      <c r="O3371" s="1" t="n">
        <v>121000</v>
      </c>
      <c r="P3371" s="1" t="n">
        <v>88.07</v>
      </c>
      <c r="Q3371" s="1" t="s">
        <v>20</v>
      </c>
      <c r="R3371" s="1" t="s">
        <v>27</v>
      </c>
      <c r="S3371" s="1" t="s">
        <v>28</v>
      </c>
      <c r="T3371" s="1" t="s">
        <v>29</v>
      </c>
    </row>
    <row r="3372" customFormat="false" ht="18.7" hidden="false" customHeight="true" outlineLevel="0" collapsed="false">
      <c r="A3372" s="1" t="n">
        <v>3371</v>
      </c>
      <c r="B3372" s="6" t="str">
        <f aca="false">HYPERLINK("https://mncourtfraud.com/file/MCRO_27-CR-23-2152_Notice of Remote Hearing with Instructions_2023-08-23_20240430072545.pdf","MCRO_27-CR-23-2152_Notice of Remote Hearing with Instructions_2023-08-23_20240430072545.pdf")</f>
        <v>MCRO_27-CR-23-2152_Notice of Remote Hearing with Instructions_2023-08-23_20240430072545.pdf</v>
      </c>
      <c r="C3372" s="1" t="n">
        <v>4</v>
      </c>
      <c r="D3372" s="1" t="n">
        <v>1</v>
      </c>
      <c r="E3372" s="1" t="n">
        <v>1</v>
      </c>
      <c r="F3372" s="3" t="s">
        <v>20</v>
      </c>
      <c r="G3372" s="3" t="s">
        <v>13566</v>
      </c>
      <c r="H3372" s="1" t="s">
        <v>22</v>
      </c>
      <c r="I3372" s="1" t="n">
        <v>20240430072545</v>
      </c>
      <c r="J3372" s="3" t="s">
        <v>13567</v>
      </c>
      <c r="K3372" s="3" t="s">
        <v>13568</v>
      </c>
      <c r="L3372" s="3" t="s">
        <v>13569</v>
      </c>
      <c r="M3372" s="3" t="n">
        <v>138937</v>
      </c>
      <c r="N3372" s="3" t="s">
        <v>1159</v>
      </c>
      <c r="O3372" s="1" t="n">
        <v>122551</v>
      </c>
      <c r="P3372" s="1" t="n">
        <v>88.21</v>
      </c>
      <c r="Q3372" s="1" t="s">
        <v>20</v>
      </c>
      <c r="R3372" s="1" t="s">
        <v>27</v>
      </c>
      <c r="S3372" s="1" t="s">
        <v>28</v>
      </c>
      <c r="T3372" s="1" t="s">
        <v>29</v>
      </c>
    </row>
    <row r="3373" customFormat="false" ht="18.7" hidden="false" customHeight="true" outlineLevel="0" collapsed="false">
      <c r="A3373" s="1" t="n">
        <v>3372</v>
      </c>
      <c r="B3373" s="6" t="str">
        <f aca="false">HYPERLINK("https://mncourtfraud.com/file/MCRO_27-CR-23-2152_Notice of Remote Hearing with Instructions_2023-10-24_20240430072542.pdf","MCRO_27-CR-23-2152_Notice of Remote Hearing with Instructions_2023-10-24_20240430072542.pdf")</f>
        <v>MCRO_27-CR-23-2152_Notice of Remote Hearing with Instructions_2023-10-24_20240430072542.pdf</v>
      </c>
      <c r="C3373" s="1" t="n">
        <v>6</v>
      </c>
      <c r="D3373" s="1" t="n">
        <v>1</v>
      </c>
      <c r="E3373" s="1" t="n">
        <v>1</v>
      </c>
      <c r="F3373" s="3" t="s">
        <v>20</v>
      </c>
      <c r="G3373" s="3" t="s">
        <v>13570</v>
      </c>
      <c r="H3373" s="1" t="s">
        <v>22</v>
      </c>
      <c r="I3373" s="1" t="n">
        <v>20240430072542</v>
      </c>
      <c r="J3373" s="3" t="s">
        <v>13571</v>
      </c>
      <c r="K3373" s="3" t="s">
        <v>13572</v>
      </c>
      <c r="L3373" s="3" t="s">
        <v>13573</v>
      </c>
      <c r="M3373" s="3" t="n">
        <v>909893</v>
      </c>
      <c r="N3373" s="3" t="s">
        <v>109</v>
      </c>
      <c r="O3373" s="1" t="n">
        <v>893507</v>
      </c>
      <c r="P3373" s="1" t="n">
        <v>98.2</v>
      </c>
      <c r="Q3373" s="1" t="s">
        <v>20</v>
      </c>
      <c r="R3373" s="1" t="s">
        <v>27</v>
      </c>
      <c r="S3373" s="1" t="s">
        <v>28</v>
      </c>
      <c r="T3373" s="1" t="s">
        <v>29</v>
      </c>
    </row>
    <row r="3374" customFormat="false" ht="18.7" hidden="false" customHeight="true" outlineLevel="0" collapsed="false">
      <c r="A3374" s="1" t="n">
        <v>3373</v>
      </c>
      <c r="B3374" s="6" t="str">
        <f aca="false">HYPERLINK("https://mncourtfraud.com/file/MCRO_27-CR-23-2152_Notice of Remote Hearing with Instructions_2023-11-28_20240430072538.pdf","MCRO_27-CR-23-2152_Notice of Remote Hearing with Instructions_2023-11-28_20240430072538.pdf")</f>
        <v>MCRO_27-CR-23-2152_Notice of Remote Hearing with Instructions_2023-11-28_20240430072538.pdf</v>
      </c>
      <c r="C3374" s="1" t="n">
        <v>4</v>
      </c>
      <c r="D3374" s="1" t="n">
        <v>1</v>
      </c>
      <c r="E3374" s="1" t="n">
        <v>1</v>
      </c>
      <c r="F3374" s="3" t="s">
        <v>20</v>
      </c>
      <c r="G3374" s="3" t="s">
        <v>13574</v>
      </c>
      <c r="H3374" s="1" t="s">
        <v>22</v>
      </c>
      <c r="I3374" s="1" t="n">
        <v>20240430072538</v>
      </c>
      <c r="J3374" s="3" t="s">
        <v>13575</v>
      </c>
      <c r="K3374" s="3" t="s">
        <v>13576</v>
      </c>
      <c r="L3374" s="3" t="s">
        <v>13577</v>
      </c>
      <c r="M3374" s="3" t="n">
        <v>269838</v>
      </c>
      <c r="N3374" s="3" t="s">
        <v>74</v>
      </c>
      <c r="O3374" s="1" t="n">
        <v>253452</v>
      </c>
      <c r="P3374" s="1" t="n">
        <v>93.93</v>
      </c>
      <c r="Q3374" s="1" t="s">
        <v>20</v>
      </c>
      <c r="R3374" s="1" t="s">
        <v>27</v>
      </c>
      <c r="S3374" s="1" t="s">
        <v>28</v>
      </c>
      <c r="T3374" s="1" t="s">
        <v>29</v>
      </c>
    </row>
    <row r="3375" customFormat="false" ht="18.7" hidden="false" customHeight="true" outlineLevel="0" collapsed="false">
      <c r="A3375" s="1" t="n">
        <v>3374</v>
      </c>
      <c r="B3375" s="6" t="str">
        <f aca="false">HYPERLINK("https://mncourtfraud.com/file/MCRO_27-CR-23-2152_Notice of Remote Hearing with Instructions_2023-12-19_20240430072535.pdf","MCRO_27-CR-23-2152_Notice of Remote Hearing with Instructions_2023-12-19_20240430072535.pdf")</f>
        <v>MCRO_27-CR-23-2152_Notice of Remote Hearing with Instructions_2023-12-19_20240430072535.pdf</v>
      </c>
      <c r="C3375" s="1" t="n">
        <v>6</v>
      </c>
      <c r="D3375" s="1" t="n">
        <v>1</v>
      </c>
      <c r="E3375" s="1" t="n">
        <v>1</v>
      </c>
      <c r="F3375" s="3" t="s">
        <v>20</v>
      </c>
      <c r="G3375" s="3" t="s">
        <v>13578</v>
      </c>
      <c r="H3375" s="1" t="s">
        <v>22</v>
      </c>
      <c r="I3375" s="1" t="n">
        <v>20240430072535</v>
      </c>
      <c r="J3375" s="3" t="s">
        <v>13579</v>
      </c>
      <c r="K3375" s="3" t="s">
        <v>13580</v>
      </c>
      <c r="L3375" s="3" t="s">
        <v>13581</v>
      </c>
      <c r="M3375" s="3" t="n">
        <v>911775</v>
      </c>
      <c r="N3375" s="3" t="s">
        <v>931</v>
      </c>
      <c r="O3375" s="1" t="n">
        <v>895389</v>
      </c>
      <c r="P3375" s="1" t="n">
        <v>98.2</v>
      </c>
      <c r="Q3375" s="1" t="s">
        <v>20</v>
      </c>
      <c r="R3375" s="1" t="s">
        <v>27</v>
      </c>
      <c r="S3375" s="1" t="s">
        <v>28</v>
      </c>
      <c r="T3375" s="1" t="s">
        <v>29</v>
      </c>
    </row>
    <row r="3376" customFormat="false" ht="18.7" hidden="false" customHeight="true" outlineLevel="0" collapsed="false">
      <c r="A3376" s="1" t="n">
        <v>3375</v>
      </c>
      <c r="B3376" s="6" t="str">
        <f aca="false">HYPERLINK("https://mncourtfraud.com/file/MCRO_27-CR-23-2152_Order-Evaluation for Competency to Proceed (Rule 20.01)_2023-05-12_20240430072551.pdf","MCRO_27-CR-23-2152_Order-Evaluation for Competency to Proceed (Rule 20.01)_2023-05-12_20240430072551.pdf")</f>
        <v>MCRO_27-CR-23-2152_Order-Evaluation for Competency to Proceed (Rule 20.01)_2023-05-12_20240430072551.pdf</v>
      </c>
      <c r="C3376" s="1" t="n">
        <v>4</v>
      </c>
      <c r="D3376" s="1" t="n">
        <v>1</v>
      </c>
      <c r="E3376" s="1" t="n">
        <v>1</v>
      </c>
      <c r="F3376" s="3" t="s">
        <v>20</v>
      </c>
      <c r="G3376" s="3" t="s">
        <v>13582</v>
      </c>
      <c r="H3376" s="1" t="s">
        <v>22</v>
      </c>
      <c r="I3376" s="1" t="n">
        <v>20240430072551</v>
      </c>
      <c r="J3376" s="3" t="s">
        <v>13583</v>
      </c>
      <c r="K3376" s="3" t="s">
        <v>13584</v>
      </c>
      <c r="L3376" s="3" t="s">
        <v>13585</v>
      </c>
      <c r="M3376" s="3" t="n">
        <v>178547</v>
      </c>
      <c r="N3376" s="3" t="s">
        <v>347</v>
      </c>
      <c r="O3376" s="1" t="n">
        <v>162161</v>
      </c>
      <c r="P3376" s="1" t="n">
        <v>90.82</v>
      </c>
      <c r="Q3376" s="1" t="s">
        <v>20</v>
      </c>
      <c r="R3376" s="1" t="s">
        <v>27</v>
      </c>
      <c r="S3376" s="1" t="s">
        <v>28</v>
      </c>
      <c r="T3376" s="1" t="s">
        <v>29</v>
      </c>
    </row>
    <row r="3377" customFormat="false" ht="18.7" hidden="false" customHeight="true" outlineLevel="0" collapsed="false">
      <c r="A3377" s="1" t="n">
        <v>3376</v>
      </c>
      <c r="B3377" s="6" t="str">
        <f aca="false">HYPERLINK("https://mncourtfraud.com/file/MCRO_27-CR-23-2152_Order-Evaluation for Competency to Proceed (Rule 20.01)_2023-08-21_20240430072546.pdf","MCRO_27-CR-23-2152_Order-Evaluation for Competency to Proceed (Rule 20.01)_2023-08-21_20240430072546.pdf")</f>
        <v>MCRO_27-CR-23-2152_Order-Evaluation for Competency to Proceed (Rule 20.01)_2023-08-21_20240430072546.pdf</v>
      </c>
      <c r="C3377" s="1" t="n">
        <v>4</v>
      </c>
      <c r="D3377" s="1" t="n">
        <v>1</v>
      </c>
      <c r="E3377" s="1" t="n">
        <v>1</v>
      </c>
      <c r="F3377" s="3" t="s">
        <v>20</v>
      </c>
      <c r="G3377" s="3" t="s">
        <v>13586</v>
      </c>
      <c r="H3377" s="1" t="s">
        <v>22</v>
      </c>
      <c r="I3377" s="1" t="n">
        <v>20240430072546</v>
      </c>
      <c r="J3377" s="3" t="s">
        <v>13587</v>
      </c>
      <c r="K3377" s="3" t="s">
        <v>13588</v>
      </c>
      <c r="L3377" s="3" t="s">
        <v>13589</v>
      </c>
      <c r="M3377" s="3" t="n">
        <v>141990</v>
      </c>
      <c r="N3377" s="3" t="s">
        <v>1159</v>
      </c>
      <c r="O3377" s="1" t="n">
        <v>125604</v>
      </c>
      <c r="P3377" s="1" t="n">
        <v>88.46</v>
      </c>
      <c r="Q3377" s="1" t="s">
        <v>20</v>
      </c>
      <c r="R3377" s="1" t="s">
        <v>27</v>
      </c>
      <c r="S3377" s="1" t="s">
        <v>28</v>
      </c>
      <c r="T3377" s="1" t="s">
        <v>29</v>
      </c>
    </row>
    <row r="3378" customFormat="false" ht="18.7" hidden="false" customHeight="true" outlineLevel="0" collapsed="false">
      <c r="A3378" s="1" t="n">
        <v>3377</v>
      </c>
      <c r="B3378" s="6" t="str">
        <f aca="false">HYPERLINK("https://mncourtfraud.com/file/MCRO_27-CR-23-2152_Order-Evaluation for Competency to Proceed (Rule 20.01)_2023-08-23_20240430072543.pdf","MCRO_27-CR-23-2152_Order-Evaluation for Competency to Proceed (Rule 20.01)_2023-08-23_20240430072543.pdf")</f>
        <v>MCRO_27-CR-23-2152_Order-Evaluation for Competency to Proceed (Rule 20.01)_2023-08-23_20240430072543.pdf</v>
      </c>
      <c r="C3378" s="1" t="n">
        <v>4</v>
      </c>
      <c r="D3378" s="1" t="n">
        <v>1</v>
      </c>
      <c r="E3378" s="1" t="n">
        <v>1</v>
      </c>
      <c r="F3378" s="3" t="s">
        <v>20</v>
      </c>
      <c r="G3378" s="3" t="s">
        <v>13590</v>
      </c>
      <c r="H3378" s="1" t="s">
        <v>22</v>
      </c>
      <c r="I3378" s="1" t="n">
        <v>20240430072543</v>
      </c>
      <c r="J3378" s="3" t="s">
        <v>13591</v>
      </c>
      <c r="K3378" s="3" t="s">
        <v>13592</v>
      </c>
      <c r="L3378" s="3" t="s">
        <v>13593</v>
      </c>
      <c r="M3378" s="3" t="n">
        <v>141727</v>
      </c>
      <c r="N3378" s="3" t="s">
        <v>1159</v>
      </c>
      <c r="O3378" s="1" t="n">
        <v>125341</v>
      </c>
      <c r="P3378" s="1" t="n">
        <v>88.44</v>
      </c>
      <c r="Q3378" s="1" t="s">
        <v>20</v>
      </c>
      <c r="R3378" s="1" t="s">
        <v>27</v>
      </c>
      <c r="S3378" s="1" t="s">
        <v>28</v>
      </c>
      <c r="T3378" s="1" t="s">
        <v>29</v>
      </c>
    </row>
    <row r="3379" customFormat="false" ht="18.7" hidden="false" customHeight="true" outlineLevel="0" collapsed="false">
      <c r="A3379" s="1" t="n">
        <v>3378</v>
      </c>
      <c r="B3379" s="6" t="str">
        <f aca="false">HYPERLINK("https://mncourtfraud.com/file/MCRO_27-CR-23-2152_Order-Evaluation for Competency to Proceed (Rule 20.01)_2023-11-28_20240430072540.pdf","MCRO_27-CR-23-2152_Order-Evaluation for Competency to Proceed (Rule 20.01)_2023-11-28_20240430072540.pdf")</f>
        <v>MCRO_27-CR-23-2152_Order-Evaluation for Competency to Proceed (Rule 20.01)_2023-11-28_20240430072540.pdf</v>
      </c>
      <c r="C3379" s="1" t="n">
        <v>5</v>
      </c>
      <c r="D3379" s="1" t="n">
        <v>1</v>
      </c>
      <c r="E3379" s="1" t="n">
        <v>1</v>
      </c>
      <c r="F3379" s="3" t="s">
        <v>20</v>
      </c>
      <c r="G3379" s="3" t="s">
        <v>13594</v>
      </c>
      <c r="H3379" s="1" t="s">
        <v>22</v>
      </c>
      <c r="I3379" s="1" t="n">
        <v>20240430072540</v>
      </c>
      <c r="J3379" s="3" t="s">
        <v>13595</v>
      </c>
      <c r="K3379" s="3" t="s">
        <v>13596</v>
      </c>
      <c r="L3379" s="3" t="s">
        <v>9790</v>
      </c>
      <c r="M3379" s="3" t="n">
        <v>763673</v>
      </c>
      <c r="N3379" s="3" t="s">
        <v>1257</v>
      </c>
      <c r="O3379" s="1" t="n">
        <v>747287</v>
      </c>
      <c r="P3379" s="1" t="n">
        <v>97.85</v>
      </c>
      <c r="Q3379" s="1" t="s">
        <v>20</v>
      </c>
      <c r="R3379" s="1" t="s">
        <v>27</v>
      </c>
      <c r="S3379" s="1" t="s">
        <v>28</v>
      </c>
      <c r="T3379" s="1" t="s">
        <v>29</v>
      </c>
    </row>
    <row r="3380" customFormat="false" ht="18.7" hidden="false" customHeight="true" outlineLevel="0" collapsed="false">
      <c r="A3380" s="1" t="n">
        <v>3379</v>
      </c>
      <c r="B3380" s="6" t="str">
        <f aca="false">HYPERLINK("https://mncourtfraud.com/file/MCRO_27-CR-23-2152_Returned Mail_2023-07-27_20240430072549.pdf","MCRO_27-CR-23-2152_Returned Mail_2023-07-27_20240430072549.pdf")</f>
        <v>MCRO_27-CR-23-2152_Returned Mail_2023-07-27_20240430072549.pdf</v>
      </c>
      <c r="C3380" s="1" t="n">
        <v>4</v>
      </c>
      <c r="D3380" s="1" t="n">
        <v>1</v>
      </c>
      <c r="E3380" s="1" t="n">
        <v>1</v>
      </c>
      <c r="F3380" s="3" t="s">
        <v>20</v>
      </c>
      <c r="G3380" s="3" t="s">
        <v>13597</v>
      </c>
      <c r="H3380" s="1" t="s">
        <v>22</v>
      </c>
      <c r="I3380" s="1" t="n">
        <v>20240430072549</v>
      </c>
      <c r="J3380" s="3" t="s">
        <v>13598</v>
      </c>
      <c r="K3380" s="3" t="s">
        <v>13599</v>
      </c>
      <c r="L3380" s="3" t="s">
        <v>13600</v>
      </c>
      <c r="M3380" s="3" t="n">
        <v>278041</v>
      </c>
      <c r="N3380" s="3" t="s">
        <v>158</v>
      </c>
      <c r="O3380" s="1" t="n">
        <v>261655</v>
      </c>
      <c r="P3380" s="1" t="n">
        <v>94.11</v>
      </c>
      <c r="Q3380" s="1" t="s">
        <v>20</v>
      </c>
      <c r="R3380" s="1" t="s">
        <v>27</v>
      </c>
      <c r="S3380" s="1" t="s">
        <v>28</v>
      </c>
      <c r="T3380" s="1" t="s">
        <v>29</v>
      </c>
    </row>
    <row r="3381" customFormat="false" ht="18.7" hidden="false" customHeight="true" outlineLevel="0" collapsed="false">
      <c r="A3381" s="1" t="n">
        <v>3380</v>
      </c>
      <c r="B3381" s="6" t="str">
        <f aca="false">HYPERLINK("https://mncourtfraud.com/file/MCRO_27-CR-23-2152_Returned Mail_2023-07-27_20240430072550.pdf","MCRO_27-CR-23-2152_Returned Mail_2023-07-27_20240430072550.pdf")</f>
        <v>MCRO_27-CR-23-2152_Returned Mail_2023-07-27_20240430072550.pdf</v>
      </c>
      <c r="C3381" s="1" t="n">
        <v>4</v>
      </c>
      <c r="D3381" s="1" t="n">
        <v>1</v>
      </c>
      <c r="E3381" s="1" t="n">
        <v>1</v>
      </c>
      <c r="F3381" s="3" t="s">
        <v>20</v>
      </c>
      <c r="G3381" s="3" t="s">
        <v>13601</v>
      </c>
      <c r="H3381" s="1" t="s">
        <v>22</v>
      </c>
      <c r="I3381" s="1" t="n">
        <v>20240430072550</v>
      </c>
      <c r="J3381" s="3" t="s">
        <v>13602</v>
      </c>
      <c r="K3381" s="3" t="s">
        <v>13603</v>
      </c>
      <c r="L3381" s="3" t="s">
        <v>13604</v>
      </c>
      <c r="M3381" s="3" t="n">
        <v>270570</v>
      </c>
      <c r="N3381" s="3" t="s">
        <v>158</v>
      </c>
      <c r="O3381" s="1" t="n">
        <v>254184</v>
      </c>
      <c r="P3381" s="1" t="n">
        <v>93.94</v>
      </c>
      <c r="Q3381" s="1" t="s">
        <v>20</v>
      </c>
      <c r="R3381" s="1" t="s">
        <v>27</v>
      </c>
      <c r="S3381" s="1" t="s">
        <v>28</v>
      </c>
      <c r="T3381" s="1" t="s">
        <v>29</v>
      </c>
    </row>
    <row r="3382" customFormat="false" ht="18.7" hidden="false" customHeight="true" outlineLevel="0" collapsed="false">
      <c r="A3382" s="1" t="n">
        <v>3381</v>
      </c>
      <c r="B3382" s="6" t="str">
        <f aca="false">HYPERLINK("https://mncourtfraud.com/file/MCRO_27-CR-23-2152_Returned Mail_2023-11-02_20240430072540.pdf","MCRO_27-CR-23-2152_Returned Mail_2023-11-02_20240430072540.pdf")</f>
        <v>MCRO_27-CR-23-2152_Returned Mail_2023-11-02_20240430072540.pdf</v>
      </c>
      <c r="C3382" s="1" t="n">
        <v>4</v>
      </c>
      <c r="D3382" s="1" t="n">
        <v>1</v>
      </c>
      <c r="E3382" s="1" t="n">
        <v>1</v>
      </c>
      <c r="F3382" s="3" t="s">
        <v>20</v>
      </c>
      <c r="G3382" s="3" t="s">
        <v>13605</v>
      </c>
      <c r="H3382" s="1" t="s">
        <v>22</v>
      </c>
      <c r="I3382" s="1" t="n">
        <v>20240430072540</v>
      </c>
      <c r="J3382" s="3" t="s">
        <v>13606</v>
      </c>
      <c r="K3382" s="3" t="s">
        <v>13607</v>
      </c>
      <c r="L3382" s="3" t="s">
        <v>13608</v>
      </c>
      <c r="M3382" s="3" t="n">
        <v>103621</v>
      </c>
      <c r="N3382" s="3" t="s">
        <v>435</v>
      </c>
      <c r="O3382" s="1" t="n">
        <v>87235</v>
      </c>
      <c r="P3382" s="1" t="n">
        <v>84.19</v>
      </c>
      <c r="Q3382" s="1" t="s">
        <v>20</v>
      </c>
      <c r="R3382" s="1" t="s">
        <v>27</v>
      </c>
      <c r="S3382" s="1" t="s">
        <v>28</v>
      </c>
      <c r="T3382" s="1" t="s">
        <v>29</v>
      </c>
    </row>
    <row r="3383" customFormat="false" ht="18.7" hidden="false" customHeight="true" outlineLevel="0" collapsed="false">
      <c r="A3383" s="1" t="n">
        <v>3382</v>
      </c>
      <c r="B3383" s="6" t="str">
        <f aca="false">HYPERLINK("https://mncourtfraud.com/file/MCRO_27-CR-23-2152_Returned Mail_2023-12-08_20240430072536.pdf","MCRO_27-CR-23-2152_Returned Mail_2023-12-08_20240430072536.pdf")</f>
        <v>MCRO_27-CR-23-2152_Returned Mail_2023-12-08_20240430072536.pdf</v>
      </c>
      <c r="C3383" s="1" t="n">
        <v>4</v>
      </c>
      <c r="D3383" s="1" t="n">
        <v>1</v>
      </c>
      <c r="E3383" s="1" t="n">
        <v>1</v>
      </c>
      <c r="F3383" s="3" t="s">
        <v>20</v>
      </c>
      <c r="G3383" s="3" t="s">
        <v>13609</v>
      </c>
      <c r="H3383" s="1" t="s">
        <v>22</v>
      </c>
      <c r="I3383" s="1" t="n">
        <v>20240430072536</v>
      </c>
      <c r="J3383" s="3" t="s">
        <v>13610</v>
      </c>
      <c r="K3383" s="3" t="s">
        <v>13611</v>
      </c>
      <c r="L3383" s="3" t="s">
        <v>13612</v>
      </c>
      <c r="M3383" s="3" t="n">
        <v>323565</v>
      </c>
      <c r="N3383" s="3" t="s">
        <v>158</v>
      </c>
      <c r="O3383" s="1" t="n">
        <v>307179</v>
      </c>
      <c r="P3383" s="1" t="n">
        <v>94.94</v>
      </c>
      <c r="Q3383" s="1" t="s">
        <v>20</v>
      </c>
      <c r="R3383" s="1" t="s">
        <v>27</v>
      </c>
      <c r="S3383" s="1" t="s">
        <v>28</v>
      </c>
      <c r="T3383" s="1" t="s">
        <v>29</v>
      </c>
    </row>
    <row r="3384" customFormat="false" ht="18.7" hidden="false" customHeight="true" outlineLevel="0" collapsed="false">
      <c r="A3384" s="1" t="n">
        <v>3383</v>
      </c>
      <c r="B3384" s="6" t="str">
        <f aca="false">HYPERLINK("https://mncourtfraud.com/file/MCRO_27-CR-23-2152_Returned Mail_2023-12-29_20240430072532.pdf","MCRO_27-CR-23-2152_Returned Mail_2023-12-29_20240430072532.pdf")</f>
        <v>MCRO_27-CR-23-2152_Returned Mail_2023-12-29_20240430072532.pdf</v>
      </c>
      <c r="C3384" s="1" t="n">
        <v>4</v>
      </c>
      <c r="D3384" s="1" t="n">
        <v>1</v>
      </c>
      <c r="E3384" s="1" t="n">
        <v>1</v>
      </c>
      <c r="F3384" s="3" t="s">
        <v>20</v>
      </c>
      <c r="G3384" s="3" t="s">
        <v>13613</v>
      </c>
      <c r="H3384" s="1" t="s">
        <v>22</v>
      </c>
      <c r="I3384" s="1" t="n">
        <v>20240430072532</v>
      </c>
      <c r="J3384" s="3" t="s">
        <v>13614</v>
      </c>
      <c r="K3384" s="3" t="s">
        <v>13615</v>
      </c>
      <c r="L3384" s="3" t="s">
        <v>13616</v>
      </c>
      <c r="M3384" s="3" t="n">
        <v>284479</v>
      </c>
      <c r="N3384" s="3" t="s">
        <v>158</v>
      </c>
      <c r="O3384" s="1" t="n">
        <v>268093</v>
      </c>
      <c r="P3384" s="1" t="n">
        <v>94.24</v>
      </c>
      <c r="Q3384" s="1" t="s">
        <v>20</v>
      </c>
      <c r="R3384" s="1" t="s">
        <v>27</v>
      </c>
      <c r="S3384" s="1" t="s">
        <v>28</v>
      </c>
      <c r="T3384" s="1" t="s">
        <v>29</v>
      </c>
    </row>
    <row r="3385" customFormat="false" ht="18.7" hidden="false" customHeight="true" outlineLevel="0" collapsed="false">
      <c r="A3385" s="1" t="n">
        <v>3384</v>
      </c>
      <c r="B3385" s="6" t="str">
        <f aca="false">HYPERLINK("https://mncourtfraud.com/file/MCRO_27-CR-23-2152_Returned Mail_2023-12-29_20240430072533.pdf","MCRO_27-CR-23-2152_Returned Mail_2023-12-29_20240430072533.pdf")</f>
        <v>MCRO_27-CR-23-2152_Returned Mail_2023-12-29_20240430072533.pdf</v>
      </c>
      <c r="C3385" s="1" t="n">
        <v>4</v>
      </c>
      <c r="D3385" s="1" t="n">
        <v>1</v>
      </c>
      <c r="E3385" s="1" t="n">
        <v>1</v>
      </c>
      <c r="F3385" s="3" t="s">
        <v>20</v>
      </c>
      <c r="G3385" s="3" t="s">
        <v>13617</v>
      </c>
      <c r="H3385" s="1" t="s">
        <v>22</v>
      </c>
      <c r="I3385" s="1" t="n">
        <v>20240430072533</v>
      </c>
      <c r="J3385" s="3" t="s">
        <v>13618</v>
      </c>
      <c r="K3385" s="3" t="s">
        <v>13619</v>
      </c>
      <c r="L3385" s="3" t="s">
        <v>13620</v>
      </c>
      <c r="M3385" s="3" t="n">
        <v>294678</v>
      </c>
      <c r="N3385" s="3" t="s">
        <v>158</v>
      </c>
      <c r="O3385" s="1" t="n">
        <v>278292</v>
      </c>
      <c r="P3385" s="1" t="n">
        <v>94.44</v>
      </c>
      <c r="Q3385" s="1" t="s">
        <v>20</v>
      </c>
      <c r="R3385" s="1" t="s">
        <v>27</v>
      </c>
      <c r="S3385" s="1" t="s">
        <v>28</v>
      </c>
      <c r="T3385" s="1" t="s">
        <v>29</v>
      </c>
    </row>
    <row r="3386" customFormat="false" ht="18.7" hidden="false" customHeight="true" outlineLevel="0" collapsed="false">
      <c r="A3386" s="1" t="n">
        <v>3385</v>
      </c>
      <c r="B3386" s="6" t="str">
        <f aca="false">HYPERLINK("https://mncourtfraud.com/file/MCRO_27-CR-23-2152_Summons_2023-03-02_20240430072555.pdf","MCRO_27-CR-23-2152_Summons_2023-03-02_20240430072555.pdf")</f>
        <v>MCRO_27-CR-23-2152_Summons_2023-03-02_20240430072555.pdf</v>
      </c>
      <c r="C3386" s="1" t="n">
        <v>4</v>
      </c>
      <c r="D3386" s="1" t="n">
        <v>1</v>
      </c>
      <c r="E3386" s="1" t="n">
        <v>1</v>
      </c>
      <c r="F3386" s="3" t="s">
        <v>20</v>
      </c>
      <c r="G3386" s="3" t="s">
        <v>13621</v>
      </c>
      <c r="H3386" s="1" t="s">
        <v>22</v>
      </c>
      <c r="I3386" s="1" t="n">
        <v>20240430072555</v>
      </c>
      <c r="J3386" s="3" t="s">
        <v>13622</v>
      </c>
      <c r="K3386" s="3" t="s">
        <v>13623</v>
      </c>
      <c r="L3386" s="3" t="s">
        <v>13624</v>
      </c>
      <c r="M3386" s="3" t="n">
        <v>110401</v>
      </c>
      <c r="N3386" s="3" t="s">
        <v>435</v>
      </c>
      <c r="O3386" s="1" t="n">
        <v>94015</v>
      </c>
      <c r="P3386" s="1" t="n">
        <v>85.16</v>
      </c>
      <c r="Q3386" s="1" t="s">
        <v>20</v>
      </c>
      <c r="R3386" s="1" t="s">
        <v>27</v>
      </c>
      <c r="S3386" s="1" t="s">
        <v>28</v>
      </c>
      <c r="T3386" s="1" t="s">
        <v>29</v>
      </c>
    </row>
    <row r="3387" customFormat="false" ht="18.7" hidden="false" customHeight="true" outlineLevel="0" collapsed="false">
      <c r="A3387" s="1" t="n">
        <v>3386</v>
      </c>
      <c r="B3387" s="6" t="str">
        <f aca="false">HYPERLINK("https://mncourtfraud.com/file/MCRO_27-CR-23-21653_Amended Order_2024-02-13_20240430075009.pdf","MCRO_27-CR-23-21653_Amended Order_2024-02-13_20240430075009.pdf")</f>
        <v>MCRO_27-CR-23-21653_Amended Order_2024-02-13_20240430075009.pdf</v>
      </c>
      <c r="C3387" s="1" t="n">
        <v>9</v>
      </c>
      <c r="D3387" s="1" t="n">
        <v>4</v>
      </c>
      <c r="E3387" s="1" t="n">
        <v>4</v>
      </c>
      <c r="F3387" s="3" t="s">
        <v>20</v>
      </c>
      <c r="G3387" s="3" t="s">
        <v>13625</v>
      </c>
      <c r="H3387" s="1" t="s">
        <v>22</v>
      </c>
      <c r="I3387" s="1" t="n">
        <v>20240430075009</v>
      </c>
      <c r="J3387" s="3" t="s">
        <v>13626</v>
      </c>
      <c r="K3387" s="3" t="s">
        <v>13627</v>
      </c>
      <c r="L3387" s="3" t="s">
        <v>13628</v>
      </c>
      <c r="M3387" s="3" t="n">
        <v>357921</v>
      </c>
      <c r="N3387" s="3" t="s">
        <v>10234</v>
      </c>
      <c r="O3387" s="1" t="n">
        <v>341535</v>
      </c>
      <c r="P3387" s="1" t="n">
        <v>95.42</v>
      </c>
      <c r="Q3387" s="1" t="s">
        <v>20</v>
      </c>
      <c r="R3387" s="1" t="s">
        <v>27</v>
      </c>
      <c r="S3387" s="1" t="s">
        <v>28</v>
      </c>
      <c r="T3387" s="1" t="s">
        <v>29</v>
      </c>
    </row>
    <row r="3388" customFormat="false" ht="18.7" hidden="false" customHeight="true" outlineLevel="0" collapsed="false">
      <c r="A3388" s="1" t="n">
        <v>3387</v>
      </c>
      <c r="B3388" s="6" t="str">
        <f aca="false">HYPERLINK("https://mncourtfraud.com/file/MCRO_27-CR-23-21653_Demand or Request for Discovery_2023-10-17_20240430075015.pdf","MCRO_27-CR-23-21653_Demand or Request for Discovery_2023-10-17_20240430075015.pdf")</f>
        <v>MCRO_27-CR-23-21653_Demand or Request for Discovery_2023-10-17_20240430075015.pdf</v>
      </c>
      <c r="C3388" s="1" t="n">
        <v>3</v>
      </c>
      <c r="D3388" s="1" t="n">
        <v>1</v>
      </c>
      <c r="E3388" s="1" t="n">
        <v>1</v>
      </c>
      <c r="F3388" s="3" t="s">
        <v>20</v>
      </c>
      <c r="G3388" s="3" t="s">
        <v>13629</v>
      </c>
      <c r="H3388" s="1" t="s">
        <v>22</v>
      </c>
      <c r="I3388" s="1" t="n">
        <v>20240430075015</v>
      </c>
      <c r="J3388" s="3" t="s">
        <v>13630</v>
      </c>
      <c r="K3388" s="3" t="s">
        <v>13631</v>
      </c>
      <c r="L3388" s="3" t="s">
        <v>13632</v>
      </c>
      <c r="M3388" s="3" t="n">
        <v>411804</v>
      </c>
      <c r="N3388" s="3" t="s">
        <v>371</v>
      </c>
      <c r="O3388" s="1" t="n">
        <v>395418</v>
      </c>
      <c r="P3388" s="1" t="n">
        <v>96.02</v>
      </c>
      <c r="Q3388" s="1" t="s">
        <v>20</v>
      </c>
      <c r="R3388" s="1" t="s">
        <v>27</v>
      </c>
      <c r="S3388" s="1" t="s">
        <v>28</v>
      </c>
      <c r="T3388" s="1" t="s">
        <v>29</v>
      </c>
    </row>
    <row r="3389" customFormat="false" ht="18.7" hidden="false" customHeight="true" outlineLevel="0" collapsed="false">
      <c r="A3389" s="1" t="n">
        <v>3388</v>
      </c>
      <c r="B3389" s="6" t="str">
        <f aca="false">HYPERLINK("https://mncourtfraud.com/file/MCRO_27-CR-23-21653_E-filed Comp-Order for Detention_2023-10-10_20240430075017.pdf","MCRO_27-CR-23-21653_E-filed Comp-Order for Detention_2023-10-10_20240430075017.pdf")</f>
        <v>MCRO_27-CR-23-21653_E-filed Comp-Order for Detention_2023-10-10_20240430075017.pdf</v>
      </c>
      <c r="C3389" s="1" t="n">
        <v>5</v>
      </c>
      <c r="D3389" s="1" t="n">
        <v>2</v>
      </c>
      <c r="E3389" s="1" t="n">
        <v>2</v>
      </c>
      <c r="F3389" s="3" t="s">
        <v>20</v>
      </c>
      <c r="G3389" s="3" t="s">
        <v>13633</v>
      </c>
      <c r="H3389" s="1" t="s">
        <v>22</v>
      </c>
      <c r="I3389" s="1" t="n">
        <v>20240430075017</v>
      </c>
      <c r="J3389" s="3" t="s">
        <v>13634</v>
      </c>
      <c r="K3389" s="3" t="s">
        <v>13635</v>
      </c>
      <c r="L3389" s="3" t="s">
        <v>13636</v>
      </c>
      <c r="M3389" s="3" t="n">
        <v>447822</v>
      </c>
      <c r="N3389" s="3" t="s">
        <v>10880</v>
      </c>
      <c r="O3389" s="1" t="n">
        <v>431436</v>
      </c>
      <c r="P3389" s="1" t="n">
        <v>96.34</v>
      </c>
      <c r="Q3389" s="1" t="s">
        <v>20</v>
      </c>
      <c r="R3389" s="1" t="s">
        <v>27</v>
      </c>
      <c r="S3389" s="1" t="s">
        <v>28</v>
      </c>
      <c r="T3389" s="1" t="s">
        <v>29</v>
      </c>
    </row>
    <row r="3390" customFormat="false" ht="18.7" hidden="false" customHeight="true" outlineLevel="0" collapsed="false">
      <c r="A3390" s="1" t="n">
        <v>3389</v>
      </c>
      <c r="B3390" s="6" t="str">
        <f aca="false">HYPERLINK("https://mncourtfraud.com/file/MCRO_27-CR-23-21653_Finding of Incompetency and Order_2023-11-15_20240430075012.pdf","MCRO_27-CR-23-21653_Finding of Incompetency and Order_2023-11-15_20240430075012.pdf")</f>
        <v>MCRO_27-CR-23-21653_Finding of Incompetency and Order_2023-11-15_20240430075012.pdf</v>
      </c>
      <c r="C3390" s="1" t="n">
        <v>9</v>
      </c>
      <c r="D3390" s="1" t="n">
        <v>3</v>
      </c>
      <c r="E3390" s="1" t="n">
        <v>3</v>
      </c>
      <c r="F3390" s="3" t="s">
        <v>20</v>
      </c>
      <c r="G3390" s="3" t="s">
        <v>13637</v>
      </c>
      <c r="H3390" s="1" t="s">
        <v>22</v>
      </c>
      <c r="I3390" s="1" t="n">
        <v>20240430075012</v>
      </c>
      <c r="J3390" s="3" t="s">
        <v>13638</v>
      </c>
      <c r="K3390" s="3" t="s">
        <v>13639</v>
      </c>
      <c r="L3390" s="3" t="s">
        <v>13640</v>
      </c>
      <c r="M3390" s="3" t="n">
        <v>982013</v>
      </c>
      <c r="N3390" s="3" t="s">
        <v>10234</v>
      </c>
      <c r="O3390" s="1" t="n">
        <v>965627</v>
      </c>
      <c r="P3390" s="1" t="n">
        <v>98.33</v>
      </c>
      <c r="Q3390" s="1" t="s">
        <v>20</v>
      </c>
      <c r="R3390" s="1" t="s">
        <v>27</v>
      </c>
      <c r="S3390" s="1" t="s">
        <v>28</v>
      </c>
      <c r="T3390" s="1" t="s">
        <v>29</v>
      </c>
    </row>
    <row r="3391" customFormat="false" ht="18.7" hidden="false" customHeight="true" outlineLevel="0" collapsed="false">
      <c r="A3391" s="1" t="n">
        <v>3390</v>
      </c>
      <c r="B3391" s="6" t="str">
        <f aca="false">HYPERLINK("https://mncourtfraud.com/file/MCRO_27-CR-23-21653_Notice of Motion and Motion_2023-10-27_20240430075014.pdf","MCRO_27-CR-23-21653_Notice of Motion and Motion_2023-10-27_20240430075014.pdf")</f>
        <v>MCRO_27-CR-23-21653_Notice of Motion and Motion_2023-10-27_20240430075014.pdf</v>
      </c>
      <c r="C3391" s="1" t="n">
        <v>3</v>
      </c>
      <c r="D3391" s="1" t="n">
        <v>1</v>
      </c>
      <c r="E3391" s="1" t="n">
        <v>1</v>
      </c>
      <c r="F3391" s="3" t="s">
        <v>20</v>
      </c>
      <c r="G3391" s="3" t="s">
        <v>13641</v>
      </c>
      <c r="H3391" s="1" t="s">
        <v>22</v>
      </c>
      <c r="I3391" s="1" t="n">
        <v>20240430075014</v>
      </c>
      <c r="J3391" s="3" t="s">
        <v>13642</v>
      </c>
      <c r="K3391" s="3" t="s">
        <v>13643</v>
      </c>
      <c r="L3391" s="3" t="s">
        <v>13644</v>
      </c>
      <c r="M3391" s="3" t="n">
        <v>188616</v>
      </c>
      <c r="N3391" s="3" t="s">
        <v>6104</v>
      </c>
      <c r="O3391" s="1" t="n">
        <v>172230</v>
      </c>
      <c r="P3391" s="1" t="n">
        <v>91.31</v>
      </c>
      <c r="Q3391" s="1" t="s">
        <v>20</v>
      </c>
      <c r="R3391" s="1" t="s">
        <v>27</v>
      </c>
      <c r="S3391" s="1" t="s">
        <v>28</v>
      </c>
      <c r="T3391" s="1" t="s">
        <v>29</v>
      </c>
    </row>
    <row r="3392" customFormat="false" ht="18.7" hidden="false" customHeight="true" outlineLevel="0" collapsed="false">
      <c r="A3392" s="1" t="n">
        <v>3391</v>
      </c>
      <c r="B3392" s="6" t="str">
        <f aca="false">HYPERLINK("https://mncourtfraud.com/file/MCRO_27-CR-23-21653_Notice of Motion and Motion_2023-12-12_20240430075010.pdf","MCRO_27-CR-23-21653_Notice of Motion and Motion_2023-12-12_20240430075010.pdf")</f>
        <v>MCRO_27-CR-23-21653_Notice of Motion and Motion_2023-12-12_20240430075010.pdf</v>
      </c>
      <c r="C3392" s="1" t="n">
        <v>3</v>
      </c>
      <c r="D3392" s="1" t="n">
        <v>1</v>
      </c>
      <c r="E3392" s="1" t="n">
        <v>1</v>
      </c>
      <c r="F3392" s="3" t="s">
        <v>20</v>
      </c>
      <c r="G3392" s="3" t="s">
        <v>13645</v>
      </c>
      <c r="H3392" s="1" t="s">
        <v>22</v>
      </c>
      <c r="I3392" s="1" t="n">
        <v>20240430075010</v>
      </c>
      <c r="J3392" s="3" t="s">
        <v>13646</v>
      </c>
      <c r="K3392" s="3" t="s">
        <v>13647</v>
      </c>
      <c r="L3392" s="3" t="s">
        <v>13648</v>
      </c>
      <c r="M3392" s="3" t="n">
        <v>188576</v>
      </c>
      <c r="N3392" s="3" t="s">
        <v>6104</v>
      </c>
      <c r="O3392" s="1" t="n">
        <v>172190</v>
      </c>
      <c r="P3392" s="1" t="n">
        <v>91.31</v>
      </c>
      <c r="Q3392" s="1" t="s">
        <v>20</v>
      </c>
      <c r="R3392" s="1" t="s">
        <v>27</v>
      </c>
      <c r="S3392" s="1" t="s">
        <v>28</v>
      </c>
      <c r="T3392" s="1" t="s">
        <v>29</v>
      </c>
    </row>
    <row r="3393" customFormat="false" ht="18.7" hidden="false" customHeight="true" outlineLevel="0" collapsed="false">
      <c r="A3393" s="1" t="n">
        <v>3392</v>
      </c>
      <c r="B3393" s="6" t="str">
        <f aca="false">HYPERLINK("https://mncourtfraud.com/file/MCRO_27-CR-23-21653_Notice of Remote Hearing with Instructions_2023-11-14_20240430075013.pdf","MCRO_27-CR-23-21653_Notice of Remote Hearing with Instructions_2023-11-14_20240430075013.pdf")</f>
        <v>MCRO_27-CR-23-21653_Notice of Remote Hearing with Instructions_2023-11-14_20240430075013.pdf</v>
      </c>
      <c r="C3393" s="1" t="n">
        <v>5</v>
      </c>
      <c r="D3393" s="1" t="n">
        <v>1</v>
      </c>
      <c r="E3393" s="1" t="n">
        <v>1</v>
      </c>
      <c r="F3393" s="3" t="s">
        <v>20</v>
      </c>
      <c r="G3393" s="3" t="s">
        <v>13649</v>
      </c>
      <c r="H3393" s="1" t="s">
        <v>22</v>
      </c>
      <c r="I3393" s="1" t="n">
        <v>20240430075013</v>
      </c>
      <c r="J3393" s="3" t="s">
        <v>13650</v>
      </c>
      <c r="K3393" s="3" t="s">
        <v>13651</v>
      </c>
      <c r="L3393" s="3" t="s">
        <v>13652</v>
      </c>
      <c r="M3393" s="3" t="n">
        <v>855257</v>
      </c>
      <c r="N3393" s="3" t="s">
        <v>1248</v>
      </c>
      <c r="O3393" s="1" t="n">
        <v>838871</v>
      </c>
      <c r="P3393" s="1" t="n">
        <v>98.08</v>
      </c>
      <c r="Q3393" s="1" t="s">
        <v>20</v>
      </c>
      <c r="R3393" s="1" t="s">
        <v>27</v>
      </c>
      <c r="S3393" s="1" t="s">
        <v>28</v>
      </c>
      <c r="T3393" s="1" t="s">
        <v>29</v>
      </c>
    </row>
    <row r="3394" customFormat="false" ht="18.7" hidden="false" customHeight="true" outlineLevel="0" collapsed="false">
      <c r="A3394" s="1" t="n">
        <v>3393</v>
      </c>
      <c r="B3394" s="6" t="str">
        <f aca="false">HYPERLINK("https://mncourtfraud.com/file/MCRO_27-CR-23-21653_Order-Evaluation for Competency to Proceed (Rule 20.01)_2023-10-11_20240430075016.pdf","MCRO_27-CR-23-21653_Order-Evaluation for Competency to Proceed (Rule 20.01)_2023-10-11_20240430075016.pdf")</f>
        <v>MCRO_27-CR-23-21653_Order-Evaluation for Competency to Proceed (Rule 20.01)_2023-10-11_20240430075016.pdf</v>
      </c>
      <c r="C3394" s="1" t="n">
        <v>4</v>
      </c>
      <c r="D3394" s="1" t="n">
        <v>1</v>
      </c>
      <c r="E3394" s="1" t="n">
        <v>1</v>
      </c>
      <c r="F3394" s="3" t="s">
        <v>20</v>
      </c>
      <c r="G3394" s="3" t="s">
        <v>13653</v>
      </c>
      <c r="H3394" s="1" t="s">
        <v>22</v>
      </c>
      <c r="I3394" s="1" t="n">
        <v>20240430075016</v>
      </c>
      <c r="J3394" s="3" t="s">
        <v>13654</v>
      </c>
      <c r="K3394" s="3" t="s">
        <v>13655</v>
      </c>
      <c r="L3394" s="3" t="s">
        <v>13656</v>
      </c>
      <c r="M3394" s="3" t="n">
        <v>146165</v>
      </c>
      <c r="N3394" s="3" t="s">
        <v>1159</v>
      </c>
      <c r="O3394" s="1" t="n">
        <v>129779</v>
      </c>
      <c r="P3394" s="1" t="n">
        <v>88.79</v>
      </c>
      <c r="Q3394" s="1" t="s">
        <v>20</v>
      </c>
      <c r="R3394" s="1" t="s">
        <v>27</v>
      </c>
      <c r="S3394" s="1" t="s">
        <v>28</v>
      </c>
      <c r="T3394" s="1" t="s">
        <v>29</v>
      </c>
    </row>
    <row r="3395" customFormat="false" ht="18.7" hidden="false" customHeight="true" outlineLevel="0" collapsed="false">
      <c r="A3395" s="1" t="n">
        <v>3394</v>
      </c>
      <c r="B3395" s="6" t="str">
        <f aca="false">HYPERLINK("https://mncourtfraud.com/file/MCRO_27-CR-23-24219_Demand or Request for Discovery_2023-11-27_20240430075047.pdf","MCRO_27-CR-23-24219_Demand or Request for Discovery_2023-11-27_20240430075047.pdf")</f>
        <v>MCRO_27-CR-23-24219_Demand or Request for Discovery_2023-11-27_20240430075047.pdf</v>
      </c>
      <c r="C3395" s="1" t="n">
        <v>3</v>
      </c>
      <c r="D3395" s="1" t="n">
        <v>1</v>
      </c>
      <c r="E3395" s="1" t="n">
        <v>1</v>
      </c>
      <c r="F3395" s="3" t="s">
        <v>20</v>
      </c>
      <c r="G3395" s="3" t="s">
        <v>13657</v>
      </c>
      <c r="H3395" s="1" t="s">
        <v>22</v>
      </c>
      <c r="I3395" s="1" t="n">
        <v>20240430075047</v>
      </c>
      <c r="J3395" s="3" t="s">
        <v>13658</v>
      </c>
      <c r="K3395" s="3" t="s">
        <v>13659</v>
      </c>
      <c r="L3395" s="3" t="s">
        <v>13660</v>
      </c>
      <c r="M3395" s="3" t="n">
        <v>370563</v>
      </c>
      <c r="N3395" s="3" t="s">
        <v>3251</v>
      </c>
      <c r="O3395" s="1" t="n">
        <v>354177</v>
      </c>
      <c r="P3395" s="1" t="n">
        <v>95.58</v>
      </c>
      <c r="Q3395" s="1" t="s">
        <v>20</v>
      </c>
      <c r="R3395" s="1" t="s">
        <v>27</v>
      </c>
      <c r="S3395" s="1" t="s">
        <v>28</v>
      </c>
      <c r="T3395" s="1" t="s">
        <v>29</v>
      </c>
    </row>
    <row r="3396" customFormat="false" ht="18.7" hidden="false" customHeight="true" outlineLevel="0" collapsed="false">
      <c r="A3396" s="1" t="n">
        <v>3395</v>
      </c>
      <c r="B3396" s="6" t="str">
        <f aca="false">HYPERLINK("https://mncourtfraud.com/file/MCRO_27-CR-23-24219_E-filed Comp-Order for Detention_2023-11-14_20240430075051.pdf","MCRO_27-CR-23-24219_E-filed Comp-Order for Detention_2023-11-14_20240430075051.pdf")</f>
        <v>MCRO_27-CR-23-24219_E-filed Comp-Order for Detention_2023-11-14_20240430075051.pdf</v>
      </c>
      <c r="C3396" s="1" t="n">
        <v>5</v>
      </c>
      <c r="D3396" s="1" t="n">
        <v>2</v>
      </c>
      <c r="E3396" s="1" t="n">
        <v>2</v>
      </c>
      <c r="F3396" s="3" t="s">
        <v>20</v>
      </c>
      <c r="G3396" s="3" t="s">
        <v>13661</v>
      </c>
      <c r="H3396" s="1" t="s">
        <v>22</v>
      </c>
      <c r="I3396" s="1" t="n">
        <v>20240430075051</v>
      </c>
      <c r="J3396" s="3" t="s">
        <v>13662</v>
      </c>
      <c r="K3396" s="3" t="s">
        <v>13663</v>
      </c>
      <c r="L3396" s="3" t="s">
        <v>13664</v>
      </c>
      <c r="M3396" s="3" t="n">
        <v>438779</v>
      </c>
      <c r="N3396" s="3" t="s">
        <v>4287</v>
      </c>
      <c r="O3396" s="1" t="n">
        <v>422393</v>
      </c>
      <c r="P3396" s="1" t="n">
        <v>96.27</v>
      </c>
      <c r="Q3396" s="1" t="s">
        <v>20</v>
      </c>
      <c r="R3396" s="1" t="s">
        <v>27</v>
      </c>
      <c r="S3396" s="1" t="s">
        <v>28</v>
      </c>
      <c r="T3396" s="1" t="s">
        <v>29</v>
      </c>
    </row>
    <row r="3397" customFormat="false" ht="18.7" hidden="false" customHeight="true" outlineLevel="0" collapsed="false">
      <c r="A3397" s="1" t="n">
        <v>3396</v>
      </c>
      <c r="B3397" s="6" t="str">
        <f aca="false">HYPERLINK("https://mncourtfraud.com/file/MCRO_27-CR-23-24219_Finding of Incompetency and Order_2023-11-22_20240430075048.pdf","MCRO_27-CR-23-24219_Finding of Incompetency and Order_2023-11-22_20240430075048.pdf")</f>
        <v>MCRO_27-CR-23-24219_Finding of Incompetency and Order_2023-11-22_20240430075048.pdf</v>
      </c>
      <c r="C3397" s="1" t="n">
        <v>9</v>
      </c>
      <c r="D3397" s="1" t="n">
        <v>3</v>
      </c>
      <c r="E3397" s="1" t="n">
        <v>3</v>
      </c>
      <c r="F3397" s="3" t="s">
        <v>27</v>
      </c>
      <c r="G3397" s="3" t="s">
        <v>13665</v>
      </c>
      <c r="H3397" s="1" t="s">
        <v>22</v>
      </c>
      <c r="I3397" s="1" t="n">
        <v>20240430075048</v>
      </c>
      <c r="J3397" s="3" t="s">
        <v>13666</v>
      </c>
      <c r="K3397" s="3" t="s">
        <v>13667</v>
      </c>
      <c r="L3397" s="3" t="s">
        <v>13668</v>
      </c>
      <c r="M3397" s="3" t="n">
        <v>961725</v>
      </c>
      <c r="N3397" s="3" t="s">
        <v>13443</v>
      </c>
      <c r="O3397" s="1" t="n">
        <v>945339</v>
      </c>
      <c r="P3397" s="1" t="n">
        <v>98.3</v>
      </c>
      <c r="Q3397" s="1" t="s">
        <v>20</v>
      </c>
      <c r="R3397" s="1" t="s">
        <v>27</v>
      </c>
      <c r="S3397" s="1" t="s">
        <v>28</v>
      </c>
      <c r="T3397" s="1" t="s">
        <v>29</v>
      </c>
    </row>
    <row r="3398" customFormat="false" ht="18.7" hidden="false" customHeight="true" outlineLevel="0" collapsed="false">
      <c r="A3398" s="1" t="n">
        <v>3397</v>
      </c>
      <c r="B3398" s="6" t="str">
        <f aca="false">HYPERLINK("https://mncourtfraud.com/file/MCRO_27-CR-23-24219_Notice of Remote Hearing with Instructions_2024-02-06_20240430075046.pdf","MCRO_27-CR-23-24219_Notice of Remote Hearing with Instructions_2024-02-06_20240430075046.pdf")</f>
        <v>MCRO_27-CR-23-24219_Notice of Remote Hearing with Instructions_2024-02-06_20240430075046.pdf</v>
      </c>
      <c r="C3398" s="1" t="n">
        <v>5</v>
      </c>
      <c r="D3398" s="1" t="n">
        <v>1</v>
      </c>
      <c r="E3398" s="1" t="n">
        <v>1</v>
      </c>
      <c r="F3398" s="3" t="s">
        <v>20</v>
      </c>
      <c r="G3398" s="3" t="s">
        <v>13669</v>
      </c>
      <c r="H3398" s="1" t="s">
        <v>22</v>
      </c>
      <c r="I3398" s="1" t="n">
        <v>20240430075046</v>
      </c>
      <c r="J3398" s="3" t="s">
        <v>13670</v>
      </c>
      <c r="K3398" s="3" t="s">
        <v>13671</v>
      </c>
      <c r="L3398" s="3" t="s">
        <v>13672</v>
      </c>
      <c r="M3398" s="3" t="n">
        <v>845189</v>
      </c>
      <c r="N3398" s="3" t="s">
        <v>510</v>
      </c>
      <c r="O3398" s="1" t="n">
        <v>828803</v>
      </c>
      <c r="P3398" s="1" t="n">
        <v>98.06</v>
      </c>
      <c r="Q3398" s="1" t="s">
        <v>20</v>
      </c>
      <c r="R3398" s="1" t="s">
        <v>27</v>
      </c>
      <c r="S3398" s="1" t="s">
        <v>28</v>
      </c>
      <c r="T3398" s="1" t="s">
        <v>29</v>
      </c>
    </row>
    <row r="3399" customFormat="false" ht="18.7" hidden="false" customHeight="true" outlineLevel="0" collapsed="false">
      <c r="A3399" s="1" t="n">
        <v>3398</v>
      </c>
      <c r="B3399" s="6" t="str">
        <f aca="false">HYPERLINK("https://mncourtfraud.com/file/MCRO_27-CR-23-24219_Order-Evaluation for Competency to Proceed (Rule 20.01)_2023-11-15_20240430075049.pdf","MCRO_27-CR-23-24219_Order-Evaluation for Competency to Proceed (Rule 20.01)_2023-11-15_20240430075049.pdf")</f>
        <v>MCRO_27-CR-23-24219_Order-Evaluation for Competency to Proceed (Rule 20.01)_2023-11-15_20240430075049.pdf</v>
      </c>
      <c r="C3399" s="1" t="n">
        <v>4</v>
      </c>
      <c r="D3399" s="1" t="n">
        <v>1</v>
      </c>
      <c r="E3399" s="1" t="n">
        <v>1</v>
      </c>
      <c r="F3399" s="3" t="s">
        <v>20</v>
      </c>
      <c r="G3399" s="3" t="s">
        <v>13673</v>
      </c>
      <c r="H3399" s="1" t="s">
        <v>22</v>
      </c>
      <c r="I3399" s="1" t="n">
        <v>20240430075049</v>
      </c>
      <c r="J3399" s="3" t="s">
        <v>13674</v>
      </c>
      <c r="K3399" s="3" t="s">
        <v>13675</v>
      </c>
      <c r="L3399" s="3" t="s">
        <v>13676</v>
      </c>
      <c r="M3399" s="3" t="n">
        <v>143061</v>
      </c>
      <c r="N3399" s="3" t="s">
        <v>1159</v>
      </c>
      <c r="O3399" s="1" t="n">
        <v>126675</v>
      </c>
      <c r="P3399" s="1" t="n">
        <v>88.55</v>
      </c>
      <c r="Q3399" s="1" t="s">
        <v>20</v>
      </c>
      <c r="R3399" s="1" t="s">
        <v>27</v>
      </c>
      <c r="S3399" s="1" t="s">
        <v>28</v>
      </c>
      <c r="T3399" s="1" t="s">
        <v>29</v>
      </c>
    </row>
    <row r="3400" customFormat="false" ht="18.7" hidden="false" customHeight="true" outlineLevel="0" collapsed="false">
      <c r="A3400" s="1" t="n">
        <v>3399</v>
      </c>
      <c r="B3400" s="6" t="str">
        <f aca="false">HYPERLINK("https://mncourtfraud.com/file/MCRO_27-CR-23-2480_Correspondence_2024-04-12_20240430072628.pdf","MCRO_27-CR-23-2480_Correspondence_2024-04-12_20240430072628.pdf")</f>
        <v>MCRO_27-CR-23-2480_Correspondence_2024-04-12_20240430072628.pdf</v>
      </c>
      <c r="C3400" s="1" t="n">
        <v>3</v>
      </c>
      <c r="D3400" s="1" t="n">
        <v>1</v>
      </c>
      <c r="E3400" s="1" t="n">
        <v>1</v>
      </c>
      <c r="F3400" s="3" t="s">
        <v>20</v>
      </c>
      <c r="G3400" s="3" t="s">
        <v>13677</v>
      </c>
      <c r="H3400" s="1" t="s">
        <v>22</v>
      </c>
      <c r="I3400" s="1" t="n">
        <v>20240430072628</v>
      </c>
      <c r="J3400" s="3" t="s">
        <v>13678</v>
      </c>
      <c r="K3400" s="3" t="s">
        <v>13679</v>
      </c>
      <c r="L3400" s="3" t="s">
        <v>13680</v>
      </c>
      <c r="M3400" s="3" t="n">
        <v>91553</v>
      </c>
      <c r="N3400" s="3" t="s">
        <v>3851</v>
      </c>
      <c r="O3400" s="1" t="n">
        <v>75167</v>
      </c>
      <c r="P3400" s="1" t="n">
        <v>82.1</v>
      </c>
      <c r="Q3400" s="1" t="s">
        <v>20</v>
      </c>
      <c r="R3400" s="1" t="s">
        <v>27</v>
      </c>
      <c r="S3400" s="1" t="s">
        <v>28</v>
      </c>
      <c r="T3400" s="1" t="s">
        <v>29</v>
      </c>
    </row>
    <row r="3401" customFormat="false" ht="18.7" hidden="false" customHeight="true" outlineLevel="0" collapsed="false">
      <c r="A3401" s="1" t="n">
        <v>3400</v>
      </c>
      <c r="B3401" s="6" t="str">
        <f aca="false">HYPERLINK("https://mncourtfraud.com/file/MCRO_27-CR-23-2480_Correspondence_2024-04-12_20240430072629.pdf","MCRO_27-CR-23-2480_Correspondence_2024-04-12_20240430072629.pdf")</f>
        <v>MCRO_27-CR-23-2480_Correspondence_2024-04-12_20240430072629.pdf</v>
      </c>
      <c r="C3401" s="1" t="n">
        <v>4</v>
      </c>
      <c r="D3401" s="1" t="n">
        <v>1</v>
      </c>
      <c r="E3401" s="1" t="n">
        <v>1</v>
      </c>
      <c r="F3401" s="3" t="s">
        <v>20</v>
      </c>
      <c r="G3401" s="3" t="s">
        <v>13681</v>
      </c>
      <c r="H3401" s="1" t="s">
        <v>22</v>
      </c>
      <c r="I3401" s="1" t="n">
        <v>20240430072629</v>
      </c>
      <c r="J3401" s="3" t="s">
        <v>13682</v>
      </c>
      <c r="K3401" s="3" t="s">
        <v>13683</v>
      </c>
      <c r="L3401" s="3" t="s">
        <v>13684</v>
      </c>
      <c r="M3401" s="3" t="n">
        <v>266123</v>
      </c>
      <c r="N3401" s="3" t="s">
        <v>10971</v>
      </c>
      <c r="O3401" s="1" t="n">
        <v>249737</v>
      </c>
      <c r="P3401" s="1" t="n">
        <v>93.84</v>
      </c>
      <c r="Q3401" s="1" t="s">
        <v>20</v>
      </c>
      <c r="R3401" s="1" t="s">
        <v>27</v>
      </c>
      <c r="S3401" s="1" t="s">
        <v>28</v>
      </c>
      <c r="T3401" s="1" t="s">
        <v>29</v>
      </c>
    </row>
    <row r="3402" customFormat="false" ht="18.7" hidden="false" customHeight="true" outlineLevel="0" collapsed="false">
      <c r="A3402" s="1" t="n">
        <v>3401</v>
      </c>
      <c r="B3402" s="6" t="str">
        <f aca="false">HYPERLINK("https://mncourtfraud.com/file/MCRO_27-CR-23-2480_Demand or Request for Discovery_2023-02-17_20240430072642.pdf","MCRO_27-CR-23-2480_Demand or Request for Discovery_2023-02-17_20240430072642.pdf")</f>
        <v>MCRO_27-CR-23-2480_Demand or Request for Discovery_2023-02-17_20240430072642.pdf</v>
      </c>
      <c r="C3402" s="1" t="n">
        <v>3</v>
      </c>
      <c r="D3402" s="1" t="n">
        <v>1</v>
      </c>
      <c r="E3402" s="1" t="n">
        <v>1</v>
      </c>
      <c r="F3402" s="3" t="s">
        <v>20</v>
      </c>
      <c r="G3402" s="3" t="s">
        <v>13685</v>
      </c>
      <c r="H3402" s="1" t="s">
        <v>22</v>
      </c>
      <c r="I3402" s="1" t="n">
        <v>20240430072642</v>
      </c>
      <c r="J3402" s="3" t="s">
        <v>13686</v>
      </c>
      <c r="K3402" s="3" t="s">
        <v>13687</v>
      </c>
      <c r="L3402" s="3" t="s">
        <v>13688</v>
      </c>
      <c r="M3402" s="3" t="n">
        <v>316620</v>
      </c>
      <c r="N3402" s="3" t="s">
        <v>655</v>
      </c>
      <c r="O3402" s="1" t="n">
        <v>300234</v>
      </c>
      <c r="P3402" s="1" t="n">
        <v>94.82</v>
      </c>
      <c r="Q3402" s="1" t="s">
        <v>20</v>
      </c>
      <c r="R3402" s="1" t="s">
        <v>27</v>
      </c>
      <c r="S3402" s="1" t="s">
        <v>28</v>
      </c>
      <c r="T3402" s="1" t="s">
        <v>29</v>
      </c>
    </row>
    <row r="3403" customFormat="false" ht="18.7" hidden="false" customHeight="true" outlineLevel="0" collapsed="false">
      <c r="A3403" s="1" t="n">
        <v>3402</v>
      </c>
      <c r="B3403" s="6" t="str">
        <f aca="false">HYPERLINK("https://mncourtfraud.com/file/MCRO_27-CR-23-2480_E-filed Comp-Order for Detention_2023-02-01_20240430072644.pdf","MCRO_27-CR-23-2480_E-filed Comp-Order for Detention_2023-02-01_20240430072644.pdf")</f>
        <v>MCRO_27-CR-23-2480_E-filed Comp-Order for Detention_2023-02-01_20240430072644.pdf</v>
      </c>
      <c r="C3403" s="1" t="n">
        <v>5</v>
      </c>
      <c r="D3403" s="1" t="n">
        <v>2</v>
      </c>
      <c r="E3403" s="1" t="n">
        <v>2</v>
      </c>
      <c r="F3403" s="3" t="s">
        <v>20</v>
      </c>
      <c r="G3403" s="3" t="s">
        <v>13689</v>
      </c>
      <c r="H3403" s="1" t="s">
        <v>22</v>
      </c>
      <c r="I3403" s="1" t="n">
        <v>20240430072644</v>
      </c>
      <c r="J3403" s="3" t="s">
        <v>13690</v>
      </c>
      <c r="K3403" s="3" t="s">
        <v>13691</v>
      </c>
      <c r="L3403" s="3" t="s">
        <v>13692</v>
      </c>
      <c r="M3403" s="3" t="n">
        <v>454764</v>
      </c>
      <c r="N3403" s="3" t="s">
        <v>3251</v>
      </c>
      <c r="O3403" s="1" t="n">
        <v>438378</v>
      </c>
      <c r="P3403" s="1" t="n">
        <v>96.4</v>
      </c>
      <c r="Q3403" s="1" t="s">
        <v>20</v>
      </c>
      <c r="R3403" s="1" t="s">
        <v>27</v>
      </c>
      <c r="S3403" s="1" t="s">
        <v>28</v>
      </c>
      <c r="T3403" s="1" t="s">
        <v>29</v>
      </c>
    </row>
    <row r="3404" customFormat="false" ht="18.7" hidden="false" customHeight="true" outlineLevel="0" collapsed="false">
      <c r="A3404" s="1" t="n">
        <v>3403</v>
      </c>
      <c r="B3404" s="6" t="str">
        <f aca="false">HYPERLINK("https://mncourtfraud.com/file/MCRO_27-CR-23-2480_Finding of Incompetency and Order_2023-03-08_20240430072640.pdf","MCRO_27-CR-23-2480_Finding of Incompetency and Order_2023-03-08_20240430072640.pdf")</f>
        <v>MCRO_27-CR-23-2480_Finding of Incompetency and Order_2023-03-08_20240430072640.pdf</v>
      </c>
      <c r="C3404" s="1" t="n">
        <v>7</v>
      </c>
      <c r="D3404" s="1" t="n">
        <v>2</v>
      </c>
      <c r="E3404" s="1" t="n">
        <v>2</v>
      </c>
      <c r="F3404" s="3" t="s">
        <v>27</v>
      </c>
      <c r="G3404" s="3" t="s">
        <v>13693</v>
      </c>
      <c r="H3404" s="1" t="s">
        <v>22</v>
      </c>
      <c r="I3404" s="1" t="n">
        <v>20240430072640</v>
      </c>
      <c r="J3404" s="3" t="s">
        <v>13694</v>
      </c>
      <c r="K3404" s="3" t="s">
        <v>13695</v>
      </c>
      <c r="L3404" s="3" t="s">
        <v>13696</v>
      </c>
      <c r="M3404" s="3" t="n">
        <v>923649</v>
      </c>
      <c r="N3404" s="3" t="s">
        <v>11186</v>
      </c>
      <c r="O3404" s="1" t="n">
        <v>907263</v>
      </c>
      <c r="P3404" s="1" t="n">
        <v>98.23</v>
      </c>
      <c r="Q3404" s="1" t="s">
        <v>20</v>
      </c>
      <c r="R3404" s="1" t="s">
        <v>27</v>
      </c>
      <c r="S3404" s="1" t="s">
        <v>28</v>
      </c>
      <c r="T3404" s="1" t="s">
        <v>29</v>
      </c>
    </row>
    <row r="3405" customFormat="false" ht="18.7" hidden="false" customHeight="true" outlineLevel="0" collapsed="false">
      <c r="A3405" s="1" t="n">
        <v>3404</v>
      </c>
      <c r="B3405" s="6" t="str">
        <f aca="false">HYPERLINK("https://mncourtfraud.com/file/MCRO_27-CR-23-2480_Finding of Incompetency and Order_2024-04-04_20240430072631.pdf","MCRO_27-CR-23-2480_Finding of Incompetency and Order_2024-04-04_20240430072631.pdf")</f>
        <v>MCRO_27-CR-23-2480_Finding of Incompetency and Order_2024-04-04_20240430072631.pdf</v>
      </c>
      <c r="C3405" s="1" t="n">
        <v>7</v>
      </c>
      <c r="D3405" s="1" t="n">
        <v>2</v>
      </c>
      <c r="E3405" s="1" t="n">
        <v>2</v>
      </c>
      <c r="F3405" s="3" t="s">
        <v>20</v>
      </c>
      <c r="G3405" s="3" t="s">
        <v>13697</v>
      </c>
      <c r="H3405" s="1" t="s">
        <v>22</v>
      </c>
      <c r="I3405" s="1" t="n">
        <v>20240430072631</v>
      </c>
      <c r="J3405" s="3" t="s">
        <v>13698</v>
      </c>
      <c r="K3405" s="3" t="s">
        <v>13699</v>
      </c>
      <c r="L3405" s="3" t="s">
        <v>13700</v>
      </c>
      <c r="M3405" s="3" t="n">
        <v>909662</v>
      </c>
      <c r="N3405" s="3" t="s">
        <v>11186</v>
      </c>
      <c r="O3405" s="1" t="n">
        <v>893276</v>
      </c>
      <c r="P3405" s="1" t="n">
        <v>98.2</v>
      </c>
      <c r="Q3405" s="1" t="s">
        <v>20</v>
      </c>
      <c r="R3405" s="1" t="s">
        <v>27</v>
      </c>
      <c r="S3405" s="1" t="s">
        <v>28</v>
      </c>
      <c r="T3405" s="1" t="s">
        <v>29</v>
      </c>
    </row>
    <row r="3406" customFormat="false" ht="18.7" hidden="false" customHeight="true" outlineLevel="0" collapsed="false">
      <c r="A3406" s="1" t="n">
        <v>3405</v>
      </c>
      <c r="B3406" s="6" t="str">
        <f aca="false">HYPERLINK("https://mncourtfraud.com/file/MCRO_27-CR-23-2480_Notice of Case Reassignment_2023-11-03_20240430072634.pdf","MCRO_27-CR-23-2480_Notice of Case Reassignment_2023-11-03_20240430072634.pdf")</f>
        <v>MCRO_27-CR-23-2480_Notice of Case Reassignment_2023-11-03_20240430072634.pdf</v>
      </c>
      <c r="C3406" s="1" t="n">
        <v>4</v>
      </c>
      <c r="D3406" s="1" t="n">
        <v>1</v>
      </c>
      <c r="E3406" s="1" t="n">
        <v>1</v>
      </c>
      <c r="F3406" s="3" t="s">
        <v>20</v>
      </c>
      <c r="G3406" s="3" t="s">
        <v>13701</v>
      </c>
      <c r="H3406" s="1" t="s">
        <v>22</v>
      </c>
      <c r="I3406" s="1" t="n">
        <v>20240430072634</v>
      </c>
      <c r="J3406" s="3" t="s">
        <v>13702</v>
      </c>
      <c r="K3406" s="3" t="s">
        <v>13703</v>
      </c>
      <c r="L3406" s="3" t="s">
        <v>13704</v>
      </c>
      <c r="M3406" s="3" t="n">
        <v>295772</v>
      </c>
      <c r="N3406" s="3" t="s">
        <v>158</v>
      </c>
      <c r="O3406" s="1" t="n">
        <v>279386</v>
      </c>
      <c r="P3406" s="1" t="n">
        <v>94.46</v>
      </c>
      <c r="Q3406" s="1" t="s">
        <v>20</v>
      </c>
      <c r="R3406" s="1" t="s">
        <v>27</v>
      </c>
      <c r="S3406" s="1" t="s">
        <v>28</v>
      </c>
      <c r="T3406" s="1" t="s">
        <v>29</v>
      </c>
    </row>
    <row r="3407" customFormat="false" ht="18.7" hidden="false" customHeight="true" outlineLevel="0" collapsed="false">
      <c r="A3407" s="1" t="n">
        <v>3406</v>
      </c>
      <c r="B3407" s="6" t="str">
        <f aca="false">HYPERLINK("https://mncourtfraud.com/file/MCRO_27-CR-23-2480_Notice of Intent to Prosecute_2023-03-16_20240430072639.pdf","MCRO_27-CR-23-2480_Notice of Intent to Prosecute_2023-03-16_20240430072639.pdf")</f>
        <v>MCRO_27-CR-23-2480_Notice of Intent to Prosecute_2023-03-16_20240430072639.pdf</v>
      </c>
      <c r="C3407" s="1" t="n">
        <v>3</v>
      </c>
      <c r="D3407" s="1" t="n">
        <v>1</v>
      </c>
      <c r="E3407" s="1" t="n">
        <v>1</v>
      </c>
      <c r="F3407" s="3" t="s">
        <v>20</v>
      </c>
      <c r="G3407" s="3" t="s">
        <v>13705</v>
      </c>
      <c r="H3407" s="1" t="s">
        <v>22</v>
      </c>
      <c r="I3407" s="1" t="n">
        <v>20240430072639</v>
      </c>
      <c r="J3407" s="3" t="s">
        <v>13706</v>
      </c>
      <c r="K3407" s="3" t="s">
        <v>13707</v>
      </c>
      <c r="L3407" s="3" t="s">
        <v>13708</v>
      </c>
      <c r="M3407" s="3" t="n">
        <v>121753</v>
      </c>
      <c r="N3407" s="3" t="s">
        <v>3225</v>
      </c>
      <c r="O3407" s="1" t="n">
        <v>105367</v>
      </c>
      <c r="P3407" s="1" t="n">
        <v>86.54</v>
      </c>
      <c r="Q3407" s="1" t="s">
        <v>20</v>
      </c>
      <c r="R3407" s="1" t="s">
        <v>27</v>
      </c>
      <c r="S3407" s="1" t="s">
        <v>28</v>
      </c>
      <c r="T3407" s="1" t="s">
        <v>29</v>
      </c>
    </row>
    <row r="3408" customFormat="false" ht="18.7" hidden="false" customHeight="true" outlineLevel="0" collapsed="false">
      <c r="A3408" s="1" t="n">
        <v>3407</v>
      </c>
      <c r="B3408" s="6" t="str">
        <f aca="false">HYPERLINK("https://mncourtfraud.com/file/MCRO_27-CR-23-2480_Notice of Remote Hearing with Instructions_2023-07-11_20240430072637.pdf","MCRO_27-CR-23-2480_Notice of Remote Hearing with Instructions_2023-07-11_20240430072637.pdf")</f>
        <v>MCRO_27-CR-23-2480_Notice of Remote Hearing with Instructions_2023-07-11_20240430072637.pdf</v>
      </c>
      <c r="C3408" s="1" t="n">
        <v>5</v>
      </c>
      <c r="D3408" s="1" t="n">
        <v>1</v>
      </c>
      <c r="E3408" s="1" t="n">
        <v>1</v>
      </c>
      <c r="F3408" s="3" t="s">
        <v>20</v>
      </c>
      <c r="G3408" s="3" t="s">
        <v>13709</v>
      </c>
      <c r="H3408" s="1" t="s">
        <v>22</v>
      </c>
      <c r="I3408" s="1" t="n">
        <v>20240430072637</v>
      </c>
      <c r="J3408" s="3" t="s">
        <v>13710</v>
      </c>
      <c r="K3408" s="3" t="s">
        <v>13711</v>
      </c>
      <c r="L3408" s="3" t="s">
        <v>13712</v>
      </c>
      <c r="M3408" s="3" t="n">
        <v>843488</v>
      </c>
      <c r="N3408" s="3" t="s">
        <v>510</v>
      </c>
      <c r="O3408" s="1" t="n">
        <v>827102</v>
      </c>
      <c r="P3408" s="1" t="n">
        <v>98.06</v>
      </c>
      <c r="Q3408" s="1" t="s">
        <v>20</v>
      </c>
      <c r="R3408" s="1" t="s">
        <v>27</v>
      </c>
      <c r="S3408" s="1" t="s">
        <v>28</v>
      </c>
      <c r="T3408" s="1" t="s">
        <v>29</v>
      </c>
    </row>
    <row r="3409" customFormat="false" ht="18.7" hidden="false" customHeight="true" outlineLevel="0" collapsed="false">
      <c r="A3409" s="1" t="n">
        <v>3408</v>
      </c>
      <c r="B3409" s="6" t="str">
        <f aca="false">HYPERLINK("https://mncourtfraud.com/file/MCRO_27-CR-23-2480_Notice of Remote Hearing with Instructions_2024-04-02_20240430072632.pdf","MCRO_27-CR-23-2480_Notice of Remote Hearing with Instructions_2024-04-02_20240430072632.pdf")</f>
        <v>MCRO_27-CR-23-2480_Notice of Remote Hearing with Instructions_2024-04-02_20240430072632.pdf</v>
      </c>
      <c r="C3409" s="1" t="n">
        <v>4</v>
      </c>
      <c r="D3409" s="1" t="n">
        <v>1</v>
      </c>
      <c r="E3409" s="1" t="n">
        <v>1</v>
      </c>
      <c r="F3409" s="3" t="s">
        <v>20</v>
      </c>
      <c r="G3409" s="3" t="s">
        <v>13713</v>
      </c>
      <c r="H3409" s="1" t="s">
        <v>22</v>
      </c>
      <c r="I3409" s="1" t="n">
        <v>20240430072632</v>
      </c>
      <c r="J3409" s="3" t="s">
        <v>13714</v>
      </c>
      <c r="K3409" s="3" t="s">
        <v>13715</v>
      </c>
      <c r="L3409" s="3" t="s">
        <v>13716</v>
      </c>
      <c r="M3409" s="3" t="n">
        <v>255462</v>
      </c>
      <c r="N3409" s="3" t="s">
        <v>74</v>
      </c>
      <c r="O3409" s="1" t="n">
        <v>239076</v>
      </c>
      <c r="P3409" s="1" t="n">
        <v>93.59</v>
      </c>
      <c r="Q3409" s="1" t="s">
        <v>20</v>
      </c>
      <c r="R3409" s="1" t="s">
        <v>27</v>
      </c>
      <c r="S3409" s="1" t="s">
        <v>28</v>
      </c>
      <c r="T3409" s="1" t="s">
        <v>29</v>
      </c>
    </row>
    <row r="3410" customFormat="false" ht="18.7" hidden="false" customHeight="true" outlineLevel="0" collapsed="false">
      <c r="A3410" s="1" t="n">
        <v>3409</v>
      </c>
      <c r="B3410" s="6" t="str">
        <f aca="false">HYPERLINK("https://mncourtfraud.com/file/MCRO_27-CR-23-2480_Order-Evaluation for Competency to Proceed (Rule 20.01)_2023-02-02_20240430072643.pdf","MCRO_27-CR-23-2480_Order-Evaluation for Competency to Proceed (Rule 20.01)_2023-02-02_20240430072643.pdf")</f>
        <v>MCRO_27-CR-23-2480_Order-Evaluation for Competency to Proceed (Rule 20.01)_2023-02-02_20240430072643.pdf</v>
      </c>
      <c r="C3410" s="1" t="n">
        <v>4</v>
      </c>
      <c r="D3410" s="1" t="n">
        <v>1</v>
      </c>
      <c r="E3410" s="1" t="n">
        <v>1</v>
      </c>
      <c r="F3410" s="3" t="s">
        <v>20</v>
      </c>
      <c r="G3410" s="3" t="s">
        <v>13717</v>
      </c>
      <c r="H3410" s="1" t="s">
        <v>22</v>
      </c>
      <c r="I3410" s="1" t="n">
        <v>20240430072643</v>
      </c>
      <c r="J3410" s="3" t="s">
        <v>13718</v>
      </c>
      <c r="K3410" s="3" t="s">
        <v>13719</v>
      </c>
      <c r="L3410" s="3" t="s">
        <v>13720</v>
      </c>
      <c r="M3410" s="3" t="n">
        <v>137866</v>
      </c>
      <c r="N3410" s="3" t="s">
        <v>1159</v>
      </c>
      <c r="O3410" s="1" t="n">
        <v>121480</v>
      </c>
      <c r="P3410" s="1" t="n">
        <v>88.11</v>
      </c>
      <c r="Q3410" s="1" t="s">
        <v>20</v>
      </c>
      <c r="R3410" s="1" t="s">
        <v>27</v>
      </c>
      <c r="S3410" s="1" t="s">
        <v>28</v>
      </c>
      <c r="T3410" s="1" t="s">
        <v>29</v>
      </c>
    </row>
    <row r="3411" customFormat="false" ht="18.7" hidden="false" customHeight="true" outlineLevel="0" collapsed="false">
      <c r="A3411" s="1" t="n">
        <v>3410</v>
      </c>
      <c r="B3411" s="6" t="str">
        <f aca="false">HYPERLINK("https://mncourtfraud.com/file/MCRO_27-CR-23-2480_Order-Evaluation for Competency to Proceed (Rule 20.01)_2023-05-12_20240430072638.pdf","MCRO_27-CR-23-2480_Order-Evaluation for Competency to Proceed (Rule 20.01)_2023-05-12_20240430072638.pdf")</f>
        <v>MCRO_27-CR-23-2480_Order-Evaluation for Competency to Proceed (Rule 20.01)_2023-05-12_20240430072638.pdf</v>
      </c>
      <c r="C3411" s="1" t="n">
        <v>6</v>
      </c>
      <c r="D3411" s="1" t="n">
        <v>2</v>
      </c>
      <c r="E3411" s="1" t="n">
        <v>2</v>
      </c>
      <c r="F3411" s="3" t="s">
        <v>27</v>
      </c>
      <c r="G3411" s="3" t="s">
        <v>13721</v>
      </c>
      <c r="H3411" s="1" t="s">
        <v>22</v>
      </c>
      <c r="I3411" s="1" t="n">
        <v>20240430072638</v>
      </c>
      <c r="J3411" s="3" t="s">
        <v>13722</v>
      </c>
      <c r="K3411" s="3" t="s">
        <v>13723</v>
      </c>
      <c r="L3411" s="3" t="s">
        <v>13724</v>
      </c>
      <c r="M3411" s="3" t="n">
        <v>891921</v>
      </c>
      <c r="N3411" s="3" t="s">
        <v>810</v>
      </c>
      <c r="O3411" s="1" t="n">
        <v>875535</v>
      </c>
      <c r="P3411" s="1" t="n">
        <v>98.16</v>
      </c>
      <c r="Q3411" s="1" t="s">
        <v>20</v>
      </c>
      <c r="R3411" s="1" t="s">
        <v>27</v>
      </c>
      <c r="S3411" s="1" t="s">
        <v>28</v>
      </c>
      <c r="T3411" s="1" t="s">
        <v>29</v>
      </c>
    </row>
    <row r="3412" customFormat="false" ht="18.7" hidden="false" customHeight="true" outlineLevel="0" collapsed="false">
      <c r="A3412" s="1" t="n">
        <v>3411</v>
      </c>
      <c r="B3412" s="6" t="str">
        <f aca="false">HYPERLINK("https://mncourtfraud.com/file/MCRO_27-CR-23-2480_Order-Evaluation for Competency to Proceed (Rule 20.01)_2023-07-12_20240430072636.pdf","MCRO_27-CR-23-2480_Order-Evaluation for Competency to Proceed (Rule 20.01)_2023-07-12_20240430072636.pdf")</f>
        <v>MCRO_27-CR-23-2480_Order-Evaluation for Competency to Proceed (Rule 20.01)_2023-07-12_20240430072636.pdf</v>
      </c>
      <c r="C3412" s="1" t="n">
        <v>6</v>
      </c>
      <c r="D3412" s="1" t="n">
        <v>2</v>
      </c>
      <c r="E3412" s="1" t="n">
        <v>2</v>
      </c>
      <c r="F3412" s="3" t="s">
        <v>27</v>
      </c>
      <c r="G3412" s="3" t="s">
        <v>13725</v>
      </c>
      <c r="H3412" s="1" t="s">
        <v>22</v>
      </c>
      <c r="I3412" s="1" t="n">
        <v>20240430072636</v>
      </c>
      <c r="J3412" s="3" t="s">
        <v>13726</v>
      </c>
      <c r="K3412" s="3" t="s">
        <v>13727</v>
      </c>
      <c r="L3412" s="3" t="s">
        <v>13728</v>
      </c>
      <c r="M3412" s="3" t="n">
        <v>890106</v>
      </c>
      <c r="N3412" s="3" t="s">
        <v>810</v>
      </c>
      <c r="O3412" s="1" t="n">
        <v>873720</v>
      </c>
      <c r="P3412" s="1" t="n">
        <v>98.16</v>
      </c>
      <c r="Q3412" s="1" t="s">
        <v>20</v>
      </c>
      <c r="R3412" s="1" t="s">
        <v>27</v>
      </c>
      <c r="S3412" s="1" t="s">
        <v>28</v>
      </c>
      <c r="T3412" s="1" t="s">
        <v>29</v>
      </c>
    </row>
    <row r="3413" customFormat="false" ht="18.7" hidden="false" customHeight="true" outlineLevel="0" collapsed="false">
      <c r="A3413" s="1" t="n">
        <v>3412</v>
      </c>
      <c r="B3413" s="6" t="str">
        <f aca="false">HYPERLINK("https://mncourtfraud.com/file/MCRO_27-CR-23-2480_Order-Evaluation for Competency to Proceed (Rule 20.01)_2024-02-27_20240430072633.pdf","MCRO_27-CR-23-2480_Order-Evaluation for Competency to Proceed (Rule 20.01)_2024-02-27_20240430072633.pdf")</f>
        <v>MCRO_27-CR-23-2480_Order-Evaluation for Competency to Proceed (Rule 20.01)_2024-02-27_20240430072633.pdf</v>
      </c>
      <c r="C3413" s="1" t="n">
        <v>4</v>
      </c>
      <c r="D3413" s="1" t="n">
        <v>1</v>
      </c>
      <c r="E3413" s="1" t="n">
        <v>1</v>
      </c>
      <c r="F3413" s="3" t="s">
        <v>20</v>
      </c>
      <c r="G3413" s="3" t="s">
        <v>13729</v>
      </c>
      <c r="H3413" s="1" t="s">
        <v>22</v>
      </c>
      <c r="I3413" s="1" t="n">
        <v>20240430072633</v>
      </c>
      <c r="J3413" s="3" t="s">
        <v>13730</v>
      </c>
      <c r="K3413" s="3" t="s">
        <v>13731</v>
      </c>
      <c r="L3413" s="3" t="s">
        <v>13732</v>
      </c>
      <c r="M3413" s="3" t="n">
        <v>1025050</v>
      </c>
      <c r="N3413" s="3" t="s">
        <v>352</v>
      </c>
      <c r="O3413" s="1" t="n">
        <v>1008664</v>
      </c>
      <c r="P3413" s="1" t="n">
        <v>98.4</v>
      </c>
      <c r="Q3413" s="1" t="s">
        <v>20</v>
      </c>
      <c r="R3413" s="1" t="s">
        <v>27</v>
      </c>
      <c r="S3413" s="1" t="s">
        <v>28</v>
      </c>
      <c r="T3413" s="1" t="s">
        <v>29</v>
      </c>
    </row>
    <row r="3414" customFormat="false" ht="18.7" hidden="false" customHeight="true" outlineLevel="0" collapsed="false">
      <c r="A3414" s="1" t="n">
        <v>3413</v>
      </c>
      <c r="B3414" s="6" t="str">
        <f aca="false">HYPERLINK("https://mncourtfraud.com/file/MCRO_27-CR-23-2480_Returned Mail_2023-08-31_20240430072635.pdf","MCRO_27-CR-23-2480_Returned Mail_2023-08-31_20240430072635.pdf")</f>
        <v>MCRO_27-CR-23-2480_Returned Mail_2023-08-31_20240430072635.pdf</v>
      </c>
      <c r="C3414" s="1" t="n">
        <v>4</v>
      </c>
      <c r="D3414" s="1" t="n">
        <v>1</v>
      </c>
      <c r="E3414" s="1" t="n">
        <v>1</v>
      </c>
      <c r="F3414" s="3" t="s">
        <v>20</v>
      </c>
      <c r="G3414" s="3" t="s">
        <v>13733</v>
      </c>
      <c r="H3414" s="1" t="s">
        <v>22</v>
      </c>
      <c r="I3414" s="1" t="n">
        <v>20240430072635</v>
      </c>
      <c r="J3414" s="3" t="s">
        <v>13734</v>
      </c>
      <c r="K3414" s="3" t="s">
        <v>13735</v>
      </c>
      <c r="L3414" s="3" t="s">
        <v>13736</v>
      </c>
      <c r="M3414" s="3" t="n">
        <v>475681</v>
      </c>
      <c r="N3414" s="3" t="s">
        <v>158</v>
      </c>
      <c r="O3414" s="1" t="n">
        <v>459295</v>
      </c>
      <c r="P3414" s="1" t="n">
        <v>96.56</v>
      </c>
      <c r="Q3414" s="1" t="s">
        <v>20</v>
      </c>
      <c r="R3414" s="1" t="s">
        <v>27</v>
      </c>
      <c r="S3414" s="1" t="s">
        <v>28</v>
      </c>
      <c r="T3414" s="1" t="s">
        <v>29</v>
      </c>
    </row>
    <row r="3415" customFormat="false" ht="18.7" hidden="false" customHeight="true" outlineLevel="0" collapsed="false">
      <c r="A3415" s="1" t="n">
        <v>3414</v>
      </c>
      <c r="B3415" s="6" t="str">
        <f aca="false">HYPERLINK("https://mncourtfraud.com/file/MCRO_27-CR-23-284_E-filed Comp-Order for Detention_2023-01-04_20240430071747.pdf","MCRO_27-CR-23-284_E-filed Comp-Order for Detention_2023-01-04_20240430071747.pdf")</f>
        <v>MCRO_27-CR-23-284_E-filed Comp-Order for Detention_2023-01-04_20240430071747.pdf</v>
      </c>
      <c r="C3415" s="1" t="n">
        <v>5</v>
      </c>
      <c r="D3415" s="1" t="n">
        <v>2</v>
      </c>
      <c r="E3415" s="1" t="n">
        <v>2</v>
      </c>
      <c r="F3415" s="3" t="s">
        <v>20</v>
      </c>
      <c r="G3415" s="3" t="s">
        <v>13737</v>
      </c>
      <c r="H3415" s="1" t="s">
        <v>22</v>
      </c>
      <c r="I3415" s="1" t="n">
        <v>20240430071747</v>
      </c>
      <c r="J3415" s="3" t="s">
        <v>13738</v>
      </c>
      <c r="K3415" s="3" t="s">
        <v>13739</v>
      </c>
      <c r="L3415" s="3" t="s">
        <v>13740</v>
      </c>
      <c r="M3415" s="3" t="n">
        <v>441952</v>
      </c>
      <c r="N3415" s="3" t="s">
        <v>1574</v>
      </c>
      <c r="O3415" s="1" t="n">
        <v>425566</v>
      </c>
      <c r="P3415" s="1" t="n">
        <v>96.29</v>
      </c>
      <c r="Q3415" s="1" t="s">
        <v>20</v>
      </c>
      <c r="R3415" s="1" t="s">
        <v>27</v>
      </c>
      <c r="S3415" s="1" t="s">
        <v>28</v>
      </c>
      <c r="T3415" s="1" t="s">
        <v>29</v>
      </c>
    </row>
    <row r="3416" customFormat="false" ht="18.7" hidden="false" customHeight="true" outlineLevel="0" collapsed="false">
      <c r="A3416" s="1" t="n">
        <v>3415</v>
      </c>
      <c r="B3416" s="6" t="str">
        <f aca="false">HYPERLINK("https://mncourtfraud.com/file/MCRO_27-CR-23-284_Finding of Incompetency and Order_2023-03-22_20240430071740.pdf","MCRO_27-CR-23-284_Finding of Incompetency and Order_2023-03-22_20240430071740.pdf")</f>
        <v>MCRO_27-CR-23-284_Finding of Incompetency and Order_2023-03-22_20240430071740.pdf</v>
      </c>
      <c r="C3416" s="1" t="n">
        <v>9</v>
      </c>
      <c r="D3416" s="1" t="n">
        <v>3</v>
      </c>
      <c r="E3416" s="1" t="n">
        <v>3</v>
      </c>
      <c r="F3416" s="3" t="s">
        <v>27</v>
      </c>
      <c r="G3416" s="3" t="s">
        <v>13741</v>
      </c>
      <c r="H3416" s="1" t="s">
        <v>22</v>
      </c>
      <c r="I3416" s="1" t="n">
        <v>20240430071740</v>
      </c>
      <c r="J3416" s="3" t="s">
        <v>13742</v>
      </c>
      <c r="K3416" s="3" t="s">
        <v>13743</v>
      </c>
      <c r="L3416" s="3" t="s">
        <v>13744</v>
      </c>
      <c r="M3416" s="3" t="n">
        <v>991655</v>
      </c>
      <c r="N3416" s="3" t="s">
        <v>13745</v>
      </c>
      <c r="O3416" s="1" t="n">
        <v>975269</v>
      </c>
      <c r="P3416" s="1" t="n">
        <v>98.35</v>
      </c>
      <c r="Q3416" s="1" t="s">
        <v>20</v>
      </c>
      <c r="R3416" s="1" t="s">
        <v>27</v>
      </c>
      <c r="S3416" s="1" t="s">
        <v>28</v>
      </c>
      <c r="T3416" s="1" t="s">
        <v>29</v>
      </c>
    </row>
    <row r="3417" customFormat="false" ht="18.7" hidden="false" customHeight="true" outlineLevel="0" collapsed="false">
      <c r="A3417" s="1" t="n">
        <v>3416</v>
      </c>
      <c r="B3417" s="6" t="str">
        <f aca="false">HYPERLINK("https://mncourtfraud.com/file/MCRO_27-CR-23-284_Notice of Hearing_2023-01-05_20240430071746.pdf","MCRO_27-CR-23-284_Notice of Hearing_2023-01-05_20240430071746.pdf")</f>
        <v>MCRO_27-CR-23-284_Notice of Hearing_2023-01-05_20240430071746.pdf</v>
      </c>
      <c r="C3417" s="1" t="n">
        <v>4</v>
      </c>
      <c r="D3417" s="1" t="n">
        <v>1</v>
      </c>
      <c r="E3417" s="1" t="n">
        <v>1</v>
      </c>
      <c r="F3417" s="3" t="s">
        <v>20</v>
      </c>
      <c r="G3417" s="3" t="s">
        <v>13746</v>
      </c>
      <c r="H3417" s="1" t="s">
        <v>22</v>
      </c>
      <c r="I3417" s="1" t="n">
        <v>20240430071746</v>
      </c>
      <c r="J3417" s="3" t="s">
        <v>13747</v>
      </c>
      <c r="K3417" s="3" t="s">
        <v>13748</v>
      </c>
      <c r="L3417" s="3" t="s">
        <v>13749</v>
      </c>
      <c r="M3417" s="3" t="n">
        <v>485178</v>
      </c>
      <c r="N3417" s="3" t="s">
        <v>650</v>
      </c>
      <c r="O3417" s="1" t="n">
        <v>468792</v>
      </c>
      <c r="P3417" s="1" t="n">
        <v>96.62</v>
      </c>
      <c r="Q3417" s="1" t="s">
        <v>20</v>
      </c>
      <c r="R3417" s="1" t="s">
        <v>27</v>
      </c>
      <c r="S3417" s="1" t="s">
        <v>28</v>
      </c>
      <c r="T3417" s="1" t="s">
        <v>29</v>
      </c>
    </row>
    <row r="3418" customFormat="false" ht="18.7" hidden="false" customHeight="true" outlineLevel="0" collapsed="false">
      <c r="A3418" s="1" t="n">
        <v>3417</v>
      </c>
      <c r="B3418" s="6" t="str">
        <f aca="false">HYPERLINK("https://mncourtfraud.com/file/MCRO_27-CR-23-284_Order-Evaluation for Competency to Proceed (Rule 20.01)_2023-02-14_20240430071743.pdf","MCRO_27-CR-23-284_Order-Evaluation for Competency to Proceed (Rule 20.01)_2023-02-14_20240430071743.pdf")</f>
        <v>MCRO_27-CR-23-284_Order-Evaluation for Competency to Proceed (Rule 20.01)_2023-02-14_20240430071743.pdf</v>
      </c>
      <c r="C3418" s="1" t="n">
        <v>4</v>
      </c>
      <c r="D3418" s="1" t="n">
        <v>1</v>
      </c>
      <c r="E3418" s="1" t="n">
        <v>1</v>
      </c>
      <c r="F3418" s="3" t="s">
        <v>20</v>
      </c>
      <c r="G3418" s="3" t="s">
        <v>13750</v>
      </c>
      <c r="H3418" s="1" t="s">
        <v>22</v>
      </c>
      <c r="I3418" s="1" t="n">
        <v>20240430071743</v>
      </c>
      <c r="J3418" s="3" t="s">
        <v>13751</v>
      </c>
      <c r="K3418" s="3" t="s">
        <v>13752</v>
      </c>
      <c r="L3418" s="3" t="s">
        <v>13753</v>
      </c>
      <c r="M3418" s="3" t="n">
        <v>141880</v>
      </c>
      <c r="N3418" s="3" t="s">
        <v>1159</v>
      </c>
      <c r="O3418" s="1" t="n">
        <v>125494</v>
      </c>
      <c r="P3418" s="1" t="n">
        <v>88.45</v>
      </c>
      <c r="Q3418" s="1" t="s">
        <v>20</v>
      </c>
      <c r="R3418" s="1" t="s">
        <v>27</v>
      </c>
      <c r="S3418" s="1" t="s">
        <v>28</v>
      </c>
      <c r="T3418" s="1" t="s">
        <v>29</v>
      </c>
    </row>
    <row r="3419" customFormat="false" ht="18.7" hidden="false" customHeight="true" outlineLevel="0" collapsed="false">
      <c r="A3419" s="1" t="n">
        <v>3418</v>
      </c>
      <c r="B3419" s="6" t="str">
        <f aca="false">HYPERLINK("https://mncourtfraud.com/file/MCRO_27-CR-23-284_Order for Booking_2023-01-13_20240430071744.pdf","MCRO_27-CR-23-284_Order for Booking_2023-01-13_20240430071744.pdf")</f>
        <v>MCRO_27-CR-23-284_Order for Booking_2023-01-13_20240430071744.pdf</v>
      </c>
      <c r="C3419" s="1" t="n">
        <v>5</v>
      </c>
      <c r="D3419" s="1" t="n">
        <v>3</v>
      </c>
      <c r="E3419" s="1" t="n">
        <v>3</v>
      </c>
      <c r="F3419" s="3" t="s">
        <v>20</v>
      </c>
      <c r="G3419" s="3" t="s">
        <v>13754</v>
      </c>
      <c r="H3419" s="1" t="s">
        <v>22</v>
      </c>
      <c r="I3419" s="1" t="n">
        <v>20240430071744</v>
      </c>
      <c r="J3419" s="3" t="s">
        <v>13755</v>
      </c>
      <c r="K3419" s="3" t="s">
        <v>13756</v>
      </c>
      <c r="L3419" s="3" t="s">
        <v>13757</v>
      </c>
      <c r="M3419" s="3" t="n">
        <v>228578</v>
      </c>
      <c r="N3419" s="3" t="s">
        <v>4948</v>
      </c>
      <c r="O3419" s="1" t="n">
        <v>212192</v>
      </c>
      <c r="P3419" s="1" t="n">
        <v>92.83</v>
      </c>
      <c r="Q3419" s="1" t="s">
        <v>20</v>
      </c>
      <c r="R3419" s="1" t="s">
        <v>27</v>
      </c>
      <c r="S3419" s="1" t="s">
        <v>28</v>
      </c>
      <c r="T3419" s="1" t="s">
        <v>29</v>
      </c>
    </row>
    <row r="3420" customFormat="false" ht="18.7" hidden="false" customHeight="true" outlineLevel="0" collapsed="false">
      <c r="A3420" s="1" t="n">
        <v>3419</v>
      </c>
      <c r="B3420" s="6" t="str">
        <f aca="false">HYPERLINK("https://mncourtfraud.com/file/MCRO_27-CR-23-284_Order for Conditional Release_2023-04-19_20240430071739.pdf","MCRO_27-CR-23-284_Order for Conditional Release_2023-04-19_20240430071739.pdf")</f>
        <v>MCRO_27-CR-23-284_Order for Conditional Release_2023-04-19_20240430071739.pdf</v>
      </c>
      <c r="C3420" s="1" t="n">
        <v>9</v>
      </c>
      <c r="D3420" s="1" t="n">
        <v>3</v>
      </c>
      <c r="E3420" s="1" t="n">
        <v>3</v>
      </c>
      <c r="F3420" s="3" t="s">
        <v>27</v>
      </c>
      <c r="G3420" s="3" t="s">
        <v>13758</v>
      </c>
      <c r="H3420" s="1" t="s">
        <v>22</v>
      </c>
      <c r="I3420" s="1" t="n">
        <v>20240430071739</v>
      </c>
      <c r="J3420" s="3" t="s">
        <v>13759</v>
      </c>
      <c r="K3420" s="3" t="s">
        <v>13760</v>
      </c>
      <c r="L3420" s="3" t="s">
        <v>13761</v>
      </c>
      <c r="M3420" s="3" t="n">
        <v>929397</v>
      </c>
      <c r="N3420" s="3" t="s">
        <v>4192</v>
      </c>
      <c r="O3420" s="1" t="n">
        <v>913011</v>
      </c>
      <c r="P3420" s="1" t="n">
        <v>98.24</v>
      </c>
      <c r="Q3420" s="1" t="s">
        <v>20</v>
      </c>
      <c r="R3420" s="1" t="s">
        <v>27</v>
      </c>
      <c r="S3420" s="1" t="s">
        <v>28</v>
      </c>
      <c r="T3420" s="1" t="s">
        <v>29</v>
      </c>
    </row>
    <row r="3421" customFormat="false" ht="18.7" hidden="false" customHeight="true" outlineLevel="0" collapsed="false">
      <c r="A3421" s="1" t="n">
        <v>3420</v>
      </c>
      <c r="B3421" s="6" t="str">
        <f aca="false">HYPERLINK("https://mncourtfraud.com/file/MCRO_27-CR-23-284_Order for Dismissal_2023-04-27_20240430071738.pdf","MCRO_27-CR-23-284_Order for Dismissal_2023-04-27_20240430071738.pdf")</f>
        <v>MCRO_27-CR-23-284_Order for Dismissal_2023-04-27_20240430071738.pdf</v>
      </c>
      <c r="C3421" s="1" t="n">
        <v>7</v>
      </c>
      <c r="D3421" s="1" t="n">
        <v>3</v>
      </c>
      <c r="E3421" s="1" t="n">
        <v>3</v>
      </c>
      <c r="F3421" s="3" t="s">
        <v>20</v>
      </c>
      <c r="G3421" s="3" t="s">
        <v>13762</v>
      </c>
      <c r="H3421" s="1" t="s">
        <v>22</v>
      </c>
      <c r="I3421" s="1" t="n">
        <v>20240430071738</v>
      </c>
      <c r="J3421" s="3" t="s">
        <v>13763</v>
      </c>
      <c r="K3421" s="3" t="s">
        <v>13764</v>
      </c>
      <c r="L3421" s="3" t="s">
        <v>13765</v>
      </c>
      <c r="M3421" s="3" t="n">
        <v>245666</v>
      </c>
      <c r="N3421" s="3" t="s">
        <v>2416</v>
      </c>
      <c r="O3421" s="1" t="n">
        <v>229280</v>
      </c>
      <c r="P3421" s="1" t="n">
        <v>93.33</v>
      </c>
      <c r="Q3421" s="1" t="s">
        <v>20</v>
      </c>
      <c r="R3421" s="1" t="s">
        <v>27</v>
      </c>
      <c r="S3421" s="1" t="s">
        <v>28</v>
      </c>
      <c r="T3421" s="1" t="s">
        <v>29</v>
      </c>
    </row>
    <row r="3422" customFormat="false" ht="18.7" hidden="false" customHeight="true" outlineLevel="0" collapsed="false">
      <c r="A3422" s="1" t="n">
        <v>3421</v>
      </c>
      <c r="B3422" s="6" t="str">
        <f aca="false">HYPERLINK("https://mncourtfraud.com/file/MCRO_27-CR-23-284_Proposed Order or Document_2023-01-10_20240430071745.pdf","MCRO_27-CR-23-284_Proposed Order or Document_2023-01-10_20240430071745.pdf")</f>
        <v>MCRO_27-CR-23-284_Proposed Order or Document_2023-01-10_20240430071745.pdf</v>
      </c>
      <c r="C3422" s="1" t="n">
        <v>3</v>
      </c>
      <c r="D3422" s="1" t="n">
        <v>1</v>
      </c>
      <c r="E3422" s="1" t="n">
        <v>1</v>
      </c>
      <c r="F3422" s="3" t="s">
        <v>20</v>
      </c>
      <c r="G3422" s="3" t="s">
        <v>13766</v>
      </c>
      <c r="H3422" s="1" t="s">
        <v>22</v>
      </c>
      <c r="I3422" s="1" t="n">
        <v>20240430071745</v>
      </c>
      <c r="J3422" s="3" t="s">
        <v>13767</v>
      </c>
      <c r="K3422" s="3" t="s">
        <v>13768</v>
      </c>
      <c r="L3422" s="3" t="s">
        <v>13769</v>
      </c>
      <c r="M3422" s="3" t="n">
        <v>109874</v>
      </c>
      <c r="N3422" s="3" t="s">
        <v>3668</v>
      </c>
      <c r="O3422" s="1" t="n">
        <v>93488</v>
      </c>
      <c r="P3422" s="1" t="n">
        <v>85.09</v>
      </c>
      <c r="Q3422" s="1" t="s">
        <v>20</v>
      </c>
      <c r="R3422" s="1" t="s">
        <v>27</v>
      </c>
      <c r="S3422" s="1" t="s">
        <v>28</v>
      </c>
      <c r="T3422" s="1" t="s">
        <v>29</v>
      </c>
    </row>
    <row r="3423" customFormat="false" ht="18.7" hidden="false" customHeight="true" outlineLevel="0" collapsed="false">
      <c r="A3423" s="1" t="n">
        <v>3422</v>
      </c>
      <c r="B3423" s="6" t="str">
        <f aca="false">HYPERLINK("https://mncourtfraud.com/file/MCRO_27-CR-23-284_Returned Mail_2023-02-22_20240430071742.pdf","MCRO_27-CR-23-284_Returned Mail_2023-02-22_20240430071742.pdf")</f>
        <v>MCRO_27-CR-23-284_Returned Mail_2023-02-22_20240430071742.pdf</v>
      </c>
      <c r="C3423" s="1" t="n">
        <v>4</v>
      </c>
      <c r="D3423" s="1" t="n">
        <v>1</v>
      </c>
      <c r="E3423" s="1" t="n">
        <v>1</v>
      </c>
      <c r="F3423" s="3" t="s">
        <v>20</v>
      </c>
      <c r="G3423" s="3" t="s">
        <v>13770</v>
      </c>
      <c r="H3423" s="1" t="s">
        <v>22</v>
      </c>
      <c r="I3423" s="1" t="n">
        <v>20240430071742</v>
      </c>
      <c r="J3423" s="3" t="s">
        <v>13771</v>
      </c>
      <c r="K3423" s="3" t="s">
        <v>13772</v>
      </c>
      <c r="L3423" s="3" t="s">
        <v>13773</v>
      </c>
      <c r="M3423" s="3" t="n">
        <v>487932</v>
      </c>
      <c r="N3423" s="3" t="s">
        <v>158</v>
      </c>
      <c r="O3423" s="1" t="n">
        <v>471546</v>
      </c>
      <c r="P3423" s="1" t="n">
        <v>96.64</v>
      </c>
      <c r="Q3423" s="1" t="s">
        <v>20</v>
      </c>
      <c r="R3423" s="1" t="s">
        <v>27</v>
      </c>
      <c r="S3423" s="1" t="s">
        <v>28</v>
      </c>
      <c r="T3423" s="1" t="s">
        <v>29</v>
      </c>
    </row>
    <row r="3424" customFormat="false" ht="18.7" hidden="false" customHeight="true" outlineLevel="0" collapsed="false">
      <c r="A3424" s="1" t="n">
        <v>3423</v>
      </c>
      <c r="B3424" s="6" t="str">
        <f aca="false">HYPERLINK("https://mncourtfraud.com/file/MCRO_27-CR-23-3198_Demand or Request for Discovery_2023-02-13_20240430072736.pdf","MCRO_27-CR-23-3198_Demand or Request for Discovery_2023-02-13_20240430072736.pdf")</f>
        <v>MCRO_27-CR-23-3198_Demand or Request for Discovery_2023-02-13_20240430072736.pdf</v>
      </c>
      <c r="C3424" s="1" t="n">
        <v>3</v>
      </c>
      <c r="D3424" s="1" t="n">
        <v>1</v>
      </c>
      <c r="E3424" s="1" t="n">
        <v>1</v>
      </c>
      <c r="F3424" s="3" t="s">
        <v>20</v>
      </c>
      <c r="G3424" s="3" t="s">
        <v>13774</v>
      </c>
      <c r="H3424" s="1" t="s">
        <v>22</v>
      </c>
      <c r="I3424" s="1" t="n">
        <v>20240430072736</v>
      </c>
      <c r="J3424" s="3" t="s">
        <v>13775</v>
      </c>
      <c r="K3424" s="3" t="s">
        <v>13776</v>
      </c>
      <c r="L3424" s="3" t="s">
        <v>13777</v>
      </c>
      <c r="M3424" s="3" t="n">
        <v>288985</v>
      </c>
      <c r="N3424" s="3" t="s">
        <v>2557</v>
      </c>
      <c r="O3424" s="1" t="n">
        <v>272599</v>
      </c>
      <c r="P3424" s="1" t="n">
        <v>94.33</v>
      </c>
      <c r="Q3424" s="1" t="s">
        <v>20</v>
      </c>
      <c r="R3424" s="1" t="s">
        <v>27</v>
      </c>
      <c r="S3424" s="1" t="s">
        <v>28</v>
      </c>
      <c r="T3424" s="1" t="s">
        <v>29</v>
      </c>
    </row>
    <row r="3425" customFormat="false" ht="18.7" hidden="false" customHeight="true" outlineLevel="0" collapsed="false">
      <c r="A3425" s="1" t="n">
        <v>3424</v>
      </c>
      <c r="B3425" s="6" t="str">
        <f aca="false">HYPERLINK("https://mncourtfraud.com/file/MCRO_27-CR-23-3198_Finding of Incompetency and Order_2023-12-06_20240430072732.pdf","MCRO_27-CR-23-3198_Finding of Incompetency and Order_2023-12-06_20240430072732.pdf")</f>
        <v>MCRO_27-CR-23-3198_Finding of Incompetency and Order_2023-12-06_20240430072732.pdf</v>
      </c>
      <c r="C3425" s="1" t="n">
        <v>9</v>
      </c>
      <c r="D3425" s="1" t="n">
        <v>9</v>
      </c>
      <c r="E3425" s="1" t="n">
        <v>9</v>
      </c>
      <c r="F3425" s="3" t="s">
        <v>20</v>
      </c>
      <c r="G3425" s="3" t="s">
        <v>13778</v>
      </c>
      <c r="H3425" s="1" t="s">
        <v>22</v>
      </c>
      <c r="I3425" s="1" t="n">
        <v>20240430072732</v>
      </c>
      <c r="J3425" s="3" t="s">
        <v>13779</v>
      </c>
      <c r="K3425" s="3" t="s">
        <v>13780</v>
      </c>
      <c r="L3425" s="3" t="s">
        <v>13781</v>
      </c>
      <c r="M3425" s="3" t="n">
        <v>514524</v>
      </c>
      <c r="N3425" s="3" t="s">
        <v>863</v>
      </c>
      <c r="O3425" s="1" t="n">
        <v>498138</v>
      </c>
      <c r="P3425" s="1" t="n">
        <v>96.82</v>
      </c>
      <c r="Q3425" s="1" t="s">
        <v>20</v>
      </c>
      <c r="R3425" s="1" t="s">
        <v>27</v>
      </c>
      <c r="S3425" s="1" t="s">
        <v>28</v>
      </c>
      <c r="T3425" s="1" t="s">
        <v>29</v>
      </c>
    </row>
    <row r="3426" customFormat="false" ht="18.7" hidden="false" customHeight="true" outlineLevel="0" collapsed="false">
      <c r="A3426" s="1" t="n">
        <v>3425</v>
      </c>
      <c r="B3426" s="6" t="str">
        <f aca="false">HYPERLINK("https://mncourtfraud.com/file/MCRO_27-CR-23-3198_Finding of Incompetency and Order_2023-12-11_20240430072731.pdf","MCRO_27-CR-23-3198_Finding of Incompetency and Order_2023-12-11_20240430072731.pdf")</f>
        <v>MCRO_27-CR-23-3198_Finding of Incompetency and Order_2023-12-11_20240430072731.pdf</v>
      </c>
      <c r="C3426" s="1" t="n">
        <v>9</v>
      </c>
      <c r="D3426" s="1" t="n">
        <v>3</v>
      </c>
      <c r="E3426" s="1" t="n">
        <v>3</v>
      </c>
      <c r="F3426" s="3" t="s">
        <v>20</v>
      </c>
      <c r="G3426" s="3" t="s">
        <v>13782</v>
      </c>
      <c r="H3426" s="1" t="s">
        <v>22</v>
      </c>
      <c r="I3426" s="1" t="n">
        <v>20240430072731</v>
      </c>
      <c r="J3426" s="3" t="s">
        <v>13783</v>
      </c>
      <c r="K3426" s="3" t="s">
        <v>13784</v>
      </c>
      <c r="L3426" s="3" t="s">
        <v>13785</v>
      </c>
      <c r="M3426" s="3" t="n">
        <v>980536</v>
      </c>
      <c r="N3426" s="3" t="s">
        <v>390</v>
      </c>
      <c r="O3426" s="1" t="n">
        <v>964150</v>
      </c>
      <c r="P3426" s="1" t="n">
        <v>98.33</v>
      </c>
      <c r="Q3426" s="1" t="s">
        <v>20</v>
      </c>
      <c r="R3426" s="1" t="s">
        <v>27</v>
      </c>
      <c r="S3426" s="1" t="s">
        <v>28</v>
      </c>
      <c r="T3426" s="1" t="s">
        <v>29</v>
      </c>
    </row>
    <row r="3427" customFormat="false" ht="18.7" hidden="false" customHeight="true" outlineLevel="0" collapsed="false">
      <c r="A3427" s="1" t="n">
        <v>3426</v>
      </c>
      <c r="B3427" s="6" t="str">
        <f aca="false">HYPERLINK("https://mncourtfraud.com/file/MCRO_27-CR-23-3198_Memorandum_2024-01-26_20240430072729.pdf","MCRO_27-CR-23-3198_Memorandum_2024-01-26_20240430072729.pdf")</f>
        <v>MCRO_27-CR-23-3198_Memorandum_2024-01-26_20240430072729.pdf</v>
      </c>
      <c r="C3427" s="1" t="n">
        <v>3</v>
      </c>
      <c r="D3427" s="1" t="n">
        <v>1</v>
      </c>
      <c r="E3427" s="1" t="n">
        <v>1</v>
      </c>
      <c r="F3427" s="3" t="s">
        <v>20</v>
      </c>
      <c r="G3427" s="3" t="s">
        <v>13786</v>
      </c>
      <c r="H3427" s="1" t="s">
        <v>22</v>
      </c>
      <c r="I3427" s="1" t="n">
        <v>20240430072729</v>
      </c>
      <c r="J3427" s="3" t="s">
        <v>13787</v>
      </c>
      <c r="K3427" s="3" t="s">
        <v>13788</v>
      </c>
      <c r="L3427" s="3" t="s">
        <v>13789</v>
      </c>
      <c r="M3427" s="3" t="n">
        <v>244523</v>
      </c>
      <c r="N3427" s="3" t="s">
        <v>167</v>
      </c>
      <c r="O3427" s="1" t="n">
        <v>228137</v>
      </c>
      <c r="P3427" s="1" t="n">
        <v>93.3</v>
      </c>
      <c r="Q3427" s="1" t="s">
        <v>20</v>
      </c>
      <c r="R3427" s="1" t="s">
        <v>27</v>
      </c>
      <c r="S3427" s="1" t="s">
        <v>28</v>
      </c>
      <c r="T3427" s="1" t="s">
        <v>29</v>
      </c>
    </row>
    <row r="3428" customFormat="false" ht="18.7" hidden="false" customHeight="true" outlineLevel="0" collapsed="false">
      <c r="A3428" s="1" t="n">
        <v>3427</v>
      </c>
      <c r="B3428" s="6" t="str">
        <f aca="false">HYPERLINK("https://mncourtfraud.com/file/MCRO_27-CR-23-3198_Memorandum_2024-01-30_20240430072728.pdf","MCRO_27-CR-23-3198_Memorandum_2024-01-30_20240430072728.pdf")</f>
        <v>MCRO_27-CR-23-3198_Memorandum_2024-01-30_20240430072728.pdf</v>
      </c>
      <c r="C3428" s="1" t="n">
        <v>3</v>
      </c>
      <c r="D3428" s="1" t="n">
        <v>1</v>
      </c>
      <c r="E3428" s="1" t="n">
        <v>1</v>
      </c>
      <c r="F3428" s="3" t="s">
        <v>20</v>
      </c>
      <c r="G3428" s="3" t="s">
        <v>13790</v>
      </c>
      <c r="H3428" s="1" t="s">
        <v>22</v>
      </c>
      <c r="I3428" s="1" t="n">
        <v>20240430072728</v>
      </c>
      <c r="J3428" s="3" t="s">
        <v>13791</v>
      </c>
      <c r="K3428" s="3" t="s">
        <v>13792</v>
      </c>
      <c r="L3428" s="3" t="s">
        <v>13793</v>
      </c>
      <c r="M3428" s="3" t="n">
        <v>443298</v>
      </c>
      <c r="N3428" s="3" t="s">
        <v>13794</v>
      </c>
      <c r="O3428" s="1" t="n">
        <v>426912</v>
      </c>
      <c r="P3428" s="1" t="n">
        <v>96.3</v>
      </c>
      <c r="Q3428" s="1" t="s">
        <v>20</v>
      </c>
      <c r="R3428" s="1" t="s">
        <v>27</v>
      </c>
      <c r="S3428" s="1" t="s">
        <v>28</v>
      </c>
      <c r="T3428" s="1" t="s">
        <v>29</v>
      </c>
    </row>
    <row r="3429" customFormat="false" ht="18.7" hidden="false" customHeight="true" outlineLevel="0" collapsed="false">
      <c r="A3429" s="1" t="n">
        <v>3428</v>
      </c>
      <c r="B3429" s="6" t="str">
        <f aca="false">HYPERLINK("https://mncourtfraud.com/file/MCRO_27-CR-23-3198_Motion for Review_2024-02-13_20240430072723.pdf","MCRO_27-CR-23-3198_Motion for Review_2024-02-13_20240430072723.pdf")</f>
        <v>MCRO_27-CR-23-3198_Motion for Review_2024-02-13_20240430072723.pdf</v>
      </c>
      <c r="C3429" s="1" t="n">
        <v>3</v>
      </c>
      <c r="D3429" s="1" t="n">
        <v>1</v>
      </c>
      <c r="E3429" s="1" t="n">
        <v>1</v>
      </c>
      <c r="F3429" s="3" t="s">
        <v>20</v>
      </c>
      <c r="G3429" s="3" t="s">
        <v>13795</v>
      </c>
      <c r="H3429" s="1" t="s">
        <v>22</v>
      </c>
      <c r="I3429" s="1" t="n">
        <v>20240430072723</v>
      </c>
      <c r="J3429" s="3" t="s">
        <v>13796</v>
      </c>
      <c r="K3429" s="3" t="s">
        <v>13797</v>
      </c>
      <c r="L3429" s="3" t="s">
        <v>13798</v>
      </c>
      <c r="M3429" s="3" t="n">
        <v>177345</v>
      </c>
      <c r="N3429" s="3" t="s">
        <v>64</v>
      </c>
      <c r="O3429" s="1" t="n">
        <v>160959</v>
      </c>
      <c r="P3429" s="1" t="n">
        <v>90.76</v>
      </c>
      <c r="Q3429" s="1" t="s">
        <v>20</v>
      </c>
      <c r="R3429" s="1" t="s">
        <v>27</v>
      </c>
      <c r="S3429" s="1" t="s">
        <v>28</v>
      </c>
      <c r="T3429" s="1" t="s">
        <v>29</v>
      </c>
    </row>
    <row r="3430" customFormat="false" ht="18.7" hidden="false" customHeight="true" outlineLevel="0" collapsed="false">
      <c r="A3430" s="1" t="n">
        <v>3429</v>
      </c>
      <c r="B3430" s="6" t="str">
        <f aca="false">HYPERLINK("https://mncourtfraud.com/file/MCRO_27-CR-23-3198_Notice by Attorney or Party_2024-02-15_20240430072722.pdf","MCRO_27-CR-23-3198_Notice by Attorney or Party_2024-02-15_20240430072722.pdf")</f>
        <v>MCRO_27-CR-23-3198_Notice by Attorney or Party_2024-02-15_20240430072722.pdf</v>
      </c>
      <c r="C3430" s="1" t="n">
        <v>3</v>
      </c>
      <c r="D3430" s="1" t="n">
        <v>1</v>
      </c>
      <c r="E3430" s="1" t="n">
        <v>1</v>
      </c>
      <c r="F3430" s="3" t="s">
        <v>20</v>
      </c>
      <c r="G3430" s="3" t="s">
        <v>13799</v>
      </c>
      <c r="H3430" s="1" t="s">
        <v>22</v>
      </c>
      <c r="I3430" s="1" t="n">
        <v>20240430072722</v>
      </c>
      <c r="J3430" s="3" t="s">
        <v>13800</v>
      </c>
      <c r="K3430" s="3" t="s">
        <v>13801</v>
      </c>
      <c r="L3430" s="3" t="s">
        <v>13802</v>
      </c>
      <c r="M3430" s="3" t="n">
        <v>136108</v>
      </c>
      <c r="N3430" s="3" t="s">
        <v>5096</v>
      </c>
      <c r="O3430" s="1" t="n">
        <v>119722</v>
      </c>
      <c r="P3430" s="1" t="n">
        <v>87.96</v>
      </c>
      <c r="Q3430" s="1" t="s">
        <v>20</v>
      </c>
      <c r="R3430" s="1" t="s">
        <v>27</v>
      </c>
      <c r="S3430" s="1" t="s">
        <v>28</v>
      </c>
      <c r="T3430" s="1" t="s">
        <v>29</v>
      </c>
    </row>
    <row r="3431" customFormat="false" ht="18.7" hidden="false" customHeight="true" outlineLevel="0" collapsed="false">
      <c r="A3431" s="1" t="n">
        <v>3430</v>
      </c>
      <c r="B3431" s="6" t="str">
        <f aca="false">HYPERLINK("https://mncourtfraud.com/file/MCRO_27-CR-23-3198_Notice of Hearing_2024-04-17_20240430072718.pdf","MCRO_27-CR-23-3198_Notice of Hearing_2024-04-17_20240430072718.pdf")</f>
        <v>MCRO_27-CR-23-3198_Notice of Hearing_2024-04-17_20240430072718.pdf</v>
      </c>
      <c r="C3431" s="1" t="n">
        <v>5</v>
      </c>
      <c r="D3431" s="1" t="n">
        <v>1</v>
      </c>
      <c r="E3431" s="1" t="n">
        <v>1</v>
      </c>
      <c r="F3431" s="3" t="s">
        <v>20</v>
      </c>
      <c r="G3431" s="3" t="s">
        <v>13803</v>
      </c>
      <c r="H3431" s="1" t="s">
        <v>22</v>
      </c>
      <c r="I3431" s="1" t="n">
        <v>20240430072718</v>
      </c>
      <c r="J3431" s="3" t="s">
        <v>13804</v>
      </c>
      <c r="K3431" s="3" t="s">
        <v>13805</v>
      </c>
      <c r="L3431" s="3" t="s">
        <v>13806</v>
      </c>
      <c r="M3431" s="3" t="n">
        <v>739905</v>
      </c>
      <c r="N3431" s="3" t="s">
        <v>5599</v>
      </c>
      <c r="O3431" s="1" t="n">
        <v>723519</v>
      </c>
      <c r="P3431" s="1" t="n">
        <v>97.79</v>
      </c>
      <c r="Q3431" s="1" t="s">
        <v>20</v>
      </c>
      <c r="R3431" s="1" t="s">
        <v>27</v>
      </c>
      <c r="S3431" s="1" t="s">
        <v>28</v>
      </c>
      <c r="T3431" s="1" t="s">
        <v>29</v>
      </c>
    </row>
    <row r="3432" customFormat="false" ht="18.7" hidden="false" customHeight="true" outlineLevel="0" collapsed="false">
      <c r="A3432" s="1" t="n">
        <v>3431</v>
      </c>
      <c r="B3432" s="6" t="str">
        <f aca="false">HYPERLINK("https://mncourtfraud.com/file/MCRO_27-CR-23-3198_Notice of Motion and Motion_2023-12-15_20240430072730.pdf","MCRO_27-CR-23-3198_Notice of Motion and Motion_2023-12-15_20240430072730.pdf")</f>
        <v>MCRO_27-CR-23-3198_Notice of Motion and Motion_2023-12-15_20240430072730.pdf</v>
      </c>
      <c r="C3432" s="1" t="n">
        <v>3</v>
      </c>
      <c r="D3432" s="1" t="n">
        <v>1</v>
      </c>
      <c r="E3432" s="1" t="n">
        <v>1</v>
      </c>
      <c r="F3432" s="3" t="s">
        <v>20</v>
      </c>
      <c r="G3432" s="3" t="s">
        <v>13807</v>
      </c>
      <c r="H3432" s="1" t="s">
        <v>22</v>
      </c>
      <c r="I3432" s="1" t="n">
        <v>20240430072730</v>
      </c>
      <c r="J3432" s="3" t="s">
        <v>13808</v>
      </c>
      <c r="K3432" s="3" t="s">
        <v>13809</v>
      </c>
      <c r="L3432" s="3" t="s">
        <v>13810</v>
      </c>
      <c r="M3432" s="3" t="n">
        <v>137353</v>
      </c>
      <c r="N3432" s="3" t="s">
        <v>607</v>
      </c>
      <c r="O3432" s="1" t="n">
        <v>120967</v>
      </c>
      <c r="P3432" s="1" t="n">
        <v>88.07</v>
      </c>
      <c r="Q3432" s="1" t="s">
        <v>20</v>
      </c>
      <c r="R3432" s="1" t="s">
        <v>27</v>
      </c>
      <c r="S3432" s="1" t="s">
        <v>28</v>
      </c>
      <c r="T3432" s="1" t="s">
        <v>29</v>
      </c>
    </row>
    <row r="3433" customFormat="false" ht="18.7" hidden="false" customHeight="true" outlineLevel="0" collapsed="false">
      <c r="A3433" s="1" t="n">
        <v>3432</v>
      </c>
      <c r="B3433" s="6" t="str">
        <f aca="false">HYPERLINK("https://mncourtfraud.com/file/MCRO_27-CR-23-3198_Notice of Motion and Motion_2024-02-05_20240430072726.pdf","MCRO_27-CR-23-3198_Notice of Motion and Motion_2024-02-05_20240430072726.pdf")</f>
        <v>MCRO_27-CR-23-3198_Notice of Motion and Motion_2024-02-05_20240430072726.pdf</v>
      </c>
      <c r="C3433" s="1" t="n">
        <v>3</v>
      </c>
      <c r="D3433" s="1" t="n">
        <v>1</v>
      </c>
      <c r="E3433" s="1" t="n">
        <v>1</v>
      </c>
      <c r="F3433" s="3" t="s">
        <v>20</v>
      </c>
      <c r="G3433" s="3" t="s">
        <v>13811</v>
      </c>
      <c r="H3433" s="1" t="s">
        <v>22</v>
      </c>
      <c r="I3433" s="1" t="n">
        <v>20240430072726</v>
      </c>
      <c r="J3433" s="3" t="s">
        <v>13812</v>
      </c>
      <c r="K3433" s="3" t="s">
        <v>13813</v>
      </c>
      <c r="L3433" s="3" t="s">
        <v>13814</v>
      </c>
      <c r="M3433" s="3" t="n">
        <v>303347</v>
      </c>
      <c r="N3433" s="3" t="s">
        <v>7051</v>
      </c>
      <c r="O3433" s="1" t="n">
        <v>286961</v>
      </c>
      <c r="P3433" s="1" t="n">
        <v>94.6</v>
      </c>
      <c r="Q3433" s="1" t="s">
        <v>20</v>
      </c>
      <c r="R3433" s="1" t="s">
        <v>27</v>
      </c>
      <c r="S3433" s="1" t="s">
        <v>28</v>
      </c>
      <c r="T3433" s="1" t="s">
        <v>29</v>
      </c>
    </row>
    <row r="3434" customFormat="false" ht="18.7" hidden="false" customHeight="true" outlineLevel="0" collapsed="false">
      <c r="A3434" s="1" t="n">
        <v>3433</v>
      </c>
      <c r="B3434" s="6" t="str">
        <f aca="false">HYPERLINK("https://mncourtfraud.com/file/MCRO_27-CR-23-3198_Order Denying Motion_2024-01-31_20240430072727.pdf","MCRO_27-CR-23-3198_Order Denying Motion_2024-01-31_20240430072727.pdf")</f>
        <v>MCRO_27-CR-23-3198_Order Denying Motion_2024-01-31_20240430072727.pdf</v>
      </c>
      <c r="C3434" s="1" t="n">
        <v>6</v>
      </c>
      <c r="D3434" s="1" t="n">
        <v>5</v>
      </c>
      <c r="E3434" s="1" t="n">
        <v>5</v>
      </c>
      <c r="F3434" s="3" t="s">
        <v>20</v>
      </c>
      <c r="G3434" s="3" t="s">
        <v>13815</v>
      </c>
      <c r="H3434" s="1" t="s">
        <v>22</v>
      </c>
      <c r="I3434" s="1" t="n">
        <v>20240430072727</v>
      </c>
      <c r="J3434" s="3" t="s">
        <v>13816</v>
      </c>
      <c r="K3434" s="3" t="s">
        <v>13817</v>
      </c>
      <c r="L3434" s="3" t="s">
        <v>13818</v>
      </c>
      <c r="M3434" s="3" t="n">
        <v>276513</v>
      </c>
      <c r="N3434" s="3" t="s">
        <v>11374</v>
      </c>
      <c r="O3434" s="1" t="n">
        <v>260127</v>
      </c>
      <c r="P3434" s="1" t="n">
        <v>94.07</v>
      </c>
      <c r="Q3434" s="1" t="s">
        <v>20</v>
      </c>
      <c r="R3434" s="1" t="s">
        <v>27</v>
      </c>
      <c r="S3434" s="1" t="s">
        <v>28</v>
      </c>
      <c r="T3434" s="1" t="s">
        <v>29</v>
      </c>
    </row>
    <row r="3435" customFormat="false" ht="18.7" hidden="false" customHeight="true" outlineLevel="0" collapsed="false">
      <c r="A3435" s="1" t="n">
        <v>3434</v>
      </c>
      <c r="B3435" s="6" t="str">
        <f aca="false">HYPERLINK("https://mncourtfraud.com/file/MCRO_27-CR-23-3198_Order-Evaluation for Competency to Proceed (Rule 20.01)_2023-03-06_20240430072735.pdf","MCRO_27-CR-23-3198_Order-Evaluation for Competency to Proceed (Rule 20.01)_2023-03-06_20240430072735.pdf")</f>
        <v>MCRO_27-CR-23-3198_Order-Evaluation for Competency to Proceed (Rule 20.01)_2023-03-06_20240430072735.pdf</v>
      </c>
      <c r="C3435" s="1" t="n">
        <v>4</v>
      </c>
      <c r="D3435" s="1" t="n">
        <v>1</v>
      </c>
      <c r="E3435" s="1" t="n">
        <v>1</v>
      </c>
      <c r="F3435" s="3" t="s">
        <v>20</v>
      </c>
      <c r="G3435" s="3" t="s">
        <v>13819</v>
      </c>
      <c r="H3435" s="1" t="s">
        <v>22</v>
      </c>
      <c r="I3435" s="1" t="n">
        <v>20240430072735</v>
      </c>
      <c r="J3435" s="3" t="s">
        <v>13820</v>
      </c>
      <c r="K3435" s="3" t="s">
        <v>13821</v>
      </c>
      <c r="L3435" s="3" t="s">
        <v>13822</v>
      </c>
      <c r="M3435" s="3" t="n">
        <v>930862</v>
      </c>
      <c r="N3435" s="3" t="s">
        <v>764</v>
      </c>
      <c r="O3435" s="1" t="n">
        <v>914476</v>
      </c>
      <c r="P3435" s="1" t="n">
        <v>98.24</v>
      </c>
      <c r="Q3435" s="1" t="s">
        <v>20</v>
      </c>
      <c r="R3435" s="1" t="s">
        <v>27</v>
      </c>
      <c r="S3435" s="1" t="s">
        <v>28</v>
      </c>
      <c r="T3435" s="1" t="s">
        <v>29</v>
      </c>
    </row>
    <row r="3436" customFormat="false" ht="18.7" hidden="false" customHeight="true" outlineLevel="0" collapsed="false">
      <c r="A3436" s="1" t="n">
        <v>3435</v>
      </c>
      <c r="B3436" s="6" t="str">
        <f aca="false">HYPERLINK("https://mncourtfraud.com/file/MCRO_27-CR-23-3198_Order-Evaluation for Competency to Proceed (Rule 20.01)_2023-03-07_20240430072734.pdf","MCRO_27-CR-23-3198_Order-Evaluation for Competency to Proceed (Rule 20.01)_2023-03-07_20240430072734.pdf")</f>
        <v>MCRO_27-CR-23-3198_Order-Evaluation for Competency to Proceed (Rule 20.01)_2023-03-07_20240430072734.pdf</v>
      </c>
      <c r="C3436" s="1" t="n">
        <v>3</v>
      </c>
      <c r="D3436" s="1" t="n">
        <v>1</v>
      </c>
      <c r="E3436" s="1" t="n">
        <v>1</v>
      </c>
      <c r="F3436" s="3" t="s">
        <v>20</v>
      </c>
      <c r="G3436" s="3" t="s">
        <v>13823</v>
      </c>
      <c r="H3436" s="1" t="s">
        <v>22</v>
      </c>
      <c r="I3436" s="1" t="n">
        <v>20240430072734</v>
      </c>
      <c r="J3436" s="3" t="s">
        <v>13824</v>
      </c>
      <c r="K3436" s="3" t="s">
        <v>13825</v>
      </c>
      <c r="L3436" s="3" t="s">
        <v>13826</v>
      </c>
      <c r="M3436" s="3" t="n">
        <v>980221</v>
      </c>
      <c r="N3436" s="3" t="s">
        <v>13421</v>
      </c>
      <c r="O3436" s="1" t="n">
        <v>963835</v>
      </c>
      <c r="P3436" s="1" t="n">
        <v>98.33</v>
      </c>
      <c r="Q3436" s="1" t="s">
        <v>20</v>
      </c>
      <c r="R3436" s="1" t="s">
        <v>27</v>
      </c>
      <c r="S3436" s="1" t="s">
        <v>28</v>
      </c>
      <c r="T3436" s="1" t="s">
        <v>29</v>
      </c>
    </row>
    <row r="3437" customFormat="false" ht="18.7" hidden="false" customHeight="true" outlineLevel="0" collapsed="false">
      <c r="A3437" s="1" t="n">
        <v>3436</v>
      </c>
      <c r="B3437" s="6" t="str">
        <f aca="false">HYPERLINK("https://mncourtfraud.com/file/MCRO_27-CR-23-3198_Order-Evaluation for Competency to Proceed (Rule 20.01)_2023-07-31_20240430072733.pdf","MCRO_27-CR-23-3198_Order-Evaluation for Competency to Proceed (Rule 20.01)_2023-07-31_20240430072733.pdf")</f>
        <v>MCRO_27-CR-23-3198_Order-Evaluation for Competency to Proceed (Rule 20.01)_2023-07-31_20240430072733.pdf</v>
      </c>
      <c r="C3437" s="1" t="n">
        <v>3</v>
      </c>
      <c r="D3437" s="1" t="n">
        <v>1</v>
      </c>
      <c r="E3437" s="1" t="n">
        <v>1</v>
      </c>
      <c r="F3437" s="3" t="s">
        <v>20</v>
      </c>
      <c r="G3437" s="3" t="s">
        <v>13827</v>
      </c>
      <c r="H3437" s="1" t="s">
        <v>22</v>
      </c>
      <c r="I3437" s="1" t="n">
        <v>20240430072733</v>
      </c>
      <c r="J3437" s="3" t="s">
        <v>13828</v>
      </c>
      <c r="K3437" s="3" t="s">
        <v>13829</v>
      </c>
      <c r="L3437" s="3" t="s">
        <v>13830</v>
      </c>
      <c r="M3437" s="3" t="n">
        <v>318963</v>
      </c>
      <c r="N3437" s="3" t="s">
        <v>13831</v>
      </c>
      <c r="O3437" s="1" t="n">
        <v>302577</v>
      </c>
      <c r="P3437" s="1" t="n">
        <v>94.86</v>
      </c>
      <c r="Q3437" s="1" t="s">
        <v>20</v>
      </c>
      <c r="R3437" s="1" t="s">
        <v>27</v>
      </c>
      <c r="S3437" s="1" t="s">
        <v>28</v>
      </c>
      <c r="T3437" s="1" t="s">
        <v>29</v>
      </c>
    </row>
    <row r="3438" customFormat="false" ht="18.7" hidden="false" customHeight="true" outlineLevel="0" collapsed="false">
      <c r="A3438" s="1" t="n">
        <v>3437</v>
      </c>
      <c r="B3438" s="6" t="str">
        <f aca="false">HYPERLINK("https://mncourtfraud.com/file/MCRO_27-CR-23-3198_Order for Conditional Release_2024-02-16_20240430072722.pdf","MCRO_27-CR-23-3198_Order for Conditional Release_2024-02-16_20240430072722.pdf")</f>
        <v>MCRO_27-CR-23-3198_Order for Conditional Release_2024-02-16_20240430072722.pdf</v>
      </c>
      <c r="C3438" s="1" t="n">
        <v>5</v>
      </c>
      <c r="D3438" s="1" t="n">
        <v>1</v>
      </c>
      <c r="E3438" s="1" t="n">
        <v>1</v>
      </c>
      <c r="F3438" s="3" t="s">
        <v>20</v>
      </c>
      <c r="G3438" s="3" t="s">
        <v>13832</v>
      </c>
      <c r="H3438" s="1" t="s">
        <v>22</v>
      </c>
      <c r="I3438" s="1" t="n">
        <v>20240430072722</v>
      </c>
      <c r="J3438" s="3" t="s">
        <v>13833</v>
      </c>
      <c r="K3438" s="3" t="s">
        <v>13834</v>
      </c>
      <c r="L3438" s="3" t="s">
        <v>13835</v>
      </c>
      <c r="M3438" s="3" t="n">
        <v>764676</v>
      </c>
      <c r="N3438" s="3" t="s">
        <v>74</v>
      </c>
      <c r="O3438" s="1" t="n">
        <v>748290</v>
      </c>
      <c r="P3438" s="1" t="n">
        <v>97.86</v>
      </c>
      <c r="Q3438" s="1" t="s">
        <v>20</v>
      </c>
      <c r="R3438" s="1" t="s">
        <v>27</v>
      </c>
      <c r="S3438" s="1" t="s">
        <v>28</v>
      </c>
      <c r="T3438" s="1" t="s">
        <v>29</v>
      </c>
    </row>
    <row r="3439" customFormat="false" ht="18.7" hidden="false" customHeight="true" outlineLevel="0" collapsed="false">
      <c r="A3439" s="1" t="n">
        <v>3438</v>
      </c>
      <c r="B3439" s="6" t="str">
        <f aca="false">HYPERLINK("https://mncourtfraud.com/file/MCRO_27-CR-23-3198_Order-Other_2024-02-09_20240430072725.pdf","MCRO_27-CR-23-3198_Order-Other_2024-02-09_20240430072725.pdf")</f>
        <v>MCRO_27-CR-23-3198_Order-Other_2024-02-09_20240430072725.pdf</v>
      </c>
      <c r="C3439" s="1" t="n">
        <v>9</v>
      </c>
      <c r="D3439" s="1" t="n">
        <v>9</v>
      </c>
      <c r="E3439" s="1" t="n">
        <v>9</v>
      </c>
      <c r="F3439" s="3" t="s">
        <v>20</v>
      </c>
      <c r="G3439" s="3" t="s">
        <v>13836</v>
      </c>
      <c r="H3439" s="1" t="s">
        <v>22</v>
      </c>
      <c r="I3439" s="1" t="n">
        <v>20240430072725</v>
      </c>
      <c r="J3439" s="3" t="s">
        <v>13837</v>
      </c>
      <c r="K3439" s="3" t="s">
        <v>13838</v>
      </c>
      <c r="L3439" s="3" t="s">
        <v>13839</v>
      </c>
      <c r="M3439" s="3" t="n">
        <v>460208</v>
      </c>
      <c r="N3439" s="3" t="s">
        <v>13745</v>
      </c>
      <c r="O3439" s="1" t="n">
        <v>443822</v>
      </c>
      <c r="P3439" s="1" t="n">
        <v>96.44</v>
      </c>
      <c r="Q3439" s="1" t="s">
        <v>20</v>
      </c>
      <c r="R3439" s="1" t="s">
        <v>27</v>
      </c>
      <c r="S3439" s="1" t="s">
        <v>28</v>
      </c>
      <c r="T3439" s="1" t="s">
        <v>29</v>
      </c>
    </row>
    <row r="3440" customFormat="false" ht="18.7" hidden="false" customHeight="true" outlineLevel="0" collapsed="false">
      <c r="A3440" s="1" t="n">
        <v>3439</v>
      </c>
      <c r="B3440" s="6" t="str">
        <f aca="false">HYPERLINK("https://mncourtfraud.com/file/MCRO_27-CR-23-3198_Order Revoking Interim Conditions of Release_2024-03-11_20240430072719.pdf","MCRO_27-CR-23-3198_Order Revoking Interim Conditions of Release_2024-03-11_20240430072719.pdf")</f>
        <v>MCRO_27-CR-23-3198_Order Revoking Interim Conditions of Release_2024-03-11_20240430072719.pdf</v>
      </c>
      <c r="C3440" s="1" t="n">
        <v>5</v>
      </c>
      <c r="D3440" s="1" t="n">
        <v>3</v>
      </c>
      <c r="E3440" s="1" t="n">
        <v>3</v>
      </c>
      <c r="F3440" s="3" t="s">
        <v>20</v>
      </c>
      <c r="G3440" s="3" t="s">
        <v>13840</v>
      </c>
      <c r="H3440" s="1" t="s">
        <v>22</v>
      </c>
      <c r="I3440" s="1" t="n">
        <v>20240430072719</v>
      </c>
      <c r="J3440" s="3" t="s">
        <v>13841</v>
      </c>
      <c r="K3440" s="3" t="s">
        <v>13842</v>
      </c>
      <c r="L3440" s="3" t="s">
        <v>13843</v>
      </c>
      <c r="M3440" s="3" t="n">
        <v>342213</v>
      </c>
      <c r="N3440" s="3" t="s">
        <v>1145</v>
      </c>
      <c r="O3440" s="1" t="n">
        <v>325827</v>
      </c>
      <c r="P3440" s="1" t="n">
        <v>95.21</v>
      </c>
      <c r="Q3440" s="1" t="s">
        <v>20</v>
      </c>
      <c r="R3440" s="1" t="s">
        <v>27</v>
      </c>
      <c r="S3440" s="1" t="s">
        <v>28</v>
      </c>
      <c r="T3440" s="1" t="s">
        <v>29</v>
      </c>
    </row>
    <row r="3441" customFormat="false" ht="18.7" hidden="false" customHeight="true" outlineLevel="0" collapsed="false">
      <c r="A3441" s="1" t="n">
        <v>3440</v>
      </c>
      <c r="B3441" s="6" t="str">
        <f aca="false">HYPERLINK("https://mncourtfraud.com/file/MCRO_27-CR-23-3198_Proposed Order or Document_2024-03-11_20240430072720.pdf","MCRO_27-CR-23-3198_Proposed Order or Document_2024-03-11_20240430072720.pdf")</f>
        <v>MCRO_27-CR-23-3198_Proposed Order or Document_2024-03-11_20240430072720.pdf</v>
      </c>
      <c r="C3441" s="1" t="n">
        <v>3</v>
      </c>
      <c r="D3441" s="1" t="n">
        <v>1</v>
      </c>
      <c r="E3441" s="1" t="n">
        <v>1</v>
      </c>
      <c r="F3441" s="3" t="s">
        <v>20</v>
      </c>
      <c r="G3441" s="3" t="s">
        <v>13844</v>
      </c>
      <c r="H3441" s="1" t="s">
        <v>22</v>
      </c>
      <c r="I3441" s="1" t="n">
        <v>20240430072720</v>
      </c>
      <c r="J3441" s="3" t="s">
        <v>13845</v>
      </c>
      <c r="K3441" s="3" t="s">
        <v>13846</v>
      </c>
      <c r="L3441" s="3" t="s">
        <v>13847</v>
      </c>
      <c r="M3441" s="3" t="n">
        <v>173658</v>
      </c>
      <c r="N3441" s="3" t="s">
        <v>1316</v>
      </c>
      <c r="O3441" s="1" t="n">
        <v>157272</v>
      </c>
      <c r="P3441" s="1" t="n">
        <v>90.56</v>
      </c>
      <c r="Q3441" s="1" t="s">
        <v>20</v>
      </c>
      <c r="R3441" s="1" t="s">
        <v>27</v>
      </c>
      <c r="S3441" s="1" t="s">
        <v>28</v>
      </c>
      <c r="T3441" s="1" t="s">
        <v>29</v>
      </c>
    </row>
    <row r="3442" customFormat="false" ht="18.7" hidden="false" customHeight="true" outlineLevel="0" collapsed="false">
      <c r="A3442" s="1" t="n">
        <v>3441</v>
      </c>
      <c r="B3442" s="6" t="str">
        <f aca="false">HYPERLINK("https://mncourtfraud.com/file/MCRO_27-CR-23-3423_E-filed Comp-Order for Detention_2023-02-13_20240430072823.pdf","MCRO_27-CR-23-3423_E-filed Comp-Order for Detention_2023-02-13_20240430072823.pdf")</f>
        <v>MCRO_27-CR-23-3423_E-filed Comp-Order for Detention_2023-02-13_20240430072823.pdf</v>
      </c>
      <c r="C3442" s="1" t="n">
        <v>5</v>
      </c>
      <c r="D3442" s="1" t="n">
        <v>2</v>
      </c>
      <c r="E3442" s="1" t="n">
        <v>2</v>
      </c>
      <c r="F3442" s="3" t="s">
        <v>20</v>
      </c>
      <c r="G3442" s="3" t="s">
        <v>13848</v>
      </c>
      <c r="H3442" s="1" t="s">
        <v>22</v>
      </c>
      <c r="I3442" s="1" t="n">
        <v>20240430072823</v>
      </c>
      <c r="J3442" s="3" t="s">
        <v>13849</v>
      </c>
      <c r="K3442" s="3" t="s">
        <v>13850</v>
      </c>
      <c r="L3442" s="3" t="s">
        <v>13851</v>
      </c>
      <c r="M3442" s="3" t="n">
        <v>449366</v>
      </c>
      <c r="N3442" s="3" t="s">
        <v>4680</v>
      </c>
      <c r="O3442" s="1" t="n">
        <v>432980</v>
      </c>
      <c r="P3442" s="1" t="n">
        <v>96.35</v>
      </c>
      <c r="Q3442" s="1" t="s">
        <v>20</v>
      </c>
      <c r="R3442" s="1" t="s">
        <v>27</v>
      </c>
      <c r="S3442" s="1" t="s">
        <v>28</v>
      </c>
      <c r="T3442" s="1" t="s">
        <v>29</v>
      </c>
    </row>
    <row r="3443" customFormat="false" ht="18.7" hidden="false" customHeight="true" outlineLevel="0" collapsed="false">
      <c r="A3443" s="1" t="n">
        <v>3442</v>
      </c>
      <c r="B3443" s="6" t="str">
        <f aca="false">HYPERLINK("https://mncourtfraud.com/file/MCRO_27-CR-23-3423_Finding of Incompetency and Order_2023-03-22_20240430072821.pdf","MCRO_27-CR-23-3423_Finding of Incompetency and Order_2023-03-22_20240430072821.pdf")</f>
        <v>MCRO_27-CR-23-3423_Finding of Incompetency and Order_2023-03-22_20240430072821.pdf</v>
      </c>
      <c r="C3443" s="1" t="n">
        <v>9</v>
      </c>
      <c r="D3443" s="1" t="n">
        <v>3</v>
      </c>
      <c r="E3443" s="1" t="n">
        <v>3</v>
      </c>
      <c r="F3443" s="3" t="s">
        <v>27</v>
      </c>
      <c r="G3443" s="3" t="s">
        <v>13852</v>
      </c>
      <c r="H3443" s="1" t="s">
        <v>22</v>
      </c>
      <c r="I3443" s="1" t="n">
        <v>20240430072821</v>
      </c>
      <c r="J3443" s="3" t="s">
        <v>13853</v>
      </c>
      <c r="K3443" s="3" t="s">
        <v>13854</v>
      </c>
      <c r="L3443" s="3" t="s">
        <v>13855</v>
      </c>
      <c r="M3443" s="3" t="n">
        <v>991656</v>
      </c>
      <c r="N3443" s="3" t="s">
        <v>13745</v>
      </c>
      <c r="O3443" s="1" t="n">
        <v>975270</v>
      </c>
      <c r="P3443" s="1" t="n">
        <v>98.35</v>
      </c>
      <c r="Q3443" s="1" t="s">
        <v>20</v>
      </c>
      <c r="R3443" s="1" t="s">
        <v>27</v>
      </c>
      <c r="S3443" s="1" t="s">
        <v>28</v>
      </c>
      <c r="T3443" s="1" t="s">
        <v>29</v>
      </c>
    </row>
    <row r="3444" customFormat="false" ht="18.7" hidden="false" customHeight="true" outlineLevel="0" collapsed="false">
      <c r="A3444" s="1" t="n">
        <v>3443</v>
      </c>
      <c r="B3444" s="6" t="str">
        <f aca="false">HYPERLINK("https://mncourtfraud.com/file/MCRO_27-CR-23-3423_Notice of Intent to Prosecute_2023-03-22_20240430072819.pdf","MCRO_27-CR-23-3423_Notice of Intent to Prosecute_2023-03-22_20240430072819.pdf")</f>
        <v>MCRO_27-CR-23-3423_Notice of Intent to Prosecute_2023-03-22_20240430072819.pdf</v>
      </c>
      <c r="C3444" s="1" t="n">
        <v>3</v>
      </c>
      <c r="D3444" s="1" t="n">
        <v>1</v>
      </c>
      <c r="E3444" s="1" t="n">
        <v>1</v>
      </c>
      <c r="F3444" s="3" t="s">
        <v>20</v>
      </c>
      <c r="G3444" s="3" t="s">
        <v>13856</v>
      </c>
      <c r="H3444" s="1" t="s">
        <v>22</v>
      </c>
      <c r="I3444" s="1" t="n">
        <v>20240430072819</v>
      </c>
      <c r="J3444" s="3" t="s">
        <v>13857</v>
      </c>
      <c r="K3444" s="3" t="s">
        <v>13858</v>
      </c>
      <c r="L3444" s="3" t="s">
        <v>13859</v>
      </c>
      <c r="M3444" s="3" t="n">
        <v>232495</v>
      </c>
      <c r="N3444" s="3" t="s">
        <v>1205</v>
      </c>
      <c r="O3444" s="1" t="n">
        <v>216109</v>
      </c>
      <c r="P3444" s="1" t="n">
        <v>92.95</v>
      </c>
      <c r="Q3444" s="1" t="s">
        <v>20</v>
      </c>
      <c r="R3444" s="1" t="s">
        <v>27</v>
      </c>
      <c r="S3444" s="1" t="s">
        <v>28</v>
      </c>
      <c r="T3444" s="1" t="s">
        <v>29</v>
      </c>
    </row>
    <row r="3445" customFormat="false" ht="18.7" hidden="false" customHeight="true" outlineLevel="0" collapsed="false">
      <c r="A3445" s="1" t="n">
        <v>3444</v>
      </c>
      <c r="B3445" s="6" t="str">
        <f aca="false">HYPERLINK("https://mncourtfraud.com/file/MCRO_27-CR-23-3423_Notice of Intent to Prosecute_2024-03-11_20240430072812.pdf","MCRO_27-CR-23-3423_Notice of Intent to Prosecute_2024-03-11_20240430072812.pdf")</f>
        <v>MCRO_27-CR-23-3423_Notice of Intent to Prosecute_2024-03-11_20240430072812.pdf</v>
      </c>
      <c r="C3445" s="1" t="n">
        <v>3</v>
      </c>
      <c r="D3445" s="1" t="n">
        <v>1</v>
      </c>
      <c r="E3445" s="1" t="n">
        <v>1</v>
      </c>
      <c r="F3445" s="3" t="s">
        <v>20</v>
      </c>
      <c r="G3445" s="3" t="s">
        <v>13860</v>
      </c>
      <c r="H3445" s="1" t="s">
        <v>22</v>
      </c>
      <c r="I3445" s="1" t="n">
        <v>20240430072812</v>
      </c>
      <c r="J3445" s="3" t="s">
        <v>13861</v>
      </c>
      <c r="K3445" s="3" t="s">
        <v>13862</v>
      </c>
      <c r="L3445" s="3" t="s">
        <v>13863</v>
      </c>
      <c r="M3445" s="3" t="n">
        <v>262114</v>
      </c>
      <c r="N3445" s="3" t="s">
        <v>593</v>
      </c>
      <c r="O3445" s="1" t="n">
        <v>245728</v>
      </c>
      <c r="P3445" s="1" t="n">
        <v>93.75</v>
      </c>
      <c r="Q3445" s="1" t="s">
        <v>20</v>
      </c>
      <c r="R3445" s="1" t="s">
        <v>27</v>
      </c>
      <c r="S3445" s="1" t="s">
        <v>28</v>
      </c>
      <c r="T3445" s="1" t="s">
        <v>29</v>
      </c>
    </row>
    <row r="3446" customFormat="false" ht="18.7" hidden="false" customHeight="true" outlineLevel="0" collapsed="false">
      <c r="A3446" s="1" t="n">
        <v>3445</v>
      </c>
      <c r="B3446" s="6" t="str">
        <f aca="false">HYPERLINK("https://mncourtfraud.com/file/MCRO_27-CR-23-3423_Notice of Remote Hearing with Instructions_2023-09-18_20240430072816.pdf","MCRO_27-CR-23-3423_Notice of Remote Hearing with Instructions_2023-09-18_20240430072816.pdf")</f>
        <v>MCRO_27-CR-23-3423_Notice of Remote Hearing with Instructions_2023-09-18_20240430072816.pdf</v>
      </c>
      <c r="C3446" s="1" t="n">
        <v>5</v>
      </c>
      <c r="D3446" s="1" t="n">
        <v>1</v>
      </c>
      <c r="E3446" s="1" t="n">
        <v>1</v>
      </c>
      <c r="F3446" s="3" t="s">
        <v>20</v>
      </c>
      <c r="G3446" s="3" t="s">
        <v>13864</v>
      </c>
      <c r="H3446" s="1" t="s">
        <v>22</v>
      </c>
      <c r="I3446" s="1" t="n">
        <v>20240430072816</v>
      </c>
      <c r="J3446" s="3" t="s">
        <v>13865</v>
      </c>
      <c r="K3446" s="3" t="s">
        <v>13866</v>
      </c>
      <c r="L3446" s="3" t="s">
        <v>13867</v>
      </c>
      <c r="M3446" s="3" t="n">
        <v>843659</v>
      </c>
      <c r="N3446" s="3" t="s">
        <v>3164</v>
      </c>
      <c r="O3446" s="1" t="n">
        <v>827273</v>
      </c>
      <c r="P3446" s="1" t="n">
        <v>98.06</v>
      </c>
      <c r="Q3446" s="1" t="s">
        <v>20</v>
      </c>
      <c r="R3446" s="1" t="s">
        <v>27</v>
      </c>
      <c r="S3446" s="1" t="s">
        <v>28</v>
      </c>
      <c r="T3446" s="1" t="s">
        <v>29</v>
      </c>
    </row>
    <row r="3447" customFormat="false" ht="18.7" hidden="false" customHeight="true" outlineLevel="0" collapsed="false">
      <c r="A3447" s="1" t="n">
        <v>3446</v>
      </c>
      <c r="B3447" s="6" t="str">
        <f aca="false">HYPERLINK("https://mncourtfraud.com/file/MCRO_27-CR-23-3423_Notice of Remote Hearing with Instructions_2024-02-29_20240430072813.pdf","MCRO_27-CR-23-3423_Notice of Remote Hearing with Instructions_2024-02-29_20240430072813.pdf")</f>
        <v>MCRO_27-CR-23-3423_Notice of Remote Hearing with Instructions_2024-02-29_20240430072813.pdf</v>
      </c>
      <c r="C3447" s="1" t="n">
        <v>4</v>
      </c>
      <c r="D3447" s="1" t="n">
        <v>1</v>
      </c>
      <c r="E3447" s="1" t="n">
        <v>1</v>
      </c>
      <c r="F3447" s="3" t="s">
        <v>20</v>
      </c>
      <c r="G3447" s="3" t="s">
        <v>13868</v>
      </c>
      <c r="H3447" s="1" t="s">
        <v>22</v>
      </c>
      <c r="I3447" s="1" t="n">
        <v>20240430072813</v>
      </c>
      <c r="J3447" s="3" t="s">
        <v>13869</v>
      </c>
      <c r="K3447" s="3" t="s">
        <v>13870</v>
      </c>
      <c r="L3447" s="3" t="s">
        <v>13871</v>
      </c>
      <c r="M3447" s="3" t="n">
        <v>255888</v>
      </c>
      <c r="N3447" s="3" t="s">
        <v>936</v>
      </c>
      <c r="O3447" s="1" t="n">
        <v>239502</v>
      </c>
      <c r="P3447" s="1" t="n">
        <v>93.6</v>
      </c>
      <c r="Q3447" s="1" t="s">
        <v>20</v>
      </c>
      <c r="R3447" s="1" t="s">
        <v>27</v>
      </c>
      <c r="S3447" s="1" t="s">
        <v>28</v>
      </c>
      <c r="T3447" s="1" t="s">
        <v>29</v>
      </c>
    </row>
    <row r="3448" customFormat="false" ht="18.7" hidden="false" customHeight="true" outlineLevel="0" collapsed="false">
      <c r="A3448" s="1" t="n">
        <v>3447</v>
      </c>
      <c r="B3448" s="6" t="str">
        <f aca="false">HYPERLINK("https://mncourtfraud.com/file/MCRO_27-CR-23-3423_Order-Evaluation for Competency to Proceed (Rule 20.01)_2023-02-14_20240430072821.pdf","MCRO_27-CR-23-3423_Order-Evaluation for Competency to Proceed (Rule 20.01)_2023-02-14_20240430072821.pdf")</f>
        <v>MCRO_27-CR-23-3423_Order-Evaluation for Competency to Proceed (Rule 20.01)_2023-02-14_20240430072821.pdf</v>
      </c>
      <c r="C3448" s="1" t="n">
        <v>4</v>
      </c>
      <c r="D3448" s="1" t="n">
        <v>1</v>
      </c>
      <c r="E3448" s="1" t="n">
        <v>1</v>
      </c>
      <c r="F3448" s="3" t="s">
        <v>20</v>
      </c>
      <c r="G3448" s="3" t="s">
        <v>13872</v>
      </c>
      <c r="H3448" s="1" t="s">
        <v>22</v>
      </c>
      <c r="I3448" s="1" t="n">
        <v>20240430072821</v>
      </c>
      <c r="J3448" s="3" t="s">
        <v>13873</v>
      </c>
      <c r="K3448" s="3" t="s">
        <v>13874</v>
      </c>
      <c r="L3448" s="3" t="s">
        <v>13875</v>
      </c>
      <c r="M3448" s="3" t="n">
        <v>141376</v>
      </c>
      <c r="N3448" s="3" t="s">
        <v>1159</v>
      </c>
      <c r="O3448" s="1" t="n">
        <v>124990</v>
      </c>
      <c r="P3448" s="1" t="n">
        <v>88.41</v>
      </c>
      <c r="Q3448" s="1" t="s">
        <v>20</v>
      </c>
      <c r="R3448" s="1" t="s">
        <v>27</v>
      </c>
      <c r="S3448" s="1" t="s">
        <v>28</v>
      </c>
      <c r="T3448" s="1" t="s">
        <v>29</v>
      </c>
    </row>
    <row r="3449" customFormat="false" ht="18.7" hidden="false" customHeight="true" outlineLevel="0" collapsed="false">
      <c r="A3449" s="1" t="n">
        <v>3448</v>
      </c>
      <c r="B3449" s="6" t="str">
        <f aca="false">HYPERLINK("https://mncourtfraud.com/file/MCRO_27-CR-23-3423_Order-Evaluation for Competency to Proceed (Rule 20.01)_2024-01-11_20240430072814.pdf","MCRO_27-CR-23-3423_Order-Evaluation for Competency to Proceed (Rule 20.01)_2024-01-11_20240430072814.pdf")</f>
        <v>MCRO_27-CR-23-3423_Order-Evaluation for Competency to Proceed (Rule 20.01)_2024-01-11_20240430072814.pdf</v>
      </c>
      <c r="C3449" s="1" t="n">
        <v>5</v>
      </c>
      <c r="D3449" s="1" t="n">
        <v>1</v>
      </c>
      <c r="E3449" s="1" t="n">
        <v>1</v>
      </c>
      <c r="F3449" s="3" t="s">
        <v>20</v>
      </c>
      <c r="G3449" s="3" t="s">
        <v>13876</v>
      </c>
      <c r="H3449" s="1" t="s">
        <v>22</v>
      </c>
      <c r="I3449" s="1" t="n">
        <v>20240430072814</v>
      </c>
      <c r="J3449" s="3" t="s">
        <v>13877</v>
      </c>
      <c r="K3449" s="3" t="s">
        <v>13878</v>
      </c>
      <c r="L3449" s="3" t="s">
        <v>13879</v>
      </c>
      <c r="M3449" s="3" t="n">
        <v>760734</v>
      </c>
      <c r="N3449" s="3" t="s">
        <v>1091</v>
      </c>
      <c r="O3449" s="1" t="n">
        <v>744348</v>
      </c>
      <c r="P3449" s="1" t="n">
        <v>97.85</v>
      </c>
      <c r="Q3449" s="1" t="s">
        <v>20</v>
      </c>
      <c r="R3449" s="1" t="s">
        <v>27</v>
      </c>
      <c r="S3449" s="1" t="s">
        <v>28</v>
      </c>
      <c r="T3449" s="1" t="s">
        <v>29</v>
      </c>
    </row>
    <row r="3450" customFormat="false" ht="18.7" hidden="false" customHeight="true" outlineLevel="0" collapsed="false">
      <c r="A3450" s="1" t="n">
        <v>3449</v>
      </c>
      <c r="B3450" s="6" t="str">
        <f aca="false">HYPERLINK("https://mncourtfraud.com/file/MCRO_27-CR-23-3423_Order for Conditional Release_2023-04-19_20240430072819.pdf","MCRO_27-CR-23-3423_Order for Conditional Release_2023-04-19_20240430072819.pdf")</f>
        <v>MCRO_27-CR-23-3423_Order for Conditional Release_2023-04-19_20240430072819.pdf</v>
      </c>
      <c r="C3450" s="1" t="n">
        <v>9</v>
      </c>
      <c r="D3450" s="1" t="n">
        <v>3</v>
      </c>
      <c r="E3450" s="1" t="n">
        <v>3</v>
      </c>
      <c r="F3450" s="3" t="s">
        <v>27</v>
      </c>
      <c r="G3450" s="3" t="s">
        <v>13880</v>
      </c>
      <c r="H3450" s="1" t="s">
        <v>22</v>
      </c>
      <c r="I3450" s="1" t="n">
        <v>20240430072819</v>
      </c>
      <c r="J3450" s="3" t="s">
        <v>13881</v>
      </c>
      <c r="K3450" s="3" t="s">
        <v>13882</v>
      </c>
      <c r="L3450" s="3" t="s">
        <v>13883</v>
      </c>
      <c r="M3450" s="3" t="n">
        <v>930698</v>
      </c>
      <c r="N3450" s="3" t="s">
        <v>39</v>
      </c>
      <c r="O3450" s="1" t="n">
        <v>914312</v>
      </c>
      <c r="P3450" s="1" t="n">
        <v>98.24</v>
      </c>
      <c r="Q3450" s="1" t="s">
        <v>20</v>
      </c>
      <c r="R3450" s="1" t="s">
        <v>27</v>
      </c>
      <c r="S3450" s="1" t="s">
        <v>28</v>
      </c>
      <c r="T3450" s="1" t="s">
        <v>29</v>
      </c>
    </row>
    <row r="3451" customFormat="false" ht="18.7" hidden="false" customHeight="true" outlineLevel="0" collapsed="false">
      <c r="A3451" s="1" t="n">
        <v>3450</v>
      </c>
      <c r="B3451" s="6" t="str">
        <f aca="false">HYPERLINK("https://mncourtfraud.com/file/MCRO_27-CR-23-3423_Proposed Order or Document_2023-07-11_20240430072817.pdf","MCRO_27-CR-23-3423_Proposed Order or Document_2023-07-11_20240430072817.pdf")</f>
        <v>MCRO_27-CR-23-3423_Proposed Order or Document_2023-07-11_20240430072817.pdf</v>
      </c>
      <c r="C3451" s="1" t="n">
        <v>3</v>
      </c>
      <c r="D3451" s="1" t="n">
        <v>1</v>
      </c>
      <c r="E3451" s="1" t="n">
        <v>1</v>
      </c>
      <c r="F3451" s="3" t="s">
        <v>20</v>
      </c>
      <c r="G3451" s="3" t="s">
        <v>13884</v>
      </c>
      <c r="H3451" s="1" t="s">
        <v>22</v>
      </c>
      <c r="I3451" s="1" t="n">
        <v>20240430072817</v>
      </c>
      <c r="J3451" s="3" t="s">
        <v>13885</v>
      </c>
      <c r="K3451" s="3" t="s">
        <v>13886</v>
      </c>
      <c r="L3451" s="3" t="s">
        <v>13887</v>
      </c>
      <c r="M3451" s="3" t="n">
        <v>178646</v>
      </c>
      <c r="N3451" s="3" t="s">
        <v>2347</v>
      </c>
      <c r="O3451" s="1" t="n">
        <v>162260</v>
      </c>
      <c r="P3451" s="1" t="n">
        <v>90.83</v>
      </c>
      <c r="Q3451" s="1" t="s">
        <v>20</v>
      </c>
      <c r="R3451" s="1" t="s">
        <v>27</v>
      </c>
      <c r="S3451" s="1" t="s">
        <v>28</v>
      </c>
      <c r="T3451" s="1" t="s">
        <v>29</v>
      </c>
    </row>
    <row r="3452" customFormat="false" ht="18.7" hidden="false" customHeight="true" outlineLevel="0" collapsed="false">
      <c r="A3452" s="1" t="n">
        <v>3451</v>
      </c>
      <c r="B3452" s="6" t="str">
        <f aca="false">HYPERLINK("https://mncourtfraud.com/file/MCRO_27-CR-23-3423_Returned Mail_2023-10-18_20240430072815.pdf","MCRO_27-CR-23-3423_Returned Mail_2023-10-18_20240430072815.pdf")</f>
        <v>MCRO_27-CR-23-3423_Returned Mail_2023-10-18_20240430072815.pdf</v>
      </c>
      <c r="C3452" s="1" t="n">
        <v>4</v>
      </c>
      <c r="D3452" s="1" t="n">
        <v>1</v>
      </c>
      <c r="E3452" s="1" t="n">
        <v>1</v>
      </c>
      <c r="F3452" s="3" t="s">
        <v>20</v>
      </c>
      <c r="G3452" s="3" t="s">
        <v>13888</v>
      </c>
      <c r="H3452" s="1" t="s">
        <v>22</v>
      </c>
      <c r="I3452" s="1" t="n">
        <v>20240430072815</v>
      </c>
      <c r="J3452" s="3" t="s">
        <v>13889</v>
      </c>
      <c r="K3452" s="3" t="s">
        <v>13890</v>
      </c>
      <c r="L3452" s="3" t="s">
        <v>13891</v>
      </c>
      <c r="M3452" s="3" t="n">
        <v>689211</v>
      </c>
      <c r="N3452" s="3" t="s">
        <v>1128</v>
      </c>
      <c r="O3452" s="1" t="n">
        <v>672825</v>
      </c>
      <c r="P3452" s="1" t="n">
        <v>97.62</v>
      </c>
      <c r="Q3452" s="1" t="s">
        <v>20</v>
      </c>
      <c r="R3452" s="1" t="s">
        <v>27</v>
      </c>
      <c r="S3452" s="1" t="s">
        <v>28</v>
      </c>
      <c r="T3452" s="1" t="s">
        <v>29</v>
      </c>
    </row>
    <row r="3453" customFormat="false" ht="18.7" hidden="false" customHeight="true" outlineLevel="0" collapsed="false">
      <c r="A3453" s="1" t="n">
        <v>3452</v>
      </c>
      <c r="B3453" s="6" t="str">
        <f aca="false">HYPERLINK("https://mncourtfraud.com/file/MCRO_27-CR-23-3423_Returned Mail_2024-03-20_20240430072811.pdf","MCRO_27-CR-23-3423_Returned Mail_2024-03-20_20240430072811.pdf")</f>
        <v>MCRO_27-CR-23-3423_Returned Mail_2024-03-20_20240430072811.pdf</v>
      </c>
      <c r="C3453" s="1" t="n">
        <v>4</v>
      </c>
      <c r="D3453" s="1" t="n">
        <v>1</v>
      </c>
      <c r="E3453" s="1" t="n">
        <v>1</v>
      </c>
      <c r="F3453" s="3" t="s">
        <v>20</v>
      </c>
      <c r="G3453" s="3" t="s">
        <v>13892</v>
      </c>
      <c r="H3453" s="1" t="s">
        <v>22</v>
      </c>
      <c r="I3453" s="1" t="n">
        <v>20240430072811</v>
      </c>
      <c r="J3453" s="3" t="s">
        <v>13893</v>
      </c>
      <c r="K3453" s="3" t="s">
        <v>13894</v>
      </c>
      <c r="L3453" s="3" t="s">
        <v>13895</v>
      </c>
      <c r="M3453" s="3" t="n">
        <v>323418</v>
      </c>
      <c r="N3453" s="3" t="s">
        <v>158</v>
      </c>
      <c r="O3453" s="1" t="n">
        <v>307032</v>
      </c>
      <c r="P3453" s="1" t="n">
        <v>94.93</v>
      </c>
      <c r="Q3453" s="1" t="s">
        <v>20</v>
      </c>
      <c r="R3453" s="1" t="s">
        <v>27</v>
      </c>
      <c r="S3453" s="1" t="s">
        <v>28</v>
      </c>
      <c r="T3453" s="1" t="s">
        <v>29</v>
      </c>
    </row>
    <row r="3454" customFormat="false" ht="18.7" hidden="false" customHeight="true" outlineLevel="0" collapsed="false">
      <c r="A3454" s="1" t="n">
        <v>3453</v>
      </c>
      <c r="B3454" s="6" t="str">
        <f aca="false">HYPERLINK("https://mncourtfraud.com/file/MCRO_27-CR-23-3459_Demand or Request for Discovery_2023-03-02_20240430072907.pdf","MCRO_27-CR-23-3459_Demand or Request for Discovery_2023-03-02_20240430072907.pdf")</f>
        <v>MCRO_27-CR-23-3459_Demand or Request for Discovery_2023-03-02_20240430072907.pdf</v>
      </c>
      <c r="C3454" s="1" t="n">
        <v>3</v>
      </c>
      <c r="D3454" s="1" t="n">
        <v>1</v>
      </c>
      <c r="E3454" s="1" t="n">
        <v>1</v>
      </c>
      <c r="F3454" s="3" t="s">
        <v>20</v>
      </c>
      <c r="G3454" s="3" t="s">
        <v>13896</v>
      </c>
      <c r="H3454" s="1" t="s">
        <v>22</v>
      </c>
      <c r="I3454" s="1" t="n">
        <v>20240430072907</v>
      </c>
      <c r="J3454" s="3" t="s">
        <v>13897</v>
      </c>
      <c r="K3454" s="3" t="s">
        <v>13898</v>
      </c>
      <c r="L3454" s="3" t="s">
        <v>13899</v>
      </c>
      <c r="M3454" s="3" t="n">
        <v>371767</v>
      </c>
      <c r="N3454" s="3" t="s">
        <v>9552</v>
      </c>
      <c r="O3454" s="1" t="n">
        <v>355381</v>
      </c>
      <c r="P3454" s="1" t="n">
        <v>95.59</v>
      </c>
      <c r="Q3454" s="1" t="s">
        <v>20</v>
      </c>
      <c r="R3454" s="1" t="s">
        <v>27</v>
      </c>
      <c r="S3454" s="1" t="s">
        <v>28</v>
      </c>
      <c r="T3454" s="1" t="s">
        <v>29</v>
      </c>
    </row>
    <row r="3455" customFormat="false" ht="18.7" hidden="false" customHeight="true" outlineLevel="0" collapsed="false">
      <c r="A3455" s="1" t="n">
        <v>3454</v>
      </c>
      <c r="B3455" s="6" t="str">
        <f aca="false">HYPERLINK("https://mncourtfraud.com/file/MCRO_27-CR-23-3459_Departure Report_2024-04-29_20240430072852.pdf","MCRO_27-CR-23-3459_Departure Report_2024-04-29_20240430072852.pdf")</f>
        <v>MCRO_27-CR-23-3459_Departure Report_2024-04-29_20240430072852.pdf</v>
      </c>
      <c r="C3455" s="1" t="n">
        <v>3</v>
      </c>
      <c r="D3455" s="1" t="n">
        <v>80</v>
      </c>
      <c r="E3455" s="1" t="n">
        <v>1</v>
      </c>
      <c r="F3455" s="3" t="s">
        <v>20</v>
      </c>
      <c r="G3455" s="3" t="s">
        <v>13900</v>
      </c>
      <c r="H3455" s="1" t="s">
        <v>22</v>
      </c>
      <c r="I3455" s="1" t="n">
        <v>20240430072852</v>
      </c>
      <c r="J3455" s="3" t="s">
        <v>13901</v>
      </c>
      <c r="K3455" s="3" t="s">
        <v>13902</v>
      </c>
      <c r="L3455" s="3" t="s">
        <v>13903</v>
      </c>
      <c r="M3455" s="3" t="n">
        <v>175645</v>
      </c>
      <c r="N3455" s="3" t="s">
        <v>13904</v>
      </c>
      <c r="O3455" s="1" t="n">
        <v>159259</v>
      </c>
      <c r="P3455" s="1" t="n">
        <v>90.67</v>
      </c>
      <c r="Q3455" s="1" t="s">
        <v>20</v>
      </c>
      <c r="R3455" s="1" t="s">
        <v>27</v>
      </c>
      <c r="S3455" s="1" t="s">
        <v>28</v>
      </c>
      <c r="T3455" s="1" t="s">
        <v>29</v>
      </c>
    </row>
    <row r="3456" customFormat="false" ht="18.7" hidden="false" customHeight="true" outlineLevel="0" collapsed="false">
      <c r="A3456" s="1" t="n">
        <v>3455</v>
      </c>
      <c r="B3456" s="6" t="str">
        <f aca="false">HYPERLINK("https://mncourtfraud.com/file/MCRO_27-CR-23-3459_E-filed Comp-Order for Detention_2023-02-14_20240430072909.pdf","MCRO_27-CR-23-3459_E-filed Comp-Order for Detention_2023-02-14_20240430072909.pdf")</f>
        <v>MCRO_27-CR-23-3459_E-filed Comp-Order for Detention_2023-02-14_20240430072909.pdf</v>
      </c>
      <c r="C3456" s="1" t="n">
        <v>5</v>
      </c>
      <c r="D3456" s="1" t="n">
        <v>2</v>
      </c>
      <c r="E3456" s="1" t="n">
        <v>2</v>
      </c>
      <c r="F3456" s="3" t="s">
        <v>20</v>
      </c>
      <c r="G3456" s="3" t="s">
        <v>13905</v>
      </c>
      <c r="H3456" s="1" t="s">
        <v>22</v>
      </c>
      <c r="I3456" s="1" t="n">
        <v>20240430072909</v>
      </c>
      <c r="J3456" s="3" t="s">
        <v>13906</v>
      </c>
      <c r="K3456" s="3" t="s">
        <v>13907</v>
      </c>
      <c r="L3456" s="3" t="s">
        <v>13908</v>
      </c>
      <c r="M3456" s="3" t="n">
        <v>445200</v>
      </c>
      <c r="N3456" s="3" t="s">
        <v>10787</v>
      </c>
      <c r="O3456" s="1" t="n">
        <v>428814</v>
      </c>
      <c r="P3456" s="1" t="n">
        <v>96.32</v>
      </c>
      <c r="Q3456" s="1" t="s">
        <v>20</v>
      </c>
      <c r="R3456" s="1" t="s">
        <v>27</v>
      </c>
      <c r="S3456" s="1" t="s">
        <v>28</v>
      </c>
      <c r="T3456" s="1" t="s">
        <v>29</v>
      </c>
    </row>
    <row r="3457" customFormat="false" ht="18.7" hidden="false" customHeight="true" outlineLevel="0" collapsed="false">
      <c r="A3457" s="1" t="n">
        <v>3456</v>
      </c>
      <c r="B3457" s="6" t="str">
        <f aca="false">HYPERLINK("https://mncourtfraud.com/file/MCRO_27-CR-23-3459_Finding of Incompetency and Order_2023-03-22_20240430072906.pdf","MCRO_27-CR-23-3459_Finding of Incompetency and Order_2023-03-22_20240430072906.pdf")</f>
        <v>MCRO_27-CR-23-3459_Finding of Incompetency and Order_2023-03-22_20240430072906.pdf</v>
      </c>
      <c r="C3457" s="1" t="n">
        <v>9</v>
      </c>
      <c r="D3457" s="1" t="n">
        <v>3</v>
      </c>
      <c r="E3457" s="1" t="n">
        <v>3</v>
      </c>
      <c r="F3457" s="3" t="s">
        <v>27</v>
      </c>
      <c r="G3457" s="3" t="s">
        <v>13909</v>
      </c>
      <c r="H3457" s="1" t="s">
        <v>22</v>
      </c>
      <c r="I3457" s="1" t="n">
        <v>20240430072906</v>
      </c>
      <c r="J3457" s="3" t="s">
        <v>13910</v>
      </c>
      <c r="K3457" s="3" t="s">
        <v>13911</v>
      </c>
      <c r="L3457" s="3" t="s">
        <v>13912</v>
      </c>
      <c r="M3457" s="3" t="n">
        <v>960548</v>
      </c>
      <c r="N3457" s="3" t="s">
        <v>13443</v>
      </c>
      <c r="O3457" s="1" t="n">
        <v>944162</v>
      </c>
      <c r="P3457" s="1" t="n">
        <v>98.29</v>
      </c>
      <c r="Q3457" s="1" t="s">
        <v>20</v>
      </c>
      <c r="R3457" s="1" t="s">
        <v>27</v>
      </c>
      <c r="S3457" s="1" t="s">
        <v>28</v>
      </c>
      <c r="T3457" s="1" t="s">
        <v>29</v>
      </c>
    </row>
    <row r="3458" customFormat="false" ht="18.7" hidden="false" customHeight="true" outlineLevel="0" collapsed="false">
      <c r="A3458" s="1" t="n">
        <v>3457</v>
      </c>
      <c r="B3458" s="6" t="str">
        <f aca="false">HYPERLINK("https://mncourtfraud.com/file/MCRO_27-CR-23-3459_Notice of Hearing_2023-11-06_20240430072901.pdf","MCRO_27-CR-23-3459_Notice of Hearing_2023-11-06_20240430072901.pdf")</f>
        <v>MCRO_27-CR-23-3459_Notice of Hearing_2023-11-06_20240430072901.pdf</v>
      </c>
      <c r="C3458" s="1" t="n">
        <v>4</v>
      </c>
      <c r="D3458" s="1" t="n">
        <v>1</v>
      </c>
      <c r="E3458" s="1" t="n">
        <v>1</v>
      </c>
      <c r="F3458" s="3" t="s">
        <v>20</v>
      </c>
      <c r="G3458" s="3" t="s">
        <v>13913</v>
      </c>
      <c r="H3458" s="1" t="s">
        <v>22</v>
      </c>
      <c r="I3458" s="1" t="n">
        <v>20240430072901</v>
      </c>
      <c r="J3458" s="3" t="s">
        <v>13914</v>
      </c>
      <c r="K3458" s="3" t="s">
        <v>13915</v>
      </c>
      <c r="L3458" s="3" t="s">
        <v>13916</v>
      </c>
      <c r="M3458" s="3" t="n">
        <v>694583</v>
      </c>
      <c r="N3458" s="3" t="s">
        <v>13917</v>
      </c>
      <c r="O3458" s="1" t="n">
        <v>678197</v>
      </c>
      <c r="P3458" s="1" t="n">
        <v>97.64</v>
      </c>
      <c r="Q3458" s="1" t="s">
        <v>20</v>
      </c>
      <c r="R3458" s="1" t="s">
        <v>27</v>
      </c>
      <c r="S3458" s="1" t="s">
        <v>28</v>
      </c>
      <c r="T3458" s="1" t="s">
        <v>29</v>
      </c>
    </row>
    <row r="3459" customFormat="false" ht="18.7" hidden="false" customHeight="true" outlineLevel="0" collapsed="false">
      <c r="A3459" s="1" t="n">
        <v>3458</v>
      </c>
      <c r="B3459" s="6" t="str">
        <f aca="false">HYPERLINK("https://mncourtfraud.com/file/MCRO_27-CR-23-3459_Notice of Motion and Motion_2023-04-17_20240430072905.pdf","MCRO_27-CR-23-3459_Notice of Motion and Motion_2023-04-17_20240430072905.pdf")</f>
        <v>MCRO_27-CR-23-3459_Notice of Motion and Motion_2023-04-17_20240430072905.pdf</v>
      </c>
      <c r="C3459" s="1" t="n">
        <v>3</v>
      </c>
      <c r="D3459" s="1" t="n">
        <v>1</v>
      </c>
      <c r="E3459" s="1" t="n">
        <v>1</v>
      </c>
      <c r="F3459" s="3" t="s">
        <v>20</v>
      </c>
      <c r="G3459" s="3" t="s">
        <v>13918</v>
      </c>
      <c r="H3459" s="1" t="s">
        <v>22</v>
      </c>
      <c r="I3459" s="1" t="n">
        <v>20240430072905</v>
      </c>
      <c r="J3459" s="3" t="s">
        <v>13919</v>
      </c>
      <c r="K3459" s="3" t="s">
        <v>13920</v>
      </c>
      <c r="L3459" s="3" t="s">
        <v>13921</v>
      </c>
      <c r="M3459" s="3" t="n">
        <v>245330</v>
      </c>
      <c r="N3459" s="3" t="s">
        <v>3920</v>
      </c>
      <c r="O3459" s="1" t="n">
        <v>228944</v>
      </c>
      <c r="P3459" s="1" t="n">
        <v>93.32</v>
      </c>
      <c r="Q3459" s="1" t="s">
        <v>20</v>
      </c>
      <c r="R3459" s="1" t="s">
        <v>27</v>
      </c>
      <c r="S3459" s="1" t="s">
        <v>28</v>
      </c>
      <c r="T3459" s="1" t="s">
        <v>29</v>
      </c>
    </row>
    <row r="3460" customFormat="false" ht="18.7" hidden="false" customHeight="true" outlineLevel="0" collapsed="false">
      <c r="A3460" s="1" t="n">
        <v>3459</v>
      </c>
      <c r="B3460" s="6" t="str">
        <f aca="false">HYPERLINK("https://mncourtfraud.com/file/MCRO_27-CR-23-3459_Notice of Remote Hearing with Instructions_2023-09-19_20240430072903.pdf","MCRO_27-CR-23-3459_Notice of Remote Hearing with Instructions_2023-09-19_20240430072903.pdf")</f>
        <v>MCRO_27-CR-23-3459_Notice of Remote Hearing with Instructions_2023-09-19_20240430072903.pdf</v>
      </c>
      <c r="C3460" s="1" t="n">
        <v>6</v>
      </c>
      <c r="D3460" s="1" t="n">
        <v>1</v>
      </c>
      <c r="E3460" s="1" t="n">
        <v>1</v>
      </c>
      <c r="F3460" s="3" t="s">
        <v>20</v>
      </c>
      <c r="G3460" s="3" t="s">
        <v>13922</v>
      </c>
      <c r="H3460" s="1" t="s">
        <v>22</v>
      </c>
      <c r="I3460" s="1" t="n">
        <v>20240430072903</v>
      </c>
      <c r="J3460" s="3" t="s">
        <v>13923</v>
      </c>
      <c r="K3460" s="3" t="s">
        <v>13924</v>
      </c>
      <c r="L3460" s="3" t="s">
        <v>13925</v>
      </c>
      <c r="M3460" s="3" t="n">
        <v>909811</v>
      </c>
      <c r="N3460" s="3" t="s">
        <v>109</v>
      </c>
      <c r="O3460" s="1" t="n">
        <v>893425</v>
      </c>
      <c r="P3460" s="1" t="n">
        <v>98.2</v>
      </c>
      <c r="Q3460" s="1" t="s">
        <v>20</v>
      </c>
      <c r="R3460" s="1" t="s">
        <v>27</v>
      </c>
      <c r="S3460" s="1" t="s">
        <v>28</v>
      </c>
      <c r="T3460" s="1" t="s">
        <v>29</v>
      </c>
    </row>
    <row r="3461" customFormat="false" ht="18.7" hidden="false" customHeight="true" outlineLevel="0" collapsed="false">
      <c r="A3461" s="1" t="n">
        <v>3460</v>
      </c>
      <c r="B3461" s="6" t="str">
        <f aca="false">HYPERLINK("https://mncourtfraud.com/file/MCRO_27-CR-23-3459_Notice of Remote Hearing with Instructions_2023-12-05_20240430072900.pdf","MCRO_27-CR-23-3459_Notice of Remote Hearing with Instructions_2023-12-05_20240430072900.pdf")</f>
        <v>MCRO_27-CR-23-3459_Notice of Remote Hearing with Instructions_2023-12-05_20240430072900.pdf</v>
      </c>
      <c r="C3461" s="1" t="n">
        <v>4</v>
      </c>
      <c r="D3461" s="1" t="n">
        <v>1</v>
      </c>
      <c r="E3461" s="1" t="n">
        <v>1</v>
      </c>
      <c r="F3461" s="3" t="s">
        <v>20</v>
      </c>
      <c r="G3461" s="3" t="s">
        <v>13926</v>
      </c>
      <c r="H3461" s="1" t="s">
        <v>22</v>
      </c>
      <c r="I3461" s="1" t="n">
        <v>20240430072900</v>
      </c>
      <c r="J3461" s="3" t="s">
        <v>13927</v>
      </c>
      <c r="K3461" s="3" t="s">
        <v>13928</v>
      </c>
      <c r="L3461" s="3" t="s">
        <v>13929</v>
      </c>
      <c r="M3461" s="3" t="n">
        <v>868359</v>
      </c>
      <c r="N3461" s="3" t="s">
        <v>4335</v>
      </c>
      <c r="O3461" s="1" t="n">
        <v>851973</v>
      </c>
      <c r="P3461" s="1" t="n">
        <v>98.11</v>
      </c>
      <c r="Q3461" s="1" t="s">
        <v>20</v>
      </c>
      <c r="R3461" s="1" t="s">
        <v>27</v>
      </c>
      <c r="S3461" s="1" t="s">
        <v>28</v>
      </c>
      <c r="T3461" s="1" t="s">
        <v>29</v>
      </c>
    </row>
    <row r="3462" customFormat="false" ht="18.7" hidden="false" customHeight="true" outlineLevel="0" collapsed="false">
      <c r="A3462" s="1" t="n">
        <v>3461</v>
      </c>
      <c r="B3462" s="6" t="str">
        <f aca="false">HYPERLINK("https://mncourtfraud.com/file/MCRO_27-CR-23-3459_Notice of Remote Hearing with Instructions_2023-12-06_20240430072859.pdf","MCRO_27-CR-23-3459_Notice of Remote Hearing with Instructions_2023-12-06_20240430072859.pdf")</f>
        <v>MCRO_27-CR-23-3459_Notice of Remote Hearing with Instructions_2023-12-06_20240430072859.pdf</v>
      </c>
      <c r="C3462" s="1" t="n">
        <v>4</v>
      </c>
      <c r="D3462" s="1" t="n">
        <v>1</v>
      </c>
      <c r="E3462" s="1" t="n">
        <v>1</v>
      </c>
      <c r="F3462" s="3" t="s">
        <v>20</v>
      </c>
      <c r="G3462" s="3" t="s">
        <v>13930</v>
      </c>
      <c r="H3462" s="1" t="s">
        <v>22</v>
      </c>
      <c r="I3462" s="1" t="n">
        <v>20240430072859</v>
      </c>
      <c r="J3462" s="3" t="s">
        <v>13931</v>
      </c>
      <c r="K3462" s="3" t="s">
        <v>13932</v>
      </c>
      <c r="L3462" s="3" t="s">
        <v>13933</v>
      </c>
      <c r="M3462" s="3" t="n">
        <v>892630</v>
      </c>
      <c r="N3462" s="3" t="s">
        <v>9593</v>
      </c>
      <c r="O3462" s="1" t="n">
        <v>876244</v>
      </c>
      <c r="P3462" s="1" t="n">
        <v>98.16</v>
      </c>
      <c r="Q3462" s="1" t="s">
        <v>20</v>
      </c>
      <c r="R3462" s="1" t="s">
        <v>27</v>
      </c>
      <c r="S3462" s="1" t="s">
        <v>28</v>
      </c>
      <c r="T3462" s="1" t="s">
        <v>29</v>
      </c>
    </row>
    <row r="3463" customFormat="false" ht="18.7" hidden="false" customHeight="true" outlineLevel="0" collapsed="false">
      <c r="A3463" s="1" t="n">
        <v>3462</v>
      </c>
      <c r="B3463" s="6" t="str">
        <f aca="false">HYPERLINK("https://mncourtfraud.com/file/MCRO_27-CR-23-3459_Notice of Remote Hearing with Instructions_2024-02-28_20240430072856.pdf","MCRO_27-CR-23-3459_Notice of Remote Hearing with Instructions_2024-02-28_20240430072856.pdf")</f>
        <v>MCRO_27-CR-23-3459_Notice of Remote Hearing with Instructions_2024-02-28_20240430072856.pdf</v>
      </c>
      <c r="C3463" s="1" t="n">
        <v>4</v>
      </c>
      <c r="D3463" s="1" t="n">
        <v>1</v>
      </c>
      <c r="E3463" s="1" t="n">
        <v>1</v>
      </c>
      <c r="F3463" s="3" t="s">
        <v>20</v>
      </c>
      <c r="G3463" s="3" t="s">
        <v>13934</v>
      </c>
      <c r="H3463" s="1" t="s">
        <v>22</v>
      </c>
      <c r="I3463" s="1" t="n">
        <v>20240430072856</v>
      </c>
      <c r="J3463" s="3" t="s">
        <v>13935</v>
      </c>
      <c r="K3463" s="3" t="s">
        <v>13936</v>
      </c>
      <c r="L3463" s="3" t="s">
        <v>13937</v>
      </c>
      <c r="M3463" s="3" t="n">
        <v>851390</v>
      </c>
      <c r="N3463" s="3" t="s">
        <v>366</v>
      </c>
      <c r="O3463" s="1" t="n">
        <v>835004</v>
      </c>
      <c r="P3463" s="1" t="n">
        <v>98.08</v>
      </c>
      <c r="Q3463" s="1" t="s">
        <v>20</v>
      </c>
      <c r="R3463" s="1" t="s">
        <v>27</v>
      </c>
      <c r="S3463" s="1" t="s">
        <v>28</v>
      </c>
      <c r="T3463" s="1" t="s">
        <v>29</v>
      </c>
    </row>
    <row r="3464" customFormat="false" ht="18.7" hidden="false" customHeight="true" outlineLevel="0" collapsed="false">
      <c r="A3464" s="1" t="n">
        <v>3463</v>
      </c>
      <c r="B3464" s="6" t="str">
        <f aca="false">HYPERLINK("https://mncourtfraud.com/file/MCRO_27-CR-23-3459_Order-Evaluation for Competency to Proceed (Rule 20.01)_2023-02-16_20240430072908.pdf","MCRO_27-CR-23-3459_Order-Evaluation for Competency to Proceed (Rule 20.01)_2023-02-16_20240430072908.pdf")</f>
        <v>MCRO_27-CR-23-3459_Order-Evaluation for Competency to Proceed (Rule 20.01)_2023-02-16_20240430072908.pdf</v>
      </c>
      <c r="C3464" s="1" t="n">
        <v>4</v>
      </c>
      <c r="D3464" s="1" t="n">
        <v>1</v>
      </c>
      <c r="E3464" s="1" t="n">
        <v>1</v>
      </c>
      <c r="F3464" s="3" t="s">
        <v>20</v>
      </c>
      <c r="G3464" s="3" t="s">
        <v>13938</v>
      </c>
      <c r="H3464" s="1" t="s">
        <v>22</v>
      </c>
      <c r="I3464" s="1" t="n">
        <v>20240430072908</v>
      </c>
      <c r="J3464" s="3" t="s">
        <v>13939</v>
      </c>
      <c r="K3464" s="3" t="s">
        <v>13940</v>
      </c>
      <c r="L3464" s="3" t="s">
        <v>13941</v>
      </c>
      <c r="M3464" s="3" t="n">
        <v>139505</v>
      </c>
      <c r="N3464" s="3" t="s">
        <v>1159</v>
      </c>
      <c r="O3464" s="1" t="n">
        <v>123119</v>
      </c>
      <c r="P3464" s="1" t="n">
        <v>88.25</v>
      </c>
      <c r="Q3464" s="1" t="s">
        <v>20</v>
      </c>
      <c r="R3464" s="1" t="s">
        <v>27</v>
      </c>
      <c r="S3464" s="1" t="s">
        <v>28</v>
      </c>
      <c r="T3464" s="1" t="s">
        <v>29</v>
      </c>
    </row>
    <row r="3465" customFormat="false" ht="18.7" hidden="false" customHeight="true" outlineLevel="0" collapsed="false">
      <c r="A3465" s="1" t="n">
        <v>3464</v>
      </c>
      <c r="B3465" s="6" t="str">
        <f aca="false">HYPERLINK("https://mncourtfraud.com/file/MCRO_27-CR-23-3459_Order-Other_2023-05-12_20240430072904.pdf","MCRO_27-CR-23-3459_Order-Other_2023-05-12_20240430072904.pdf")</f>
        <v>MCRO_27-CR-23-3459_Order-Other_2023-05-12_20240430072904.pdf</v>
      </c>
      <c r="C3465" s="1" t="n">
        <v>6</v>
      </c>
      <c r="D3465" s="1" t="n">
        <v>29</v>
      </c>
      <c r="E3465" s="1" t="n">
        <v>29</v>
      </c>
      <c r="F3465" s="3" t="s">
        <v>20</v>
      </c>
      <c r="G3465" s="3" t="s">
        <v>13942</v>
      </c>
      <c r="H3465" s="1" t="s">
        <v>22</v>
      </c>
      <c r="I3465" s="1" t="n">
        <v>20240430072904</v>
      </c>
      <c r="J3465" s="3" t="s">
        <v>13943</v>
      </c>
      <c r="K3465" s="3" t="s">
        <v>13944</v>
      </c>
      <c r="L3465" s="3" t="s">
        <v>13945</v>
      </c>
      <c r="M3465" s="3" t="n">
        <v>914366</v>
      </c>
      <c r="N3465" s="3" t="s">
        <v>13946</v>
      </c>
      <c r="O3465" s="1" t="n">
        <v>897980</v>
      </c>
      <c r="P3465" s="1" t="n">
        <v>98.21</v>
      </c>
      <c r="Q3465" s="1" t="s">
        <v>20</v>
      </c>
      <c r="R3465" s="1" t="s">
        <v>27</v>
      </c>
      <c r="S3465" s="1" t="s">
        <v>28</v>
      </c>
      <c r="T3465" s="1" t="s">
        <v>29</v>
      </c>
    </row>
    <row r="3466" customFormat="false" ht="18.7" hidden="false" customHeight="true" outlineLevel="0" collapsed="false">
      <c r="A3466" s="1" t="n">
        <v>3465</v>
      </c>
      <c r="B3466" s="6" t="str">
        <f aca="false">HYPERLINK("https://mncourtfraud.com/file/MCRO_27-CR-23-3459_Petition to Enter Guilty Plea_2024-02-28_20240430072854.pdf","MCRO_27-CR-23-3459_Petition to Enter Guilty Plea_2024-02-28_20240430072854.pdf")</f>
        <v>MCRO_27-CR-23-3459_Petition to Enter Guilty Plea_2024-02-28_20240430072854.pdf</v>
      </c>
      <c r="C3466" s="1" t="n">
        <v>4</v>
      </c>
      <c r="D3466" s="1" t="n">
        <v>1</v>
      </c>
      <c r="E3466" s="1" t="n">
        <v>1</v>
      </c>
      <c r="F3466" s="3" t="s">
        <v>20</v>
      </c>
      <c r="G3466" s="3" t="s">
        <v>13947</v>
      </c>
      <c r="H3466" s="1" t="s">
        <v>22</v>
      </c>
      <c r="I3466" s="1" t="n">
        <v>20240430072854</v>
      </c>
      <c r="J3466" s="3" t="s">
        <v>13948</v>
      </c>
      <c r="K3466" s="3" t="s">
        <v>13949</v>
      </c>
      <c r="L3466" s="3" t="s">
        <v>13950</v>
      </c>
      <c r="M3466" s="3" t="n">
        <v>848827</v>
      </c>
      <c r="N3466" s="3" t="s">
        <v>5604</v>
      </c>
      <c r="O3466" s="1" t="n">
        <v>832441</v>
      </c>
      <c r="P3466" s="1" t="n">
        <v>98.07</v>
      </c>
      <c r="Q3466" s="1" t="s">
        <v>20</v>
      </c>
      <c r="R3466" s="1" t="s">
        <v>27</v>
      </c>
      <c r="S3466" s="1" t="s">
        <v>28</v>
      </c>
      <c r="T3466" s="1" t="s">
        <v>29</v>
      </c>
    </row>
    <row r="3467" customFormat="false" ht="18.7" hidden="false" customHeight="true" outlineLevel="0" collapsed="false">
      <c r="A3467" s="1" t="n">
        <v>3466</v>
      </c>
      <c r="B3467" s="6" t="str">
        <f aca="false">HYPERLINK("https://mncourtfraud.com/file/MCRO_27-CR-23-3459_Probation Referral Notification_2023-12-06_20240430072858.pdf","MCRO_27-CR-23-3459_Probation Referral Notification_2023-12-06_20240430072858.pdf")</f>
        <v>MCRO_27-CR-23-3459_Probation Referral Notification_2023-12-06_20240430072858.pdf</v>
      </c>
      <c r="C3467" s="1" t="n">
        <v>4</v>
      </c>
      <c r="D3467" s="1" t="n">
        <v>1</v>
      </c>
      <c r="E3467" s="1" t="n">
        <v>1</v>
      </c>
      <c r="F3467" s="3" t="s">
        <v>20</v>
      </c>
      <c r="G3467" s="3" t="s">
        <v>13951</v>
      </c>
      <c r="H3467" s="1" t="s">
        <v>22</v>
      </c>
      <c r="I3467" s="1" t="n">
        <v>20240430072858</v>
      </c>
      <c r="J3467" s="3" t="s">
        <v>13952</v>
      </c>
      <c r="K3467" s="3" t="s">
        <v>13953</v>
      </c>
      <c r="L3467" s="3" t="s">
        <v>13954</v>
      </c>
      <c r="M3467" s="3" t="n">
        <v>734680</v>
      </c>
      <c r="N3467" s="3" t="s">
        <v>13955</v>
      </c>
      <c r="O3467" s="1" t="n">
        <v>718294</v>
      </c>
      <c r="P3467" s="1" t="n">
        <v>97.77</v>
      </c>
      <c r="Q3467" s="1" t="s">
        <v>20</v>
      </c>
      <c r="R3467" s="1" t="s">
        <v>27</v>
      </c>
      <c r="S3467" s="1" t="s">
        <v>28</v>
      </c>
      <c r="T3467" s="1" t="s">
        <v>29</v>
      </c>
    </row>
    <row r="3468" customFormat="false" ht="18.7" hidden="false" customHeight="true" outlineLevel="0" collapsed="false">
      <c r="A3468" s="1" t="n">
        <v>3467</v>
      </c>
      <c r="B3468" s="6" t="str">
        <f aca="false">HYPERLINK("https://mncourtfraud.com/file/MCRO_27-CR-23-3459_Probation Referral Notification_2024-02-28_20240430072855.pdf","MCRO_27-CR-23-3459_Probation Referral Notification_2024-02-28_20240430072855.pdf")</f>
        <v>MCRO_27-CR-23-3459_Probation Referral Notification_2024-02-28_20240430072855.pdf</v>
      </c>
      <c r="C3468" s="1" t="n">
        <v>4</v>
      </c>
      <c r="D3468" s="1" t="n">
        <v>1</v>
      </c>
      <c r="E3468" s="1" t="n">
        <v>1</v>
      </c>
      <c r="F3468" s="3" t="s">
        <v>20</v>
      </c>
      <c r="G3468" s="3" t="s">
        <v>13956</v>
      </c>
      <c r="H3468" s="1" t="s">
        <v>22</v>
      </c>
      <c r="I3468" s="1" t="n">
        <v>20240430072855</v>
      </c>
      <c r="J3468" s="3" t="s">
        <v>13957</v>
      </c>
      <c r="K3468" s="3" t="s">
        <v>13958</v>
      </c>
      <c r="L3468" s="3" t="s">
        <v>13959</v>
      </c>
      <c r="M3468" s="3" t="n">
        <v>805384</v>
      </c>
      <c r="N3468" s="3" t="s">
        <v>3169</v>
      </c>
      <c r="O3468" s="1" t="n">
        <v>788998</v>
      </c>
      <c r="P3468" s="1" t="n">
        <v>97.97</v>
      </c>
      <c r="Q3468" s="1" t="s">
        <v>20</v>
      </c>
      <c r="R3468" s="1" t="s">
        <v>27</v>
      </c>
      <c r="S3468" s="1" t="s">
        <v>28</v>
      </c>
      <c r="T3468" s="1" t="s">
        <v>29</v>
      </c>
    </row>
    <row r="3469" customFormat="false" ht="18.7" hidden="false" customHeight="true" outlineLevel="0" collapsed="false">
      <c r="A3469" s="1" t="n">
        <v>3468</v>
      </c>
      <c r="B3469" s="6" t="str">
        <f aca="false">HYPERLINK("https://mncourtfraud.com/file/MCRO_27-CR-23-3459_Scheduling Order_2024-01-26_20240430072857.pdf","MCRO_27-CR-23-3459_Scheduling Order_2024-01-26_20240430072857.pdf")</f>
        <v>MCRO_27-CR-23-3459_Scheduling Order_2024-01-26_20240430072857.pdf</v>
      </c>
      <c r="C3469" s="1" t="n">
        <v>6</v>
      </c>
      <c r="D3469" s="1" t="n">
        <v>6</v>
      </c>
      <c r="E3469" s="1" t="n">
        <v>4</v>
      </c>
      <c r="F3469" s="3" t="s">
        <v>27</v>
      </c>
      <c r="G3469" s="3" t="s">
        <v>13960</v>
      </c>
      <c r="H3469" s="1" t="s">
        <v>22</v>
      </c>
      <c r="I3469" s="1" t="n">
        <v>20240430072857</v>
      </c>
      <c r="J3469" s="3" t="s">
        <v>13961</v>
      </c>
      <c r="K3469" s="3" t="s">
        <v>13962</v>
      </c>
      <c r="L3469" s="3" t="s">
        <v>13963</v>
      </c>
      <c r="M3469" s="3" t="n">
        <v>304188</v>
      </c>
      <c r="N3469" s="3" t="s">
        <v>968</v>
      </c>
      <c r="O3469" s="1" t="n">
        <v>287802</v>
      </c>
      <c r="P3469" s="1" t="n">
        <v>94.61</v>
      </c>
      <c r="Q3469" s="1" t="s">
        <v>20</v>
      </c>
      <c r="R3469" s="1" t="s">
        <v>27</v>
      </c>
      <c r="S3469" s="1" t="s">
        <v>28</v>
      </c>
      <c r="T3469" s="1" t="s">
        <v>29</v>
      </c>
    </row>
    <row r="3470" customFormat="false" ht="18.7" hidden="false" customHeight="true" outlineLevel="0" collapsed="false">
      <c r="A3470" s="1" t="n">
        <v>3469</v>
      </c>
      <c r="B3470" s="6" t="str">
        <f aca="false">HYPERLINK("https://mncourtfraud.com/file/MCRO_27-CR-23-3459_Sentencing Order_2024-04-24_20240430072853.pdf","MCRO_27-CR-23-3459_Sentencing Order_2024-04-24_20240430072853.pdf")</f>
        <v>MCRO_27-CR-23-3459_Sentencing Order_2024-04-24_20240430072853.pdf</v>
      </c>
      <c r="C3470" s="1" t="n">
        <v>4</v>
      </c>
      <c r="D3470" s="1" t="n">
        <v>1</v>
      </c>
      <c r="E3470" s="1" t="n">
        <v>1</v>
      </c>
      <c r="F3470" s="3" t="s">
        <v>20</v>
      </c>
      <c r="G3470" s="3" t="s">
        <v>13964</v>
      </c>
      <c r="H3470" s="1" t="s">
        <v>22</v>
      </c>
      <c r="I3470" s="1" t="n">
        <v>20240430072853</v>
      </c>
      <c r="J3470" s="3" t="s">
        <v>13965</v>
      </c>
      <c r="K3470" s="3" t="s">
        <v>13966</v>
      </c>
      <c r="L3470" s="3" t="s">
        <v>13967</v>
      </c>
      <c r="M3470" s="3" t="n">
        <v>249368</v>
      </c>
      <c r="N3470" s="3" t="s">
        <v>3085</v>
      </c>
      <c r="O3470" s="1" t="n">
        <v>232982</v>
      </c>
      <c r="P3470" s="1" t="n">
        <v>93.43</v>
      </c>
      <c r="Q3470" s="1" t="s">
        <v>20</v>
      </c>
      <c r="R3470" s="1" t="s">
        <v>27</v>
      </c>
      <c r="S3470" s="1" t="s">
        <v>28</v>
      </c>
      <c r="T3470" s="1" t="s">
        <v>29</v>
      </c>
    </row>
    <row r="3471" customFormat="false" ht="18.7" hidden="false" customHeight="true" outlineLevel="0" collapsed="false">
      <c r="A3471" s="1" t="n">
        <v>3470</v>
      </c>
      <c r="B3471" s="6" t="str">
        <f aca="false">HYPERLINK("https://mncourtfraud.com/file/MCRO_27-CR-23-3460_Demand or Request for Discovery_2023-03-02_20240430072944.pdf","MCRO_27-CR-23-3460_Demand or Request for Discovery_2023-03-02_20240430072944.pdf")</f>
        <v>MCRO_27-CR-23-3460_Demand or Request for Discovery_2023-03-02_20240430072944.pdf</v>
      </c>
      <c r="C3471" s="1" t="n">
        <v>3</v>
      </c>
      <c r="D3471" s="1" t="n">
        <v>1</v>
      </c>
      <c r="E3471" s="1" t="n">
        <v>1</v>
      </c>
      <c r="F3471" s="3" t="s">
        <v>20</v>
      </c>
      <c r="G3471" s="3" t="s">
        <v>13968</v>
      </c>
      <c r="H3471" s="1" t="s">
        <v>22</v>
      </c>
      <c r="I3471" s="1" t="n">
        <v>20240430072944</v>
      </c>
      <c r="J3471" s="3" t="s">
        <v>13969</v>
      </c>
      <c r="K3471" s="3" t="s">
        <v>13970</v>
      </c>
      <c r="L3471" s="3" t="s">
        <v>13971</v>
      </c>
      <c r="M3471" s="3" t="n">
        <v>371721</v>
      </c>
      <c r="N3471" s="3" t="s">
        <v>9552</v>
      </c>
      <c r="O3471" s="1" t="n">
        <v>355335</v>
      </c>
      <c r="P3471" s="1" t="n">
        <v>95.59</v>
      </c>
      <c r="Q3471" s="1" t="s">
        <v>20</v>
      </c>
      <c r="R3471" s="1" t="s">
        <v>27</v>
      </c>
      <c r="S3471" s="1" t="s">
        <v>28</v>
      </c>
      <c r="T3471" s="1" t="s">
        <v>29</v>
      </c>
    </row>
    <row r="3472" customFormat="false" ht="18.7" hidden="false" customHeight="true" outlineLevel="0" collapsed="false">
      <c r="A3472" s="1" t="n">
        <v>3471</v>
      </c>
      <c r="B3472" s="6" t="str">
        <f aca="false">HYPERLINK("https://mncourtfraud.com/file/MCRO_27-CR-23-3460_E-filed Comp-Order for Detention_2023-02-14_20240430072946.pdf","MCRO_27-CR-23-3460_E-filed Comp-Order for Detention_2023-02-14_20240430072946.pdf")</f>
        <v>MCRO_27-CR-23-3460_E-filed Comp-Order for Detention_2023-02-14_20240430072946.pdf</v>
      </c>
      <c r="C3472" s="1" t="n">
        <v>5</v>
      </c>
      <c r="D3472" s="1" t="n">
        <v>2</v>
      </c>
      <c r="E3472" s="1" t="n">
        <v>2</v>
      </c>
      <c r="F3472" s="3" t="s">
        <v>20</v>
      </c>
      <c r="G3472" s="3" t="s">
        <v>13972</v>
      </c>
      <c r="H3472" s="1" t="s">
        <v>22</v>
      </c>
      <c r="I3472" s="1" t="n">
        <v>20240430072946</v>
      </c>
      <c r="J3472" s="3" t="s">
        <v>13973</v>
      </c>
      <c r="K3472" s="3" t="s">
        <v>13974</v>
      </c>
      <c r="L3472" s="3" t="s">
        <v>13975</v>
      </c>
      <c r="M3472" s="3" t="n">
        <v>455545</v>
      </c>
      <c r="N3472" s="3" t="s">
        <v>958</v>
      </c>
      <c r="O3472" s="1" t="n">
        <v>439159</v>
      </c>
      <c r="P3472" s="1" t="n">
        <v>96.4</v>
      </c>
      <c r="Q3472" s="1" t="s">
        <v>20</v>
      </c>
      <c r="R3472" s="1" t="s">
        <v>27</v>
      </c>
      <c r="S3472" s="1" t="s">
        <v>28</v>
      </c>
      <c r="T3472" s="1" t="s">
        <v>29</v>
      </c>
    </row>
    <row r="3473" customFormat="false" ht="18.7" hidden="false" customHeight="true" outlineLevel="0" collapsed="false">
      <c r="A3473" s="1" t="n">
        <v>3472</v>
      </c>
      <c r="B3473" s="6" t="str">
        <f aca="false">HYPERLINK("https://mncourtfraud.com/file/MCRO_27-CR-23-3460_Finding of Incompetency and Order_2023-03-22_20240430072943.pdf","MCRO_27-CR-23-3460_Finding of Incompetency and Order_2023-03-22_20240430072943.pdf")</f>
        <v>MCRO_27-CR-23-3460_Finding of Incompetency and Order_2023-03-22_20240430072943.pdf</v>
      </c>
      <c r="C3473" s="1" t="n">
        <v>9</v>
      </c>
      <c r="D3473" s="1" t="n">
        <v>3</v>
      </c>
      <c r="E3473" s="1" t="n">
        <v>3</v>
      </c>
      <c r="F3473" s="3" t="s">
        <v>27</v>
      </c>
      <c r="G3473" s="3" t="s">
        <v>13976</v>
      </c>
      <c r="H3473" s="1" t="s">
        <v>22</v>
      </c>
      <c r="I3473" s="1" t="n">
        <v>20240430072943</v>
      </c>
      <c r="J3473" s="3" t="s">
        <v>13977</v>
      </c>
      <c r="K3473" s="3" t="s">
        <v>13978</v>
      </c>
      <c r="L3473" s="3" t="s">
        <v>13979</v>
      </c>
      <c r="M3473" s="3" t="n">
        <v>960549</v>
      </c>
      <c r="N3473" s="3" t="s">
        <v>13443</v>
      </c>
      <c r="O3473" s="1" t="n">
        <v>944163</v>
      </c>
      <c r="P3473" s="1" t="n">
        <v>98.29</v>
      </c>
      <c r="Q3473" s="1" t="s">
        <v>20</v>
      </c>
      <c r="R3473" s="1" t="s">
        <v>27</v>
      </c>
      <c r="S3473" s="1" t="s">
        <v>28</v>
      </c>
      <c r="T3473" s="1" t="s">
        <v>29</v>
      </c>
    </row>
    <row r="3474" customFormat="false" ht="18.7" hidden="false" customHeight="true" outlineLevel="0" collapsed="false">
      <c r="A3474" s="1" t="n">
        <v>3473</v>
      </c>
      <c r="B3474" s="6" t="str">
        <f aca="false">HYPERLINK("https://mncourtfraud.com/file/MCRO_27-CR-23-3460_Notice of Remote Hearing with Instructions_2023-09-19_20240430072940.pdf","MCRO_27-CR-23-3460_Notice of Remote Hearing with Instructions_2023-09-19_20240430072940.pdf")</f>
        <v>MCRO_27-CR-23-3460_Notice of Remote Hearing with Instructions_2023-09-19_20240430072940.pdf</v>
      </c>
      <c r="C3474" s="1" t="n">
        <v>6</v>
      </c>
      <c r="D3474" s="1" t="n">
        <v>1</v>
      </c>
      <c r="E3474" s="1" t="n">
        <v>1</v>
      </c>
      <c r="F3474" s="3" t="s">
        <v>20</v>
      </c>
      <c r="G3474" s="3" t="s">
        <v>13980</v>
      </c>
      <c r="H3474" s="1" t="s">
        <v>22</v>
      </c>
      <c r="I3474" s="1" t="n">
        <v>20240430072940</v>
      </c>
      <c r="J3474" s="3" t="s">
        <v>13981</v>
      </c>
      <c r="K3474" s="3" t="s">
        <v>13982</v>
      </c>
      <c r="L3474" s="3" t="s">
        <v>13925</v>
      </c>
      <c r="M3474" s="3" t="n">
        <v>909811</v>
      </c>
      <c r="N3474" s="3" t="s">
        <v>109</v>
      </c>
      <c r="O3474" s="1" t="n">
        <v>893425</v>
      </c>
      <c r="P3474" s="1" t="n">
        <v>98.2</v>
      </c>
      <c r="Q3474" s="1" t="s">
        <v>20</v>
      </c>
      <c r="R3474" s="1" t="s">
        <v>27</v>
      </c>
      <c r="S3474" s="1" t="s">
        <v>28</v>
      </c>
      <c r="T3474" s="1" t="s">
        <v>29</v>
      </c>
    </row>
    <row r="3475" customFormat="false" ht="18.7" hidden="false" customHeight="true" outlineLevel="0" collapsed="false">
      <c r="A3475" s="1" t="n">
        <v>3474</v>
      </c>
      <c r="B3475" s="6" t="str">
        <f aca="false">HYPERLINK("https://mncourtfraud.com/file/MCRO_27-CR-23-3460_Notice of Remote Hearing with Instructions_2023-12-06_20240430072939.pdf","MCRO_27-CR-23-3460_Notice of Remote Hearing with Instructions_2023-12-06_20240430072939.pdf")</f>
        <v>MCRO_27-CR-23-3460_Notice of Remote Hearing with Instructions_2023-12-06_20240430072939.pdf</v>
      </c>
      <c r="C3475" s="1" t="n">
        <v>4</v>
      </c>
      <c r="D3475" s="1" t="n">
        <v>1</v>
      </c>
      <c r="E3475" s="1" t="n">
        <v>1</v>
      </c>
      <c r="F3475" s="3" t="s">
        <v>20</v>
      </c>
      <c r="G3475" s="3" t="s">
        <v>13983</v>
      </c>
      <c r="H3475" s="1" t="s">
        <v>22</v>
      </c>
      <c r="I3475" s="1" t="n">
        <v>20240430072939</v>
      </c>
      <c r="J3475" s="3" t="s">
        <v>13984</v>
      </c>
      <c r="K3475" s="3" t="s">
        <v>13985</v>
      </c>
      <c r="L3475" s="3" t="s">
        <v>13986</v>
      </c>
      <c r="M3475" s="3" t="n">
        <v>892630</v>
      </c>
      <c r="N3475" s="3" t="s">
        <v>9593</v>
      </c>
      <c r="O3475" s="1" t="n">
        <v>876244</v>
      </c>
      <c r="P3475" s="1" t="n">
        <v>98.16</v>
      </c>
      <c r="Q3475" s="1" t="s">
        <v>20</v>
      </c>
      <c r="R3475" s="1" t="s">
        <v>27</v>
      </c>
      <c r="S3475" s="1" t="s">
        <v>28</v>
      </c>
      <c r="T3475" s="1" t="s">
        <v>29</v>
      </c>
    </row>
    <row r="3476" customFormat="false" ht="18.7" hidden="false" customHeight="true" outlineLevel="0" collapsed="false">
      <c r="A3476" s="1" t="n">
        <v>3475</v>
      </c>
      <c r="B3476" s="6" t="str">
        <f aca="false">HYPERLINK("https://mncourtfraud.com/file/MCRO_27-CR-23-3460_Notice of Remote Hearing with Instructions_2024-01-26_20240430072936.pdf","MCRO_27-CR-23-3460_Notice of Remote Hearing with Instructions_2024-01-26_20240430072936.pdf")</f>
        <v>MCRO_27-CR-23-3460_Notice of Remote Hearing with Instructions_2024-01-26_20240430072936.pdf</v>
      </c>
      <c r="C3476" s="1" t="n">
        <v>4</v>
      </c>
      <c r="D3476" s="1" t="n">
        <v>1</v>
      </c>
      <c r="E3476" s="1" t="n">
        <v>1</v>
      </c>
      <c r="F3476" s="3" t="s">
        <v>20</v>
      </c>
      <c r="G3476" s="3" t="s">
        <v>13987</v>
      </c>
      <c r="H3476" s="1" t="s">
        <v>22</v>
      </c>
      <c r="I3476" s="1" t="n">
        <v>20240430072936</v>
      </c>
      <c r="J3476" s="3" t="s">
        <v>13988</v>
      </c>
      <c r="K3476" s="3" t="s">
        <v>13989</v>
      </c>
      <c r="L3476" s="3" t="s">
        <v>13990</v>
      </c>
      <c r="M3476" s="3" t="n">
        <v>859816</v>
      </c>
      <c r="N3476" s="3" t="s">
        <v>5654</v>
      </c>
      <c r="O3476" s="1" t="n">
        <v>843430</v>
      </c>
      <c r="P3476" s="1" t="n">
        <v>98.09</v>
      </c>
      <c r="Q3476" s="1" t="s">
        <v>20</v>
      </c>
      <c r="R3476" s="1" t="s">
        <v>27</v>
      </c>
      <c r="S3476" s="1" t="s">
        <v>28</v>
      </c>
      <c r="T3476" s="1" t="s">
        <v>29</v>
      </c>
    </row>
    <row r="3477" customFormat="false" ht="18.7" hidden="false" customHeight="true" outlineLevel="0" collapsed="false">
      <c r="A3477" s="1" t="n">
        <v>3476</v>
      </c>
      <c r="B3477" s="6" t="str">
        <f aca="false">HYPERLINK("https://mncourtfraud.com/file/MCRO_27-CR-23-3460_Order-Evaluation for Competency to Proceed (Rule 20.01)_2023-02-16_20240430072945.pdf","MCRO_27-CR-23-3460_Order-Evaluation for Competency to Proceed (Rule 20.01)_2023-02-16_20240430072945.pdf")</f>
        <v>MCRO_27-CR-23-3460_Order-Evaluation for Competency to Proceed (Rule 20.01)_2023-02-16_20240430072945.pdf</v>
      </c>
      <c r="C3477" s="1" t="n">
        <v>4</v>
      </c>
      <c r="D3477" s="1" t="n">
        <v>1</v>
      </c>
      <c r="E3477" s="1" t="n">
        <v>1</v>
      </c>
      <c r="F3477" s="3" t="s">
        <v>20</v>
      </c>
      <c r="G3477" s="3" t="s">
        <v>13991</v>
      </c>
      <c r="H3477" s="1" t="s">
        <v>22</v>
      </c>
      <c r="I3477" s="1" t="n">
        <v>20240430072945</v>
      </c>
      <c r="J3477" s="3" t="s">
        <v>13992</v>
      </c>
      <c r="K3477" s="3" t="s">
        <v>13993</v>
      </c>
      <c r="L3477" s="3" t="s">
        <v>13994</v>
      </c>
      <c r="M3477" s="3" t="n">
        <v>140180</v>
      </c>
      <c r="N3477" s="3" t="s">
        <v>1159</v>
      </c>
      <c r="O3477" s="1" t="n">
        <v>123794</v>
      </c>
      <c r="P3477" s="1" t="n">
        <v>88.31</v>
      </c>
      <c r="Q3477" s="1" t="s">
        <v>20</v>
      </c>
      <c r="R3477" s="1" t="s">
        <v>27</v>
      </c>
      <c r="S3477" s="1" t="s">
        <v>28</v>
      </c>
      <c r="T3477" s="1" t="s">
        <v>29</v>
      </c>
    </row>
    <row r="3478" customFormat="false" ht="18.7" hidden="false" customHeight="true" outlineLevel="0" collapsed="false">
      <c r="A3478" s="1" t="n">
        <v>3477</v>
      </c>
      <c r="B3478" s="6" t="str">
        <f aca="false">HYPERLINK("https://mncourtfraud.com/file/MCRO_27-CR-23-3460_Order-Other_2023-05-12_20240430072942.pdf","MCRO_27-CR-23-3460_Order-Other_2023-05-12_20240430072942.pdf")</f>
        <v>MCRO_27-CR-23-3460_Order-Other_2023-05-12_20240430072942.pdf</v>
      </c>
      <c r="C3478" s="1" t="n">
        <v>6</v>
      </c>
      <c r="D3478" s="1" t="n">
        <v>29</v>
      </c>
      <c r="E3478" s="1" t="n">
        <v>29</v>
      </c>
      <c r="F3478" s="3" t="s">
        <v>20</v>
      </c>
      <c r="G3478" s="3" t="s">
        <v>13995</v>
      </c>
      <c r="H3478" s="1" t="s">
        <v>22</v>
      </c>
      <c r="I3478" s="1" t="n">
        <v>20240430072942</v>
      </c>
      <c r="J3478" s="3" t="s">
        <v>13996</v>
      </c>
      <c r="K3478" s="3" t="s">
        <v>13997</v>
      </c>
      <c r="L3478" s="3" t="s">
        <v>13998</v>
      </c>
      <c r="M3478" s="3" t="n">
        <v>916270</v>
      </c>
      <c r="N3478" s="3" t="s">
        <v>13946</v>
      </c>
      <c r="O3478" s="1" t="n">
        <v>899884</v>
      </c>
      <c r="P3478" s="1" t="n">
        <v>98.21</v>
      </c>
      <c r="Q3478" s="1" t="s">
        <v>20</v>
      </c>
      <c r="R3478" s="1" t="s">
        <v>27</v>
      </c>
      <c r="S3478" s="1" t="s">
        <v>28</v>
      </c>
      <c r="T3478" s="1" t="s">
        <v>29</v>
      </c>
    </row>
    <row r="3479" customFormat="false" ht="18.7" hidden="false" customHeight="true" outlineLevel="0" collapsed="false">
      <c r="A3479" s="1" t="n">
        <v>3478</v>
      </c>
      <c r="B3479" s="6" t="str">
        <f aca="false">HYPERLINK("https://mncourtfraud.com/file/MCRO_27-CR-23-3460_Probation Referral Notification_2023-12-06_20240430072938.pdf","MCRO_27-CR-23-3460_Probation Referral Notification_2023-12-06_20240430072938.pdf")</f>
        <v>MCRO_27-CR-23-3460_Probation Referral Notification_2023-12-06_20240430072938.pdf</v>
      </c>
      <c r="C3479" s="1" t="n">
        <v>4</v>
      </c>
      <c r="D3479" s="1" t="n">
        <v>1</v>
      </c>
      <c r="E3479" s="1" t="n">
        <v>1</v>
      </c>
      <c r="F3479" s="3" t="s">
        <v>20</v>
      </c>
      <c r="G3479" s="3" t="s">
        <v>13999</v>
      </c>
      <c r="H3479" s="1" t="s">
        <v>22</v>
      </c>
      <c r="I3479" s="1" t="n">
        <v>20240430072938</v>
      </c>
      <c r="J3479" s="3" t="s">
        <v>14000</v>
      </c>
      <c r="K3479" s="3" t="s">
        <v>14001</v>
      </c>
      <c r="L3479" s="3" t="s">
        <v>14002</v>
      </c>
      <c r="M3479" s="3" t="n">
        <v>735557</v>
      </c>
      <c r="N3479" s="3" t="s">
        <v>13955</v>
      </c>
      <c r="O3479" s="1" t="n">
        <v>719171</v>
      </c>
      <c r="P3479" s="1" t="n">
        <v>97.77</v>
      </c>
      <c r="Q3479" s="1" t="s">
        <v>20</v>
      </c>
      <c r="R3479" s="1" t="s">
        <v>27</v>
      </c>
      <c r="S3479" s="1" t="s">
        <v>28</v>
      </c>
      <c r="T3479" s="1" t="s">
        <v>29</v>
      </c>
    </row>
    <row r="3480" customFormat="false" ht="18.7" hidden="false" customHeight="true" outlineLevel="0" collapsed="false">
      <c r="A3480" s="1" t="n">
        <v>3479</v>
      </c>
      <c r="B3480" s="6" t="str">
        <f aca="false">HYPERLINK("https://mncourtfraud.com/file/MCRO_27-CR-23-3460_Scheduling Order_2023-12-06_20240430072937.pdf","MCRO_27-CR-23-3460_Scheduling Order_2023-12-06_20240430072937.pdf")</f>
        <v>MCRO_27-CR-23-3460_Scheduling Order_2023-12-06_20240430072937.pdf</v>
      </c>
      <c r="C3480" s="1" t="n">
        <v>5</v>
      </c>
      <c r="D3480" s="1" t="n">
        <v>4</v>
      </c>
      <c r="E3480" s="1" t="n">
        <v>2</v>
      </c>
      <c r="F3480" s="3" t="s">
        <v>20</v>
      </c>
      <c r="G3480" s="3" t="s">
        <v>14003</v>
      </c>
      <c r="H3480" s="1" t="s">
        <v>22</v>
      </c>
      <c r="I3480" s="1" t="n">
        <v>20240430072937</v>
      </c>
      <c r="J3480" s="3" t="s">
        <v>14004</v>
      </c>
      <c r="K3480" s="3" t="s">
        <v>14005</v>
      </c>
      <c r="L3480" s="3" t="s">
        <v>14006</v>
      </c>
      <c r="M3480" s="3" t="n">
        <v>874283</v>
      </c>
      <c r="N3480" s="3" t="s">
        <v>7151</v>
      </c>
      <c r="O3480" s="1" t="n">
        <v>857897</v>
      </c>
      <c r="P3480" s="1" t="n">
        <v>98.13</v>
      </c>
      <c r="Q3480" s="1" t="s">
        <v>20</v>
      </c>
      <c r="R3480" s="1" t="s">
        <v>27</v>
      </c>
      <c r="S3480" s="1" t="s">
        <v>28</v>
      </c>
      <c r="T3480" s="1" t="s">
        <v>29</v>
      </c>
    </row>
    <row r="3481" customFormat="false" ht="18.7" hidden="false" customHeight="true" outlineLevel="0" collapsed="false">
      <c r="A3481" s="1" t="n">
        <v>3480</v>
      </c>
      <c r="B3481" s="6" t="str">
        <f aca="false">HYPERLINK("https://mncourtfraud.com/file/MCRO_27-CR-23-3496_Demand or Request for Discovery_2023-03-01_20240430073022.pdf","MCRO_27-CR-23-3496_Demand or Request for Discovery_2023-03-01_20240430073022.pdf")</f>
        <v>MCRO_27-CR-23-3496_Demand or Request for Discovery_2023-03-01_20240430073022.pdf</v>
      </c>
      <c r="C3481" s="1" t="n">
        <v>3</v>
      </c>
      <c r="D3481" s="1" t="n">
        <v>1</v>
      </c>
      <c r="E3481" s="1" t="n">
        <v>1</v>
      </c>
      <c r="F3481" s="3" t="s">
        <v>20</v>
      </c>
      <c r="G3481" s="3" t="s">
        <v>14007</v>
      </c>
      <c r="H3481" s="1" t="s">
        <v>22</v>
      </c>
      <c r="I3481" s="1" t="n">
        <v>20240430073022</v>
      </c>
      <c r="J3481" s="3" t="s">
        <v>14008</v>
      </c>
      <c r="K3481" s="3" t="s">
        <v>14009</v>
      </c>
      <c r="L3481" s="3" t="s">
        <v>14010</v>
      </c>
      <c r="M3481" s="3" t="n">
        <v>371102</v>
      </c>
      <c r="N3481" s="3" t="s">
        <v>7385</v>
      </c>
      <c r="O3481" s="1" t="n">
        <v>354716</v>
      </c>
      <c r="P3481" s="1" t="n">
        <v>95.58</v>
      </c>
      <c r="Q3481" s="1" t="s">
        <v>20</v>
      </c>
      <c r="R3481" s="1" t="s">
        <v>27</v>
      </c>
      <c r="S3481" s="1" t="s">
        <v>28</v>
      </c>
      <c r="T3481" s="1" t="s">
        <v>29</v>
      </c>
    </row>
    <row r="3482" customFormat="false" ht="18.7" hidden="false" customHeight="true" outlineLevel="0" collapsed="false">
      <c r="A3482" s="1" t="n">
        <v>3481</v>
      </c>
      <c r="B3482" s="6" t="str">
        <f aca="false">HYPERLINK("https://mncourtfraud.com/file/MCRO_27-CR-23-3496_E-filed Comp-Order for Detention_2023-02-14_20240430073025.pdf","MCRO_27-CR-23-3496_E-filed Comp-Order for Detention_2023-02-14_20240430073025.pdf")</f>
        <v>MCRO_27-CR-23-3496_E-filed Comp-Order for Detention_2023-02-14_20240430073025.pdf</v>
      </c>
      <c r="C3482" s="1" t="n">
        <v>5</v>
      </c>
      <c r="D3482" s="1" t="n">
        <v>2</v>
      </c>
      <c r="E3482" s="1" t="n">
        <v>2</v>
      </c>
      <c r="F3482" s="3" t="s">
        <v>20</v>
      </c>
      <c r="G3482" s="3" t="s">
        <v>14011</v>
      </c>
      <c r="H3482" s="1" t="s">
        <v>22</v>
      </c>
      <c r="I3482" s="1" t="n">
        <v>20240430073025</v>
      </c>
      <c r="J3482" s="3" t="s">
        <v>14012</v>
      </c>
      <c r="K3482" s="3" t="s">
        <v>14013</v>
      </c>
      <c r="L3482" s="3" t="s">
        <v>14014</v>
      </c>
      <c r="M3482" s="3" t="n">
        <v>446487</v>
      </c>
      <c r="N3482" s="3" t="s">
        <v>10880</v>
      </c>
      <c r="O3482" s="1" t="n">
        <v>430101</v>
      </c>
      <c r="P3482" s="1" t="n">
        <v>96.33</v>
      </c>
      <c r="Q3482" s="1" t="s">
        <v>20</v>
      </c>
      <c r="R3482" s="1" t="s">
        <v>27</v>
      </c>
      <c r="S3482" s="1" t="s">
        <v>28</v>
      </c>
      <c r="T3482" s="1" t="s">
        <v>29</v>
      </c>
    </row>
    <row r="3483" customFormat="false" ht="18.7" hidden="false" customHeight="true" outlineLevel="0" collapsed="false">
      <c r="A3483" s="1" t="n">
        <v>3482</v>
      </c>
      <c r="B3483" s="6" t="str">
        <f aca="false">HYPERLINK("https://mncourtfraud.com/file/MCRO_27-CR-23-3496_Finding of Incompetency and Order_2023-03-22_20240430073021.pdf","MCRO_27-CR-23-3496_Finding of Incompetency and Order_2023-03-22_20240430073021.pdf")</f>
        <v>MCRO_27-CR-23-3496_Finding of Incompetency and Order_2023-03-22_20240430073021.pdf</v>
      </c>
      <c r="C3483" s="1" t="n">
        <v>9</v>
      </c>
      <c r="D3483" s="1" t="n">
        <v>3</v>
      </c>
      <c r="E3483" s="1" t="n">
        <v>3</v>
      </c>
      <c r="F3483" s="3" t="s">
        <v>27</v>
      </c>
      <c r="G3483" s="3" t="s">
        <v>14015</v>
      </c>
      <c r="H3483" s="1" t="s">
        <v>22</v>
      </c>
      <c r="I3483" s="1" t="n">
        <v>20240430073021</v>
      </c>
      <c r="J3483" s="3" t="s">
        <v>14016</v>
      </c>
      <c r="K3483" s="3" t="s">
        <v>14017</v>
      </c>
      <c r="L3483" s="3" t="s">
        <v>14018</v>
      </c>
      <c r="M3483" s="3" t="n">
        <v>951446</v>
      </c>
      <c r="N3483" s="3" t="s">
        <v>7046</v>
      </c>
      <c r="O3483" s="1" t="n">
        <v>935060</v>
      </c>
      <c r="P3483" s="1" t="n">
        <v>98.28</v>
      </c>
      <c r="Q3483" s="1" t="s">
        <v>20</v>
      </c>
      <c r="R3483" s="1" t="s">
        <v>27</v>
      </c>
      <c r="S3483" s="1" t="s">
        <v>28</v>
      </c>
      <c r="T3483" s="1" t="s">
        <v>29</v>
      </c>
    </row>
    <row r="3484" customFormat="false" ht="18.7" hidden="false" customHeight="true" outlineLevel="0" collapsed="false">
      <c r="A3484" s="1" t="n">
        <v>3483</v>
      </c>
      <c r="B3484" s="6" t="str">
        <f aca="false">HYPERLINK("https://mncourtfraud.com/file/MCRO_27-CR-23-3496_Notice of Remote Hearing with Instructions_2024-03-19_20240430073019.pdf","MCRO_27-CR-23-3496_Notice of Remote Hearing with Instructions_2024-03-19_20240430073019.pdf")</f>
        <v>MCRO_27-CR-23-3496_Notice of Remote Hearing with Instructions_2024-03-19_20240430073019.pdf</v>
      </c>
      <c r="C3484" s="1" t="n">
        <v>4</v>
      </c>
      <c r="D3484" s="1" t="n">
        <v>1</v>
      </c>
      <c r="E3484" s="1" t="n">
        <v>1</v>
      </c>
      <c r="F3484" s="3" t="s">
        <v>20</v>
      </c>
      <c r="G3484" s="3" t="s">
        <v>14019</v>
      </c>
      <c r="H3484" s="1" t="s">
        <v>22</v>
      </c>
      <c r="I3484" s="1" t="n">
        <v>20240430073019</v>
      </c>
      <c r="J3484" s="3" t="s">
        <v>14020</v>
      </c>
      <c r="K3484" s="3" t="s">
        <v>14021</v>
      </c>
      <c r="L3484" s="3" t="s">
        <v>14022</v>
      </c>
      <c r="M3484" s="3" t="n">
        <v>256630</v>
      </c>
      <c r="N3484" s="3" t="s">
        <v>74</v>
      </c>
      <c r="O3484" s="1" t="n">
        <v>240244</v>
      </c>
      <c r="P3484" s="1" t="n">
        <v>93.61</v>
      </c>
      <c r="Q3484" s="1" t="s">
        <v>20</v>
      </c>
      <c r="R3484" s="1" t="s">
        <v>27</v>
      </c>
      <c r="S3484" s="1" t="s">
        <v>28</v>
      </c>
      <c r="T3484" s="1" t="s">
        <v>29</v>
      </c>
    </row>
    <row r="3485" customFormat="false" ht="18.7" hidden="false" customHeight="true" outlineLevel="0" collapsed="false">
      <c r="A3485" s="1" t="n">
        <v>3484</v>
      </c>
      <c r="B3485" s="6" t="str">
        <f aca="false">HYPERLINK("https://mncourtfraud.com/file/MCRO_27-CR-23-3496_Order-Evaluation for Competency to Proceed (Rule 20.01)_2023-02-15_20240430073023.pdf","MCRO_27-CR-23-3496_Order-Evaluation for Competency to Proceed (Rule 20.01)_2023-02-15_20240430073023.pdf")</f>
        <v>MCRO_27-CR-23-3496_Order-Evaluation for Competency to Proceed (Rule 20.01)_2023-02-15_20240430073023.pdf</v>
      </c>
      <c r="C3485" s="1" t="n">
        <v>4</v>
      </c>
      <c r="D3485" s="1" t="n">
        <v>1</v>
      </c>
      <c r="E3485" s="1" t="n">
        <v>1</v>
      </c>
      <c r="F3485" s="3" t="s">
        <v>20</v>
      </c>
      <c r="G3485" s="3" t="s">
        <v>14023</v>
      </c>
      <c r="H3485" s="1" t="s">
        <v>22</v>
      </c>
      <c r="I3485" s="1" t="n">
        <v>20240430073023</v>
      </c>
      <c r="J3485" s="3" t="s">
        <v>14024</v>
      </c>
      <c r="K3485" s="3" t="s">
        <v>14025</v>
      </c>
      <c r="L3485" s="3" t="s">
        <v>14026</v>
      </c>
      <c r="M3485" s="3" t="n">
        <v>139431</v>
      </c>
      <c r="N3485" s="3" t="s">
        <v>1159</v>
      </c>
      <c r="O3485" s="1" t="n">
        <v>123045</v>
      </c>
      <c r="P3485" s="1" t="n">
        <v>88.25</v>
      </c>
      <c r="Q3485" s="1" t="s">
        <v>20</v>
      </c>
      <c r="R3485" s="1" t="s">
        <v>27</v>
      </c>
      <c r="S3485" s="1" t="s">
        <v>28</v>
      </c>
      <c r="T3485" s="1" t="s">
        <v>29</v>
      </c>
    </row>
    <row r="3486" customFormat="false" ht="18.7" hidden="false" customHeight="true" outlineLevel="0" collapsed="false">
      <c r="A3486" s="1" t="n">
        <v>3485</v>
      </c>
      <c r="B3486" s="6" t="str">
        <f aca="false">HYPERLINK("https://mncourtfraud.com/file/MCRO_27-CR-23-3496_Order-Evaluation for Competency to Proceed (Rule 20.01)_2024-01-11_20240430073020.pdf","MCRO_27-CR-23-3496_Order-Evaluation for Competency to Proceed (Rule 20.01)_2024-01-11_20240430073020.pdf")</f>
        <v>MCRO_27-CR-23-3496_Order-Evaluation for Competency to Proceed (Rule 20.01)_2024-01-11_20240430073020.pdf</v>
      </c>
      <c r="C3486" s="1" t="n">
        <v>5</v>
      </c>
      <c r="D3486" s="1" t="n">
        <v>1</v>
      </c>
      <c r="E3486" s="1" t="n">
        <v>1</v>
      </c>
      <c r="F3486" s="3" t="s">
        <v>20</v>
      </c>
      <c r="G3486" s="3" t="s">
        <v>14027</v>
      </c>
      <c r="H3486" s="1" t="s">
        <v>22</v>
      </c>
      <c r="I3486" s="1" t="n">
        <v>20240430073020</v>
      </c>
      <c r="J3486" s="3" t="s">
        <v>14028</v>
      </c>
      <c r="K3486" s="3" t="s">
        <v>14029</v>
      </c>
      <c r="L3486" s="3" t="s">
        <v>14030</v>
      </c>
      <c r="M3486" s="3" t="n">
        <v>760283</v>
      </c>
      <c r="N3486" s="3" t="s">
        <v>1091</v>
      </c>
      <c r="O3486" s="1" t="n">
        <v>743897</v>
      </c>
      <c r="P3486" s="1" t="n">
        <v>97.84</v>
      </c>
      <c r="Q3486" s="1" t="s">
        <v>20</v>
      </c>
      <c r="R3486" s="1" t="s">
        <v>27</v>
      </c>
      <c r="S3486" s="1" t="s">
        <v>28</v>
      </c>
      <c r="T3486" s="1" t="s">
        <v>29</v>
      </c>
    </row>
    <row r="3487" customFormat="false" ht="18.7" hidden="false" customHeight="true" outlineLevel="0" collapsed="false">
      <c r="A3487" s="1" t="n">
        <v>3486</v>
      </c>
      <c r="B3487" s="6" t="str">
        <f aca="false">HYPERLINK("https://mncourtfraud.com/file/MCRO_27-CR-23-385_Citation Data Summary_2023-01-05_20240430071840.pdf","MCRO_27-CR-23-385_Citation Data Summary_2023-01-05_20240430071840.pdf")</f>
        <v>MCRO_27-CR-23-385_Citation Data Summary_2023-01-05_20240430071840.pdf</v>
      </c>
      <c r="C3487" s="1" t="n">
        <v>5</v>
      </c>
      <c r="D3487" s="1" t="n">
        <v>2</v>
      </c>
      <c r="E3487" s="1" t="n">
        <v>2</v>
      </c>
      <c r="F3487" s="3" t="s">
        <v>20</v>
      </c>
      <c r="G3487" s="3" t="s">
        <v>14031</v>
      </c>
      <c r="H3487" s="1" t="s">
        <v>22</v>
      </c>
      <c r="I3487" s="1" t="n">
        <v>20240430071840</v>
      </c>
      <c r="J3487" s="3" t="s">
        <v>14032</v>
      </c>
      <c r="K3487" s="3" t="s">
        <v>14033</v>
      </c>
      <c r="L3487" s="3" t="s">
        <v>14034</v>
      </c>
      <c r="M3487" s="3" t="n">
        <v>102841</v>
      </c>
      <c r="N3487" s="3" t="s">
        <v>535</v>
      </c>
      <c r="O3487" s="1" t="n">
        <v>86455</v>
      </c>
      <c r="P3487" s="1" t="n">
        <v>84.07</v>
      </c>
      <c r="Q3487" s="1" t="s">
        <v>20</v>
      </c>
      <c r="R3487" s="1" t="s">
        <v>27</v>
      </c>
      <c r="S3487" s="1" t="s">
        <v>28</v>
      </c>
      <c r="T3487" s="1" t="s">
        <v>29</v>
      </c>
    </row>
    <row r="3488" customFormat="false" ht="18.7" hidden="false" customHeight="true" outlineLevel="0" collapsed="false">
      <c r="A3488" s="1" t="n">
        <v>3487</v>
      </c>
      <c r="B3488" s="6" t="str">
        <f aca="false">HYPERLINK("https://mncourtfraud.com/file/MCRO_27-CR-23-385_Finding of Incompetency and Order_2023-05-02_20240430071836.pdf","MCRO_27-CR-23-385_Finding of Incompetency and Order_2023-05-02_20240430071836.pdf")</f>
        <v>MCRO_27-CR-23-385_Finding of Incompetency and Order_2023-05-02_20240430071836.pdf</v>
      </c>
      <c r="C3488" s="1" t="n">
        <v>9</v>
      </c>
      <c r="D3488" s="1" t="n">
        <v>3</v>
      </c>
      <c r="E3488" s="1" t="n">
        <v>3</v>
      </c>
      <c r="F3488" s="3" t="s">
        <v>27</v>
      </c>
      <c r="G3488" s="3" t="s">
        <v>14035</v>
      </c>
      <c r="H3488" s="1" t="s">
        <v>22</v>
      </c>
      <c r="I3488" s="1" t="n">
        <v>20240430071836</v>
      </c>
      <c r="J3488" s="3" t="s">
        <v>14036</v>
      </c>
      <c r="K3488" s="3" t="s">
        <v>14037</v>
      </c>
      <c r="L3488" s="3" t="s">
        <v>8994</v>
      </c>
      <c r="M3488" s="3" t="n">
        <v>951848</v>
      </c>
      <c r="N3488" s="3" t="s">
        <v>3264</v>
      </c>
      <c r="O3488" s="1" t="n">
        <v>935462</v>
      </c>
      <c r="P3488" s="1" t="n">
        <v>98.28</v>
      </c>
      <c r="Q3488" s="1" t="s">
        <v>20</v>
      </c>
      <c r="R3488" s="1" t="s">
        <v>27</v>
      </c>
      <c r="S3488" s="1" t="s">
        <v>28</v>
      </c>
      <c r="T3488" s="1" t="s">
        <v>29</v>
      </c>
    </row>
    <row r="3489" customFormat="false" ht="18.7" hidden="false" customHeight="true" outlineLevel="0" collapsed="false">
      <c r="A3489" s="1" t="n">
        <v>3488</v>
      </c>
      <c r="B3489" s="6" t="str">
        <f aca="false">HYPERLINK("https://mncourtfraud.com/file/MCRO_27-CR-23-385_Order-Evaluation for Competency to Proceed (Rule 20.01)_2023-02-21_20240430071838.pdf","MCRO_27-CR-23-385_Order-Evaluation for Competency to Proceed (Rule 20.01)_2023-02-21_20240430071838.pdf")</f>
        <v>MCRO_27-CR-23-385_Order-Evaluation for Competency to Proceed (Rule 20.01)_2023-02-21_20240430071838.pdf</v>
      </c>
      <c r="C3489" s="1" t="n">
        <v>3</v>
      </c>
      <c r="D3489" s="1" t="n">
        <v>1</v>
      </c>
      <c r="E3489" s="1" t="n">
        <v>1</v>
      </c>
      <c r="F3489" s="3" t="s">
        <v>20</v>
      </c>
      <c r="G3489" s="3" t="s">
        <v>14038</v>
      </c>
      <c r="H3489" s="1" t="s">
        <v>22</v>
      </c>
      <c r="I3489" s="1" t="n">
        <v>20240430071838</v>
      </c>
      <c r="J3489" s="3" t="s">
        <v>14039</v>
      </c>
      <c r="K3489" s="3" t="s">
        <v>14040</v>
      </c>
      <c r="L3489" s="3" t="s">
        <v>11393</v>
      </c>
      <c r="M3489" s="3" t="n">
        <v>192384</v>
      </c>
      <c r="N3489" s="3" t="s">
        <v>1266</v>
      </c>
      <c r="O3489" s="1" t="n">
        <v>175998</v>
      </c>
      <c r="P3489" s="1" t="n">
        <v>91.48</v>
      </c>
      <c r="Q3489" s="1" t="s">
        <v>20</v>
      </c>
      <c r="R3489" s="1" t="s">
        <v>27</v>
      </c>
      <c r="S3489" s="1" t="s">
        <v>28</v>
      </c>
      <c r="T3489" s="1" t="s">
        <v>29</v>
      </c>
    </row>
    <row r="3490" customFormat="false" ht="18.7" hidden="false" customHeight="true" outlineLevel="0" collapsed="false">
      <c r="A3490" s="1" t="n">
        <v>3489</v>
      </c>
      <c r="B3490" s="6" t="str">
        <f aca="false">HYPERLINK("https://mncourtfraud.com/file/MCRO_27-CR-23-385_Order-Evaluation for Competency to Proceed (Rule 20.01)_2023-03-28_20240430071837.pdf","MCRO_27-CR-23-385_Order-Evaluation for Competency to Proceed (Rule 20.01)_2023-03-28_20240430071837.pdf")</f>
        <v>MCRO_27-CR-23-385_Order-Evaluation for Competency to Proceed (Rule 20.01)_2023-03-28_20240430071837.pdf</v>
      </c>
      <c r="C3490" s="1" t="n">
        <v>6</v>
      </c>
      <c r="D3490" s="1" t="n">
        <v>2</v>
      </c>
      <c r="E3490" s="1" t="n">
        <v>2</v>
      </c>
      <c r="F3490" s="3" t="s">
        <v>27</v>
      </c>
      <c r="G3490" s="3" t="s">
        <v>14041</v>
      </c>
      <c r="H3490" s="1" t="s">
        <v>22</v>
      </c>
      <c r="I3490" s="1" t="n">
        <v>20240430071837</v>
      </c>
      <c r="J3490" s="3" t="s">
        <v>14042</v>
      </c>
      <c r="K3490" s="3" t="s">
        <v>14043</v>
      </c>
      <c r="L3490" s="3" t="s">
        <v>14044</v>
      </c>
      <c r="M3490" s="3" t="n">
        <v>888439</v>
      </c>
      <c r="N3490" s="3" t="s">
        <v>559</v>
      </c>
      <c r="O3490" s="1" t="n">
        <v>872053</v>
      </c>
      <c r="P3490" s="1" t="n">
        <v>98.16</v>
      </c>
      <c r="Q3490" s="1" t="s">
        <v>20</v>
      </c>
      <c r="R3490" s="1" t="s">
        <v>27</v>
      </c>
      <c r="S3490" s="1" t="s">
        <v>28</v>
      </c>
      <c r="T3490" s="1" t="s">
        <v>29</v>
      </c>
    </row>
    <row r="3491" customFormat="false" ht="18.7" hidden="false" customHeight="true" outlineLevel="0" collapsed="false">
      <c r="A3491" s="1" t="n">
        <v>3490</v>
      </c>
      <c r="B3491" s="6" t="str">
        <f aca="false">HYPERLINK("https://mncourtfraud.com/file/MCRO_27-CR-23-385_Summons_2023-01-06_20240430071839.pdf","MCRO_27-CR-23-385_Summons_2023-01-06_20240430071839.pdf")</f>
        <v>MCRO_27-CR-23-385_Summons_2023-01-06_20240430071839.pdf</v>
      </c>
      <c r="C3491" s="1" t="n">
        <v>4</v>
      </c>
      <c r="D3491" s="1" t="n">
        <v>1</v>
      </c>
      <c r="E3491" s="1" t="n">
        <v>1</v>
      </c>
      <c r="F3491" s="3" t="s">
        <v>20</v>
      </c>
      <c r="G3491" s="3" t="s">
        <v>14045</v>
      </c>
      <c r="H3491" s="1" t="s">
        <v>22</v>
      </c>
      <c r="I3491" s="1" t="n">
        <v>20240430071839</v>
      </c>
      <c r="J3491" s="3" t="s">
        <v>14046</v>
      </c>
      <c r="K3491" s="3" t="s">
        <v>14047</v>
      </c>
      <c r="L3491" s="3" t="s">
        <v>14048</v>
      </c>
      <c r="M3491" s="3" t="n">
        <v>544822</v>
      </c>
      <c r="N3491" s="3" t="s">
        <v>158</v>
      </c>
      <c r="O3491" s="1" t="n">
        <v>528436</v>
      </c>
      <c r="P3491" s="1" t="n">
        <v>96.99</v>
      </c>
      <c r="Q3491" s="1" t="s">
        <v>20</v>
      </c>
      <c r="R3491" s="1" t="s">
        <v>27</v>
      </c>
      <c r="S3491" s="1" t="s">
        <v>28</v>
      </c>
      <c r="T3491" s="1" t="s">
        <v>29</v>
      </c>
    </row>
    <row r="3492" customFormat="false" ht="18.7" hidden="false" customHeight="true" outlineLevel="0" collapsed="false">
      <c r="A3492" s="1" t="n">
        <v>3491</v>
      </c>
      <c r="B3492" s="6" t="str">
        <f aca="false">HYPERLINK("https://mncourtfraud.com/file/MCRO_27-CR-23-4547_Demand or Request for Discovery_2023-10-18_20240430073109.pdf","MCRO_27-CR-23-4547_Demand or Request for Discovery_2023-10-18_20240430073109.pdf")</f>
        <v>MCRO_27-CR-23-4547_Demand or Request for Discovery_2023-10-18_20240430073109.pdf</v>
      </c>
      <c r="C3492" s="1" t="n">
        <v>3</v>
      </c>
      <c r="D3492" s="1" t="n">
        <v>1</v>
      </c>
      <c r="E3492" s="1" t="n">
        <v>1</v>
      </c>
      <c r="F3492" s="3" t="s">
        <v>20</v>
      </c>
      <c r="G3492" s="3" t="s">
        <v>14049</v>
      </c>
      <c r="H3492" s="1" t="s">
        <v>22</v>
      </c>
      <c r="I3492" s="1" t="n">
        <v>20240430073109</v>
      </c>
      <c r="J3492" s="3" t="s">
        <v>14050</v>
      </c>
      <c r="K3492" s="3" t="s">
        <v>14051</v>
      </c>
      <c r="L3492" s="3" t="s">
        <v>14052</v>
      </c>
      <c r="M3492" s="3" t="n">
        <v>302947</v>
      </c>
      <c r="N3492" s="3" t="s">
        <v>14053</v>
      </c>
      <c r="O3492" s="1" t="n">
        <v>286561</v>
      </c>
      <c r="P3492" s="1" t="n">
        <v>94.59</v>
      </c>
      <c r="Q3492" s="1" t="s">
        <v>20</v>
      </c>
      <c r="R3492" s="1" t="s">
        <v>27</v>
      </c>
      <c r="S3492" s="1" t="s">
        <v>28</v>
      </c>
      <c r="T3492" s="1" t="s">
        <v>29</v>
      </c>
    </row>
    <row r="3493" customFormat="false" ht="18.7" hidden="false" customHeight="true" outlineLevel="0" collapsed="false">
      <c r="A3493" s="1" t="n">
        <v>3492</v>
      </c>
      <c r="B3493" s="6" t="str">
        <f aca="false">HYPERLINK("https://mncourtfraud.com/file/MCRO_27-CR-23-4547_E-filed Comp-Order for Detention_2023-03-01_20240430073125.pdf","MCRO_27-CR-23-4547_E-filed Comp-Order for Detention_2023-03-01_20240430073125.pdf")</f>
        <v>MCRO_27-CR-23-4547_E-filed Comp-Order for Detention_2023-03-01_20240430073125.pdf</v>
      </c>
      <c r="C3493" s="1" t="n">
        <v>5</v>
      </c>
      <c r="D3493" s="1" t="n">
        <v>2</v>
      </c>
      <c r="E3493" s="1" t="n">
        <v>2</v>
      </c>
      <c r="F3493" s="3" t="s">
        <v>20</v>
      </c>
      <c r="G3493" s="3" t="s">
        <v>14054</v>
      </c>
      <c r="H3493" s="1" t="s">
        <v>22</v>
      </c>
      <c r="I3493" s="1" t="n">
        <v>20240430073125</v>
      </c>
      <c r="J3493" s="3" t="s">
        <v>14055</v>
      </c>
      <c r="K3493" s="3" t="s">
        <v>14056</v>
      </c>
      <c r="L3493" s="3" t="s">
        <v>14057</v>
      </c>
      <c r="M3493" s="3" t="n">
        <v>444421</v>
      </c>
      <c r="N3493" s="3" t="s">
        <v>10721</v>
      </c>
      <c r="O3493" s="1" t="n">
        <v>428035</v>
      </c>
      <c r="P3493" s="1" t="n">
        <v>96.31</v>
      </c>
      <c r="Q3493" s="1" t="s">
        <v>20</v>
      </c>
      <c r="R3493" s="1" t="s">
        <v>27</v>
      </c>
      <c r="S3493" s="1" t="s">
        <v>28</v>
      </c>
      <c r="T3493" s="1" t="s">
        <v>29</v>
      </c>
    </row>
    <row r="3494" customFormat="false" ht="18.7" hidden="false" customHeight="true" outlineLevel="0" collapsed="false">
      <c r="A3494" s="1" t="n">
        <v>3493</v>
      </c>
      <c r="B3494" s="6" t="str">
        <f aca="false">HYPERLINK("https://mncourtfraud.com/file/MCRO_27-CR-23-4547_Notice of Case Reassignment_2023-12-27_20240430073106.pdf","MCRO_27-CR-23-4547_Notice of Case Reassignment_2023-12-27_20240430073106.pdf")</f>
        <v>MCRO_27-CR-23-4547_Notice of Case Reassignment_2023-12-27_20240430073106.pdf</v>
      </c>
      <c r="C3494" s="1" t="n">
        <v>3</v>
      </c>
      <c r="D3494" s="1" t="n">
        <v>1</v>
      </c>
      <c r="E3494" s="1" t="n">
        <v>1</v>
      </c>
      <c r="F3494" s="3" t="s">
        <v>20</v>
      </c>
      <c r="G3494" s="3" t="s">
        <v>14058</v>
      </c>
      <c r="H3494" s="1" t="s">
        <v>22</v>
      </c>
      <c r="I3494" s="1" t="n">
        <v>20240430073106</v>
      </c>
      <c r="J3494" s="3" t="s">
        <v>14059</v>
      </c>
      <c r="K3494" s="3" t="s">
        <v>14060</v>
      </c>
      <c r="L3494" s="3" t="s">
        <v>14061</v>
      </c>
      <c r="M3494" s="3" t="n">
        <v>170389</v>
      </c>
      <c r="N3494" s="3" t="s">
        <v>1176</v>
      </c>
      <c r="O3494" s="1" t="n">
        <v>154003</v>
      </c>
      <c r="P3494" s="1" t="n">
        <v>90.38</v>
      </c>
      <c r="Q3494" s="1" t="s">
        <v>20</v>
      </c>
      <c r="R3494" s="1" t="s">
        <v>27</v>
      </c>
      <c r="S3494" s="1" t="s">
        <v>28</v>
      </c>
      <c r="T3494" s="1" t="s">
        <v>29</v>
      </c>
    </row>
    <row r="3495" customFormat="false" ht="18.7" hidden="false" customHeight="true" outlineLevel="0" collapsed="false">
      <c r="A3495" s="1" t="n">
        <v>3494</v>
      </c>
      <c r="B3495" s="6" t="str">
        <f aca="false">HYPERLINK("https://mncourtfraud.com/file/MCRO_27-CR-23-4547_Notice of Hearing_2023-03-01_20240430073122.pdf","MCRO_27-CR-23-4547_Notice of Hearing_2023-03-01_20240430073122.pdf")</f>
        <v>MCRO_27-CR-23-4547_Notice of Hearing_2023-03-01_20240430073122.pdf</v>
      </c>
      <c r="C3495" s="1" t="n">
        <v>4</v>
      </c>
      <c r="D3495" s="1" t="n">
        <v>1</v>
      </c>
      <c r="E3495" s="1" t="n">
        <v>1</v>
      </c>
      <c r="F3495" s="3" t="s">
        <v>20</v>
      </c>
      <c r="G3495" s="3" t="s">
        <v>14062</v>
      </c>
      <c r="H3495" s="1" t="s">
        <v>22</v>
      </c>
      <c r="I3495" s="1" t="n">
        <v>20240430073122</v>
      </c>
      <c r="J3495" s="3" t="s">
        <v>14063</v>
      </c>
      <c r="K3495" s="3" t="s">
        <v>14064</v>
      </c>
      <c r="L3495" s="3" t="s">
        <v>14065</v>
      </c>
      <c r="M3495" s="3" t="n">
        <v>102486</v>
      </c>
      <c r="N3495" s="3" t="s">
        <v>435</v>
      </c>
      <c r="O3495" s="1" t="n">
        <v>86100</v>
      </c>
      <c r="P3495" s="1" t="n">
        <v>84.01</v>
      </c>
      <c r="Q3495" s="1" t="s">
        <v>20</v>
      </c>
      <c r="R3495" s="1" t="s">
        <v>27</v>
      </c>
      <c r="S3495" s="1" t="s">
        <v>28</v>
      </c>
      <c r="T3495" s="1" t="s">
        <v>29</v>
      </c>
    </row>
    <row r="3496" customFormat="false" ht="18.7" hidden="false" customHeight="true" outlineLevel="0" collapsed="false">
      <c r="A3496" s="1" t="n">
        <v>3495</v>
      </c>
      <c r="B3496" s="6" t="str">
        <f aca="false">HYPERLINK("https://mncourtfraud.com/file/MCRO_27-CR-23-4547_Notice of Hearing_2023-05-10_20240430073119.pdf","MCRO_27-CR-23-4547_Notice of Hearing_2023-05-10_20240430073119.pdf")</f>
        <v>MCRO_27-CR-23-4547_Notice of Hearing_2023-05-10_20240430073119.pdf</v>
      </c>
      <c r="C3496" s="1" t="n">
        <v>4</v>
      </c>
      <c r="D3496" s="1" t="n">
        <v>1</v>
      </c>
      <c r="E3496" s="1" t="n">
        <v>1</v>
      </c>
      <c r="F3496" s="3" t="s">
        <v>20</v>
      </c>
      <c r="G3496" s="3" t="s">
        <v>14066</v>
      </c>
      <c r="H3496" s="1" t="s">
        <v>22</v>
      </c>
      <c r="I3496" s="1" t="n">
        <v>20240430073119</v>
      </c>
      <c r="J3496" s="3" t="s">
        <v>14067</v>
      </c>
      <c r="K3496" s="3" t="s">
        <v>14068</v>
      </c>
      <c r="L3496" s="3" t="s">
        <v>14069</v>
      </c>
      <c r="M3496" s="3" t="n">
        <v>688960</v>
      </c>
      <c r="N3496" s="3" t="s">
        <v>1065</v>
      </c>
      <c r="O3496" s="1" t="n">
        <v>672574</v>
      </c>
      <c r="P3496" s="1" t="n">
        <v>97.62</v>
      </c>
      <c r="Q3496" s="1" t="s">
        <v>20</v>
      </c>
      <c r="R3496" s="1" t="s">
        <v>27</v>
      </c>
      <c r="S3496" s="1" t="s">
        <v>28</v>
      </c>
      <c r="T3496" s="1" t="s">
        <v>29</v>
      </c>
    </row>
    <row r="3497" customFormat="false" ht="18.7" hidden="false" customHeight="true" outlineLevel="0" collapsed="false">
      <c r="A3497" s="1" t="n">
        <v>3496</v>
      </c>
      <c r="B3497" s="6" t="str">
        <f aca="false">HYPERLINK("https://mncourtfraud.com/file/MCRO_27-CR-23-4547_Notice of Hearing_2023-07-21_20240430073117.pdf","MCRO_27-CR-23-4547_Notice of Hearing_2023-07-21_20240430073117.pdf")</f>
        <v>MCRO_27-CR-23-4547_Notice of Hearing_2023-07-21_20240430073117.pdf</v>
      </c>
      <c r="C3497" s="1" t="n">
        <v>4</v>
      </c>
      <c r="D3497" s="1" t="n">
        <v>1</v>
      </c>
      <c r="E3497" s="1" t="n">
        <v>1</v>
      </c>
      <c r="F3497" s="3" t="s">
        <v>20</v>
      </c>
      <c r="G3497" s="3" t="s">
        <v>14070</v>
      </c>
      <c r="H3497" s="1" t="s">
        <v>22</v>
      </c>
      <c r="I3497" s="1" t="n">
        <v>20240430073117</v>
      </c>
      <c r="J3497" s="3" t="s">
        <v>14071</v>
      </c>
      <c r="K3497" s="3" t="s">
        <v>14072</v>
      </c>
      <c r="L3497" s="3" t="s">
        <v>14073</v>
      </c>
      <c r="M3497" s="3" t="n">
        <v>714509</v>
      </c>
      <c r="N3497" s="3" t="s">
        <v>500</v>
      </c>
      <c r="O3497" s="1" t="n">
        <v>698123</v>
      </c>
      <c r="P3497" s="1" t="n">
        <v>97.71</v>
      </c>
      <c r="Q3497" s="1" t="s">
        <v>20</v>
      </c>
      <c r="R3497" s="1" t="s">
        <v>27</v>
      </c>
      <c r="S3497" s="1" t="s">
        <v>28</v>
      </c>
      <c r="T3497" s="1" t="s">
        <v>29</v>
      </c>
    </row>
    <row r="3498" customFormat="false" ht="18.7" hidden="false" customHeight="true" outlineLevel="0" collapsed="false">
      <c r="A3498" s="1" t="n">
        <v>3497</v>
      </c>
      <c r="B3498" s="6" t="str">
        <f aca="false">HYPERLINK("https://mncourtfraud.com/file/MCRO_27-CR-23-4547_Notice of Hearing_2023-09-12_20240430073113.pdf","MCRO_27-CR-23-4547_Notice of Hearing_2023-09-12_20240430073113.pdf")</f>
        <v>MCRO_27-CR-23-4547_Notice of Hearing_2023-09-12_20240430073113.pdf</v>
      </c>
      <c r="C3498" s="1" t="n">
        <v>4</v>
      </c>
      <c r="D3498" s="1" t="n">
        <v>1</v>
      </c>
      <c r="E3498" s="1" t="n">
        <v>1</v>
      </c>
      <c r="F3498" s="3" t="s">
        <v>20</v>
      </c>
      <c r="G3498" s="3" t="s">
        <v>14074</v>
      </c>
      <c r="H3498" s="1" t="s">
        <v>22</v>
      </c>
      <c r="I3498" s="1" t="n">
        <v>20240430073113</v>
      </c>
      <c r="J3498" s="3" t="s">
        <v>14075</v>
      </c>
      <c r="K3498" s="3" t="s">
        <v>14076</v>
      </c>
      <c r="L3498" s="3" t="s">
        <v>14077</v>
      </c>
      <c r="M3498" s="3" t="n">
        <v>730182</v>
      </c>
      <c r="N3498" s="3" t="s">
        <v>913</v>
      </c>
      <c r="O3498" s="1" t="n">
        <v>713796</v>
      </c>
      <c r="P3498" s="1" t="n">
        <v>97.76</v>
      </c>
      <c r="Q3498" s="1" t="s">
        <v>20</v>
      </c>
      <c r="R3498" s="1" t="s">
        <v>27</v>
      </c>
      <c r="S3498" s="1" t="s">
        <v>28</v>
      </c>
      <c r="T3498" s="1" t="s">
        <v>29</v>
      </c>
    </row>
    <row r="3499" customFormat="false" ht="18.7" hidden="false" customHeight="true" outlineLevel="0" collapsed="false">
      <c r="A3499" s="1" t="n">
        <v>3498</v>
      </c>
      <c r="B3499" s="6" t="str">
        <f aca="false">HYPERLINK("https://mncourtfraud.com/file/MCRO_27-CR-23-4547_Notice of Hearing_2023-10-18_20240430073110.pdf","MCRO_27-CR-23-4547_Notice of Hearing_2023-10-18_20240430073110.pdf")</f>
        <v>MCRO_27-CR-23-4547_Notice of Hearing_2023-10-18_20240430073110.pdf</v>
      </c>
      <c r="C3499" s="1" t="n">
        <v>4</v>
      </c>
      <c r="D3499" s="1" t="n">
        <v>1</v>
      </c>
      <c r="E3499" s="1" t="n">
        <v>1</v>
      </c>
      <c r="F3499" s="3" t="s">
        <v>20</v>
      </c>
      <c r="G3499" s="3" t="s">
        <v>14078</v>
      </c>
      <c r="H3499" s="1" t="s">
        <v>22</v>
      </c>
      <c r="I3499" s="1" t="n">
        <v>20240430073110</v>
      </c>
      <c r="J3499" s="3" t="s">
        <v>14079</v>
      </c>
      <c r="K3499" s="3" t="s">
        <v>14080</v>
      </c>
      <c r="L3499" s="3" t="s">
        <v>12850</v>
      </c>
      <c r="M3499" s="3" t="n">
        <v>714579</v>
      </c>
      <c r="N3499" s="3" t="s">
        <v>500</v>
      </c>
      <c r="O3499" s="1" t="n">
        <v>698193</v>
      </c>
      <c r="P3499" s="1" t="n">
        <v>97.71</v>
      </c>
      <c r="Q3499" s="1" t="s">
        <v>20</v>
      </c>
      <c r="R3499" s="1" t="s">
        <v>27</v>
      </c>
      <c r="S3499" s="1" t="s">
        <v>28</v>
      </c>
      <c r="T3499" s="1" t="s">
        <v>29</v>
      </c>
    </row>
    <row r="3500" customFormat="false" ht="18.7" hidden="false" customHeight="true" outlineLevel="0" collapsed="false">
      <c r="A3500" s="1" t="n">
        <v>3499</v>
      </c>
      <c r="B3500" s="6" t="str">
        <f aca="false">HYPERLINK("https://mncourtfraud.com/file/MCRO_27-CR-23-4547_Notice of Hearing_2023-12-15_20240430073108.pdf","MCRO_27-CR-23-4547_Notice of Hearing_2023-12-15_20240430073108.pdf")</f>
        <v>MCRO_27-CR-23-4547_Notice of Hearing_2023-12-15_20240430073108.pdf</v>
      </c>
      <c r="C3500" s="1" t="n">
        <v>4</v>
      </c>
      <c r="D3500" s="1" t="n">
        <v>1</v>
      </c>
      <c r="E3500" s="1" t="n">
        <v>1</v>
      </c>
      <c r="F3500" s="3" t="s">
        <v>20</v>
      </c>
      <c r="G3500" s="3" t="s">
        <v>14081</v>
      </c>
      <c r="H3500" s="1" t="s">
        <v>22</v>
      </c>
      <c r="I3500" s="1" t="n">
        <v>20240430073108</v>
      </c>
      <c r="J3500" s="3" t="s">
        <v>14082</v>
      </c>
      <c r="K3500" s="3" t="s">
        <v>14083</v>
      </c>
      <c r="L3500" s="3" t="s">
        <v>4634</v>
      </c>
      <c r="M3500" s="3" t="n">
        <v>730175</v>
      </c>
      <c r="N3500" s="3" t="s">
        <v>913</v>
      </c>
      <c r="O3500" s="1" t="n">
        <v>713789</v>
      </c>
      <c r="P3500" s="1" t="n">
        <v>97.76</v>
      </c>
      <c r="Q3500" s="1" t="s">
        <v>20</v>
      </c>
      <c r="R3500" s="1" t="s">
        <v>27</v>
      </c>
      <c r="S3500" s="1" t="s">
        <v>28</v>
      </c>
      <c r="T3500" s="1" t="s">
        <v>29</v>
      </c>
    </row>
    <row r="3501" customFormat="false" ht="18.7" hidden="false" customHeight="true" outlineLevel="0" collapsed="false">
      <c r="A3501" s="1" t="n">
        <v>3500</v>
      </c>
      <c r="B3501" s="6" t="str">
        <f aca="false">HYPERLINK("https://mncourtfraud.com/file/MCRO_27-CR-23-4547_Notice of Remote Hearing with Instructions_2023-05-10_20240430073120.pdf","MCRO_27-CR-23-4547_Notice of Remote Hearing with Instructions_2023-05-10_20240430073120.pdf")</f>
        <v>MCRO_27-CR-23-4547_Notice of Remote Hearing with Instructions_2023-05-10_20240430073120.pdf</v>
      </c>
      <c r="C3501" s="1" t="n">
        <v>4</v>
      </c>
      <c r="D3501" s="1" t="n">
        <v>1</v>
      </c>
      <c r="E3501" s="1" t="n">
        <v>1</v>
      </c>
      <c r="F3501" s="3" t="s">
        <v>20</v>
      </c>
      <c r="G3501" s="3" t="s">
        <v>14084</v>
      </c>
      <c r="H3501" s="1" t="s">
        <v>22</v>
      </c>
      <c r="I3501" s="1" t="n">
        <v>20240430073120</v>
      </c>
      <c r="J3501" s="3" t="s">
        <v>14085</v>
      </c>
      <c r="K3501" s="3" t="s">
        <v>14086</v>
      </c>
      <c r="L3501" s="3" t="s">
        <v>14087</v>
      </c>
      <c r="M3501" s="3" t="n">
        <v>255638</v>
      </c>
      <c r="N3501" s="3" t="s">
        <v>74</v>
      </c>
      <c r="O3501" s="1" t="n">
        <v>239252</v>
      </c>
      <c r="P3501" s="1" t="n">
        <v>93.59</v>
      </c>
      <c r="Q3501" s="1" t="s">
        <v>20</v>
      </c>
      <c r="R3501" s="1" t="s">
        <v>27</v>
      </c>
      <c r="S3501" s="1" t="s">
        <v>28</v>
      </c>
      <c r="T3501" s="1" t="s">
        <v>29</v>
      </c>
    </row>
    <row r="3502" customFormat="false" ht="18.7" hidden="false" customHeight="true" outlineLevel="0" collapsed="false">
      <c r="A3502" s="1" t="n">
        <v>3501</v>
      </c>
      <c r="B3502" s="6" t="str">
        <f aca="false">HYPERLINK("https://mncourtfraud.com/file/MCRO_27-CR-23-4547_Notice of Remote Hearing with Instructions_2023-05-19_20240430073118.pdf","MCRO_27-CR-23-4547_Notice of Remote Hearing with Instructions_2023-05-19_20240430073118.pdf")</f>
        <v>MCRO_27-CR-23-4547_Notice of Remote Hearing with Instructions_2023-05-19_20240430073118.pdf</v>
      </c>
      <c r="C3502" s="1" t="n">
        <v>4</v>
      </c>
      <c r="D3502" s="1" t="n">
        <v>1</v>
      </c>
      <c r="E3502" s="1" t="n">
        <v>1</v>
      </c>
      <c r="F3502" s="3" t="s">
        <v>20</v>
      </c>
      <c r="G3502" s="3" t="s">
        <v>14088</v>
      </c>
      <c r="H3502" s="1" t="s">
        <v>22</v>
      </c>
      <c r="I3502" s="1" t="n">
        <v>20240430073118</v>
      </c>
      <c r="J3502" s="3" t="s">
        <v>14089</v>
      </c>
      <c r="K3502" s="3" t="s">
        <v>14090</v>
      </c>
      <c r="L3502" s="3" t="s">
        <v>14091</v>
      </c>
      <c r="M3502" s="3" t="n">
        <v>255997</v>
      </c>
      <c r="N3502" s="3" t="s">
        <v>74</v>
      </c>
      <c r="O3502" s="1" t="n">
        <v>239611</v>
      </c>
      <c r="P3502" s="1" t="n">
        <v>93.6</v>
      </c>
      <c r="Q3502" s="1" t="s">
        <v>20</v>
      </c>
      <c r="R3502" s="1" t="s">
        <v>27</v>
      </c>
      <c r="S3502" s="1" t="s">
        <v>28</v>
      </c>
      <c r="T3502" s="1" t="s">
        <v>29</v>
      </c>
    </row>
    <row r="3503" customFormat="false" ht="18.7" hidden="false" customHeight="true" outlineLevel="0" collapsed="false">
      <c r="A3503" s="1" t="n">
        <v>3502</v>
      </c>
      <c r="B3503" s="6" t="str">
        <f aca="false">HYPERLINK("https://mncourtfraud.com/file/MCRO_27-CR-23-4547_Notice of Remote Hearing with Instructions_2023-07-19_20240430073117.pdf","MCRO_27-CR-23-4547_Notice of Remote Hearing with Instructions_2023-07-19_20240430073117.pdf")</f>
        <v>MCRO_27-CR-23-4547_Notice of Remote Hearing with Instructions_2023-07-19_20240430073117.pdf</v>
      </c>
      <c r="C3503" s="1" t="n">
        <v>5</v>
      </c>
      <c r="D3503" s="1" t="n">
        <v>1</v>
      </c>
      <c r="E3503" s="1" t="n">
        <v>1</v>
      </c>
      <c r="F3503" s="3" t="s">
        <v>20</v>
      </c>
      <c r="G3503" s="3" t="s">
        <v>14092</v>
      </c>
      <c r="H3503" s="1" t="s">
        <v>22</v>
      </c>
      <c r="I3503" s="1" t="n">
        <v>20240430073117</v>
      </c>
      <c r="J3503" s="3" t="s">
        <v>14093</v>
      </c>
      <c r="K3503" s="3" t="s">
        <v>14094</v>
      </c>
      <c r="L3503" s="3" t="s">
        <v>14095</v>
      </c>
      <c r="M3503" s="3" t="n">
        <v>846244</v>
      </c>
      <c r="N3503" s="3" t="s">
        <v>11628</v>
      </c>
      <c r="O3503" s="1" t="n">
        <v>829858</v>
      </c>
      <c r="P3503" s="1" t="n">
        <v>98.06</v>
      </c>
      <c r="Q3503" s="1" t="s">
        <v>20</v>
      </c>
      <c r="R3503" s="1" t="s">
        <v>27</v>
      </c>
      <c r="S3503" s="1" t="s">
        <v>28</v>
      </c>
      <c r="T3503" s="1" t="s">
        <v>29</v>
      </c>
    </row>
    <row r="3504" customFormat="false" ht="18.7" hidden="false" customHeight="true" outlineLevel="0" collapsed="false">
      <c r="A3504" s="1" t="n">
        <v>3503</v>
      </c>
      <c r="B3504" s="6" t="str">
        <f aca="false">HYPERLINK("https://mncourtfraud.com/file/MCRO_27-CR-23-4547_Notice of Remote Hearing with Instructions_2023-08-29_20240430073115.pdf","MCRO_27-CR-23-4547_Notice of Remote Hearing with Instructions_2023-08-29_20240430073115.pdf")</f>
        <v>MCRO_27-CR-23-4547_Notice of Remote Hearing with Instructions_2023-08-29_20240430073115.pdf</v>
      </c>
      <c r="C3504" s="1" t="n">
        <v>5</v>
      </c>
      <c r="D3504" s="1" t="n">
        <v>1</v>
      </c>
      <c r="E3504" s="1" t="n">
        <v>1</v>
      </c>
      <c r="F3504" s="3" t="s">
        <v>20</v>
      </c>
      <c r="G3504" s="3" t="s">
        <v>14096</v>
      </c>
      <c r="H3504" s="1" t="s">
        <v>22</v>
      </c>
      <c r="I3504" s="1" t="n">
        <v>20240430073115</v>
      </c>
      <c r="J3504" s="3" t="s">
        <v>14097</v>
      </c>
      <c r="K3504" s="3" t="s">
        <v>14098</v>
      </c>
      <c r="L3504" s="3" t="s">
        <v>14099</v>
      </c>
      <c r="M3504" s="3" t="n">
        <v>854754</v>
      </c>
      <c r="N3504" s="3" t="s">
        <v>1248</v>
      </c>
      <c r="O3504" s="1" t="n">
        <v>838368</v>
      </c>
      <c r="P3504" s="1" t="n">
        <v>98.08</v>
      </c>
      <c r="Q3504" s="1" t="s">
        <v>20</v>
      </c>
      <c r="R3504" s="1" t="s">
        <v>27</v>
      </c>
      <c r="S3504" s="1" t="s">
        <v>28</v>
      </c>
      <c r="T3504" s="1" t="s">
        <v>29</v>
      </c>
    </row>
    <row r="3505" customFormat="false" ht="18.7" hidden="false" customHeight="true" outlineLevel="0" collapsed="false">
      <c r="A3505" s="1" t="n">
        <v>3504</v>
      </c>
      <c r="B3505" s="6" t="str">
        <f aca="false">HYPERLINK("https://mncourtfraud.com/file/MCRO_27-CR-23-4547_Notice of Remote Hearing with Instructions_2023-10-17_20240430073111.pdf","MCRO_27-CR-23-4547_Notice of Remote Hearing with Instructions_2023-10-17_20240430073111.pdf")</f>
        <v>MCRO_27-CR-23-4547_Notice of Remote Hearing with Instructions_2023-10-17_20240430073111.pdf</v>
      </c>
      <c r="C3505" s="1" t="n">
        <v>5</v>
      </c>
      <c r="D3505" s="1" t="n">
        <v>1</v>
      </c>
      <c r="E3505" s="1" t="n">
        <v>1</v>
      </c>
      <c r="F3505" s="3" t="s">
        <v>20</v>
      </c>
      <c r="G3505" s="3" t="s">
        <v>14100</v>
      </c>
      <c r="H3505" s="1" t="s">
        <v>22</v>
      </c>
      <c r="I3505" s="1" t="n">
        <v>20240430073111</v>
      </c>
      <c r="J3505" s="3" t="s">
        <v>14101</v>
      </c>
      <c r="K3505" s="3" t="s">
        <v>14102</v>
      </c>
      <c r="L3505" s="3" t="s">
        <v>14103</v>
      </c>
      <c r="M3505" s="3" t="n">
        <v>843092</v>
      </c>
      <c r="N3505" s="3" t="s">
        <v>12864</v>
      </c>
      <c r="O3505" s="1" t="n">
        <v>826706</v>
      </c>
      <c r="P3505" s="1" t="n">
        <v>98.06</v>
      </c>
      <c r="Q3505" s="1" t="s">
        <v>20</v>
      </c>
      <c r="R3505" s="1" t="s">
        <v>27</v>
      </c>
      <c r="S3505" s="1" t="s">
        <v>28</v>
      </c>
      <c r="T3505" s="1" t="s">
        <v>29</v>
      </c>
    </row>
    <row r="3506" customFormat="false" ht="18.7" hidden="false" customHeight="true" outlineLevel="0" collapsed="false">
      <c r="A3506" s="1" t="n">
        <v>3505</v>
      </c>
      <c r="B3506" s="6" t="str">
        <f aca="false">HYPERLINK("https://mncourtfraud.com/file/MCRO_27-CR-23-4547_Notice of Remote Hearing with Instructions_2024-01-02_20240430073105.pdf","MCRO_27-CR-23-4547_Notice of Remote Hearing with Instructions_2024-01-02_20240430073105.pdf")</f>
        <v>MCRO_27-CR-23-4547_Notice of Remote Hearing with Instructions_2024-01-02_20240430073105.pdf</v>
      </c>
      <c r="C3506" s="1" t="n">
        <v>4</v>
      </c>
      <c r="D3506" s="1" t="n">
        <v>1</v>
      </c>
      <c r="E3506" s="1" t="n">
        <v>1</v>
      </c>
      <c r="F3506" s="3" t="s">
        <v>20</v>
      </c>
      <c r="G3506" s="3" t="s">
        <v>14104</v>
      </c>
      <c r="H3506" s="1" t="s">
        <v>22</v>
      </c>
      <c r="I3506" s="1" t="n">
        <v>20240430073105</v>
      </c>
      <c r="J3506" s="3" t="s">
        <v>14105</v>
      </c>
      <c r="K3506" s="3" t="s">
        <v>14106</v>
      </c>
      <c r="L3506" s="3" t="s">
        <v>14107</v>
      </c>
      <c r="M3506" s="3" t="n">
        <v>269778</v>
      </c>
      <c r="N3506" s="3" t="s">
        <v>74</v>
      </c>
      <c r="O3506" s="1" t="n">
        <v>253392</v>
      </c>
      <c r="P3506" s="1" t="n">
        <v>93.93</v>
      </c>
      <c r="Q3506" s="1" t="s">
        <v>20</v>
      </c>
      <c r="R3506" s="1" t="s">
        <v>27</v>
      </c>
      <c r="S3506" s="1" t="s">
        <v>28</v>
      </c>
      <c r="T3506" s="1" t="s">
        <v>29</v>
      </c>
    </row>
    <row r="3507" customFormat="false" ht="18.7" hidden="false" customHeight="true" outlineLevel="0" collapsed="false">
      <c r="A3507" s="1" t="n">
        <v>3506</v>
      </c>
      <c r="B3507" s="6" t="str">
        <f aca="false">HYPERLINK("https://mncourtfraud.com/file/MCRO_27-CR-23-4547_Order-Evaluation for Competency to Proceed (Rule 20.01)_2023-05-10_20240430073122.pdf","MCRO_27-CR-23-4547_Order-Evaluation for Competency to Proceed (Rule 20.01)_2023-05-10_20240430073122.pdf")</f>
        <v>MCRO_27-CR-23-4547_Order-Evaluation for Competency to Proceed (Rule 20.01)_2023-05-10_20240430073122.pdf</v>
      </c>
      <c r="C3507" s="1" t="n">
        <v>4</v>
      </c>
      <c r="D3507" s="1" t="n">
        <v>1</v>
      </c>
      <c r="E3507" s="1" t="n">
        <v>1</v>
      </c>
      <c r="F3507" s="3" t="s">
        <v>20</v>
      </c>
      <c r="G3507" s="3" t="s">
        <v>14108</v>
      </c>
      <c r="H3507" s="1" t="s">
        <v>22</v>
      </c>
      <c r="I3507" s="1" t="n">
        <v>20240430073122</v>
      </c>
      <c r="J3507" s="3" t="s">
        <v>14109</v>
      </c>
      <c r="K3507" s="3" t="s">
        <v>14110</v>
      </c>
      <c r="L3507" s="3" t="s">
        <v>14111</v>
      </c>
      <c r="M3507" s="3" t="n">
        <v>779167</v>
      </c>
      <c r="N3507" s="3" t="s">
        <v>347</v>
      </c>
      <c r="O3507" s="1" t="n">
        <v>762781</v>
      </c>
      <c r="P3507" s="1" t="n">
        <v>97.9</v>
      </c>
      <c r="Q3507" s="1" t="s">
        <v>20</v>
      </c>
      <c r="R3507" s="1" t="s">
        <v>27</v>
      </c>
      <c r="S3507" s="1" t="s">
        <v>28</v>
      </c>
      <c r="T3507" s="1" t="s">
        <v>29</v>
      </c>
    </row>
    <row r="3508" customFormat="false" ht="18.7" hidden="false" customHeight="true" outlineLevel="0" collapsed="false">
      <c r="A3508" s="1" t="n">
        <v>3507</v>
      </c>
      <c r="B3508" s="6" t="str">
        <f aca="false">HYPERLINK("https://mncourtfraud.com/file/MCRO_27-CR-23-4547_Order for Conditional Release_2023-03-01_20240430073123.pdf","MCRO_27-CR-23-4547_Order for Conditional Release_2023-03-01_20240430073123.pdf")</f>
        <v>MCRO_27-CR-23-4547_Order for Conditional Release_2023-03-01_20240430073123.pdf</v>
      </c>
      <c r="C3508" s="1" t="n">
        <v>4</v>
      </c>
      <c r="D3508" s="1" t="n">
        <v>1</v>
      </c>
      <c r="E3508" s="1" t="n">
        <v>1</v>
      </c>
      <c r="F3508" s="3" t="s">
        <v>20</v>
      </c>
      <c r="G3508" s="3" t="s">
        <v>14112</v>
      </c>
      <c r="H3508" s="1" t="s">
        <v>22</v>
      </c>
      <c r="I3508" s="1" t="n">
        <v>20240430073123</v>
      </c>
      <c r="J3508" s="3" t="s">
        <v>14113</v>
      </c>
      <c r="K3508" s="3" t="s">
        <v>14114</v>
      </c>
      <c r="L3508" s="3" t="s">
        <v>14115</v>
      </c>
      <c r="M3508" s="3" t="n">
        <v>115646</v>
      </c>
      <c r="N3508" s="3" t="s">
        <v>435</v>
      </c>
      <c r="O3508" s="1" t="n">
        <v>99260</v>
      </c>
      <c r="P3508" s="1" t="n">
        <v>85.83</v>
      </c>
      <c r="Q3508" s="1" t="s">
        <v>20</v>
      </c>
      <c r="R3508" s="1" t="s">
        <v>27</v>
      </c>
      <c r="S3508" s="1" t="s">
        <v>28</v>
      </c>
      <c r="T3508" s="1" t="s">
        <v>29</v>
      </c>
    </row>
    <row r="3509" customFormat="false" ht="18.7" hidden="false" customHeight="true" outlineLevel="0" collapsed="false">
      <c r="A3509" s="1" t="n">
        <v>3508</v>
      </c>
      <c r="B3509" s="6" t="str">
        <f aca="false">HYPERLINK("https://mncourtfraud.com/file/MCRO_27-CR-23-4547_Order for Conditional Release_2024-01-24_20240430073104.pdf","MCRO_27-CR-23-4547_Order for Conditional Release_2024-01-24_20240430073104.pdf")</f>
        <v>MCRO_27-CR-23-4547_Order for Conditional Release_2024-01-24_20240430073104.pdf</v>
      </c>
      <c r="C3509" s="1" t="n">
        <v>3</v>
      </c>
      <c r="D3509" s="1" t="n">
        <v>1</v>
      </c>
      <c r="E3509" s="1" t="n">
        <v>1</v>
      </c>
      <c r="F3509" s="3" t="s">
        <v>20</v>
      </c>
      <c r="G3509" s="3" t="s">
        <v>14116</v>
      </c>
      <c r="H3509" s="1" t="s">
        <v>22</v>
      </c>
      <c r="I3509" s="1" t="n">
        <v>20240430073104</v>
      </c>
      <c r="J3509" s="3" t="s">
        <v>14117</v>
      </c>
      <c r="K3509" s="3" t="s">
        <v>14118</v>
      </c>
      <c r="L3509" s="3" t="s">
        <v>14119</v>
      </c>
      <c r="M3509" s="3" t="n">
        <v>210485</v>
      </c>
      <c r="N3509" s="3" t="s">
        <v>741</v>
      </c>
      <c r="O3509" s="1" t="n">
        <v>194099</v>
      </c>
      <c r="P3509" s="1" t="n">
        <v>92.22</v>
      </c>
      <c r="Q3509" s="1" t="s">
        <v>20</v>
      </c>
      <c r="R3509" s="1" t="s">
        <v>27</v>
      </c>
      <c r="S3509" s="1" t="s">
        <v>28</v>
      </c>
      <c r="T3509" s="1" t="s">
        <v>29</v>
      </c>
    </row>
    <row r="3510" customFormat="false" ht="18.7" hidden="false" customHeight="true" outlineLevel="0" collapsed="false">
      <c r="A3510" s="1" t="n">
        <v>3509</v>
      </c>
      <c r="B3510" s="6" t="str">
        <f aca="false">HYPERLINK("https://mncourtfraud.com/file/MCRO_27-CR-23-4547_Order-Other_2023-09-11_20240430073114.pdf","MCRO_27-CR-23-4547_Order-Other_2023-09-11_20240430073114.pdf")</f>
        <v>MCRO_27-CR-23-4547_Order-Other_2023-09-11_20240430073114.pdf</v>
      </c>
      <c r="C3510" s="1" t="n">
        <v>9</v>
      </c>
      <c r="D3510" s="1" t="n">
        <v>6</v>
      </c>
      <c r="E3510" s="1" t="n">
        <v>6</v>
      </c>
      <c r="F3510" s="3" t="s">
        <v>20</v>
      </c>
      <c r="G3510" s="3" t="s">
        <v>14120</v>
      </c>
      <c r="H3510" s="1" t="s">
        <v>22</v>
      </c>
      <c r="I3510" s="1" t="n">
        <v>20240430073114</v>
      </c>
      <c r="J3510" s="3" t="s">
        <v>14121</v>
      </c>
      <c r="K3510" s="3" t="s">
        <v>14122</v>
      </c>
      <c r="L3510" s="3" t="s">
        <v>14123</v>
      </c>
      <c r="M3510" s="3" t="n">
        <v>357088</v>
      </c>
      <c r="N3510" s="3" t="s">
        <v>14124</v>
      </c>
      <c r="O3510" s="1" t="n">
        <v>340702</v>
      </c>
      <c r="P3510" s="1" t="n">
        <v>95.41</v>
      </c>
      <c r="Q3510" s="1" t="s">
        <v>20</v>
      </c>
      <c r="R3510" s="1" t="s">
        <v>27</v>
      </c>
      <c r="S3510" s="1" t="s">
        <v>28</v>
      </c>
      <c r="T3510" s="1" t="s">
        <v>29</v>
      </c>
    </row>
    <row r="3511" customFormat="false" ht="18.7" hidden="false" customHeight="true" outlineLevel="0" collapsed="false">
      <c r="A3511" s="1" t="n">
        <v>3510</v>
      </c>
      <c r="B3511" s="6" t="str">
        <f aca="false">HYPERLINK("https://mncourtfraud.com/file/MCRO_27-CR-23-512_E-filed Comp-Order for Detention_2023-01-06_20240430071938.pdf","MCRO_27-CR-23-512_E-filed Comp-Order for Detention_2023-01-06_20240430071938.pdf")</f>
        <v>MCRO_27-CR-23-512_E-filed Comp-Order for Detention_2023-01-06_20240430071938.pdf</v>
      </c>
      <c r="C3511" s="1" t="n">
        <v>5</v>
      </c>
      <c r="D3511" s="1" t="n">
        <v>2</v>
      </c>
      <c r="E3511" s="1" t="n">
        <v>2</v>
      </c>
      <c r="F3511" s="3" t="s">
        <v>20</v>
      </c>
      <c r="G3511" s="3" t="s">
        <v>14125</v>
      </c>
      <c r="H3511" s="1" t="s">
        <v>22</v>
      </c>
      <c r="I3511" s="1" t="n">
        <v>20240430071938</v>
      </c>
      <c r="J3511" s="3" t="s">
        <v>14126</v>
      </c>
      <c r="K3511" s="3" t="s">
        <v>14127</v>
      </c>
      <c r="L3511" s="3" t="s">
        <v>14128</v>
      </c>
      <c r="M3511" s="3" t="n">
        <v>482785</v>
      </c>
      <c r="N3511" s="3" t="s">
        <v>6214</v>
      </c>
      <c r="O3511" s="1" t="n">
        <v>466399</v>
      </c>
      <c r="P3511" s="1" t="n">
        <v>96.61</v>
      </c>
      <c r="Q3511" s="1" t="s">
        <v>20</v>
      </c>
      <c r="R3511" s="1" t="s">
        <v>27</v>
      </c>
      <c r="S3511" s="1" t="s">
        <v>28</v>
      </c>
      <c r="T3511" s="1" t="s">
        <v>29</v>
      </c>
    </row>
    <row r="3512" customFormat="false" ht="18.7" hidden="false" customHeight="true" outlineLevel="0" collapsed="false">
      <c r="A3512" s="1" t="n">
        <v>3511</v>
      </c>
      <c r="B3512" s="6" t="str">
        <f aca="false">HYPERLINK("https://mncourtfraud.com/file/MCRO_27-CR-23-512_Finding of Incompetency and Order_2023-02-16_20240430071935.pdf","MCRO_27-CR-23-512_Finding of Incompetency and Order_2023-02-16_20240430071935.pdf")</f>
        <v>MCRO_27-CR-23-512_Finding of Incompetency and Order_2023-02-16_20240430071935.pdf</v>
      </c>
      <c r="C3512" s="1" t="n">
        <v>9</v>
      </c>
      <c r="D3512" s="1" t="n">
        <v>3</v>
      </c>
      <c r="E3512" s="1" t="n">
        <v>3</v>
      </c>
      <c r="F3512" s="3" t="s">
        <v>27</v>
      </c>
      <c r="G3512" s="3" t="s">
        <v>14129</v>
      </c>
      <c r="H3512" s="1" t="s">
        <v>22</v>
      </c>
      <c r="I3512" s="1" t="n">
        <v>20240430071935</v>
      </c>
      <c r="J3512" s="3" t="s">
        <v>14130</v>
      </c>
      <c r="K3512" s="3" t="s">
        <v>14131</v>
      </c>
      <c r="L3512" s="3" t="s">
        <v>14132</v>
      </c>
      <c r="M3512" s="3" t="n">
        <v>967029</v>
      </c>
      <c r="N3512" s="3" t="s">
        <v>1024</v>
      </c>
      <c r="O3512" s="1" t="n">
        <v>950643</v>
      </c>
      <c r="P3512" s="1" t="n">
        <v>98.31</v>
      </c>
      <c r="Q3512" s="1" t="s">
        <v>20</v>
      </c>
      <c r="R3512" s="1" t="s">
        <v>27</v>
      </c>
      <c r="S3512" s="1" t="s">
        <v>28</v>
      </c>
      <c r="T3512" s="1" t="s">
        <v>29</v>
      </c>
    </row>
    <row r="3513" customFormat="false" ht="18.7" hidden="false" customHeight="true" outlineLevel="0" collapsed="false">
      <c r="A3513" s="1" t="n">
        <v>3512</v>
      </c>
      <c r="B3513" s="6" t="str">
        <f aca="false">HYPERLINK("https://mncourtfraud.com/file/MCRO_27-CR-23-512_Notice of Evidence and Identification Procedures_2023-01-11_20240430071936.pdf","MCRO_27-CR-23-512_Notice of Evidence and Identification Procedures_2023-01-11_20240430071936.pdf")</f>
        <v>MCRO_27-CR-23-512_Notice of Evidence and Identification Procedures_2023-01-11_20240430071936.pdf</v>
      </c>
      <c r="C3513" s="1" t="n">
        <v>3</v>
      </c>
      <c r="D3513" s="1" t="n">
        <v>1</v>
      </c>
      <c r="E3513" s="1" t="n">
        <v>1</v>
      </c>
      <c r="F3513" s="3" t="s">
        <v>20</v>
      </c>
      <c r="G3513" s="3" t="s">
        <v>14133</v>
      </c>
      <c r="H3513" s="1" t="s">
        <v>22</v>
      </c>
      <c r="I3513" s="1" t="n">
        <v>20240430071936</v>
      </c>
      <c r="J3513" s="3" t="s">
        <v>14134</v>
      </c>
      <c r="K3513" s="3" t="s">
        <v>14135</v>
      </c>
      <c r="L3513" s="3" t="s">
        <v>14136</v>
      </c>
      <c r="M3513" s="3" t="n">
        <v>81422</v>
      </c>
      <c r="N3513" s="3" t="s">
        <v>4948</v>
      </c>
      <c r="O3513" s="1" t="n">
        <v>65036</v>
      </c>
      <c r="P3513" s="1" t="n">
        <v>79.88</v>
      </c>
      <c r="Q3513" s="1" t="s">
        <v>20</v>
      </c>
      <c r="R3513" s="1" t="s">
        <v>27</v>
      </c>
      <c r="S3513" s="1" t="s">
        <v>28</v>
      </c>
      <c r="T3513" s="1" t="s">
        <v>29</v>
      </c>
    </row>
    <row r="3514" customFormat="false" ht="18.7" hidden="false" customHeight="true" outlineLevel="0" collapsed="false">
      <c r="A3514" s="1" t="n">
        <v>3513</v>
      </c>
      <c r="B3514" s="6" t="str">
        <f aca="false">HYPERLINK("https://mncourtfraud.com/file/MCRO_27-CR-23-512_Notice of Evidence and Identification Procedures_2023-02-16_20240430071934.pdf","MCRO_27-CR-23-512_Notice of Evidence and Identification Procedures_2023-02-16_20240430071934.pdf")</f>
        <v>MCRO_27-CR-23-512_Notice of Evidence and Identification Procedures_2023-02-16_20240430071934.pdf</v>
      </c>
      <c r="C3514" s="1" t="n">
        <v>3</v>
      </c>
      <c r="D3514" s="1" t="n">
        <v>1</v>
      </c>
      <c r="E3514" s="1" t="n">
        <v>1</v>
      </c>
      <c r="F3514" s="3" t="s">
        <v>20</v>
      </c>
      <c r="G3514" s="3" t="s">
        <v>14137</v>
      </c>
      <c r="H3514" s="1" t="s">
        <v>22</v>
      </c>
      <c r="I3514" s="1" t="n">
        <v>20240430071934</v>
      </c>
      <c r="J3514" s="3" t="s">
        <v>14138</v>
      </c>
      <c r="K3514" s="3" t="s">
        <v>14139</v>
      </c>
      <c r="L3514" s="3" t="s">
        <v>14140</v>
      </c>
      <c r="M3514" s="3" t="n">
        <v>100808</v>
      </c>
      <c r="N3514" s="3" t="s">
        <v>2416</v>
      </c>
      <c r="O3514" s="1" t="n">
        <v>84422</v>
      </c>
      <c r="P3514" s="1" t="n">
        <v>83.75</v>
      </c>
      <c r="Q3514" s="1" t="s">
        <v>20</v>
      </c>
      <c r="R3514" s="1" t="s">
        <v>27</v>
      </c>
      <c r="S3514" s="1" t="s">
        <v>28</v>
      </c>
      <c r="T3514" s="1" t="s">
        <v>29</v>
      </c>
    </row>
    <row r="3515" customFormat="false" ht="18.7" hidden="false" customHeight="true" outlineLevel="0" collapsed="false">
      <c r="A3515" s="1" t="n">
        <v>3514</v>
      </c>
      <c r="B3515" s="6" t="str">
        <f aca="false">HYPERLINK("https://mncourtfraud.com/file/MCRO_27-CR-23-512_Order-Evaluation for Competency to Proceed (Rule 20.01)_2023-01-09_20240430071937.pdf","MCRO_27-CR-23-512_Order-Evaluation for Competency to Proceed (Rule 20.01)_2023-01-09_20240430071937.pdf")</f>
        <v>MCRO_27-CR-23-512_Order-Evaluation for Competency to Proceed (Rule 20.01)_2023-01-09_20240430071937.pdf</v>
      </c>
      <c r="C3515" s="1" t="n">
        <v>4</v>
      </c>
      <c r="D3515" s="1" t="n">
        <v>1</v>
      </c>
      <c r="E3515" s="1" t="n">
        <v>1</v>
      </c>
      <c r="F3515" s="3" t="s">
        <v>20</v>
      </c>
      <c r="G3515" s="3" t="s">
        <v>14141</v>
      </c>
      <c r="H3515" s="1" t="s">
        <v>22</v>
      </c>
      <c r="I3515" s="1" t="n">
        <v>20240430071937</v>
      </c>
      <c r="J3515" s="3" t="s">
        <v>14142</v>
      </c>
      <c r="K3515" s="3" t="s">
        <v>14143</v>
      </c>
      <c r="L3515" s="3" t="s">
        <v>14144</v>
      </c>
      <c r="M3515" s="3" t="n">
        <v>139940</v>
      </c>
      <c r="N3515" s="3" t="s">
        <v>1159</v>
      </c>
      <c r="O3515" s="1" t="n">
        <v>123554</v>
      </c>
      <c r="P3515" s="1" t="n">
        <v>88.29</v>
      </c>
      <c r="Q3515" s="1" t="s">
        <v>20</v>
      </c>
      <c r="R3515" s="1" t="s">
        <v>27</v>
      </c>
      <c r="S3515" s="1" t="s">
        <v>28</v>
      </c>
      <c r="T3515" s="1" t="s">
        <v>29</v>
      </c>
    </row>
    <row r="3516" customFormat="false" ht="18.7" hidden="false" customHeight="true" outlineLevel="0" collapsed="false">
      <c r="A3516" s="1" t="n">
        <v>3515</v>
      </c>
      <c r="B3516" s="6" t="str">
        <f aca="false">HYPERLINK("https://mncourtfraud.com/file/MCRO_27-CR-23-512_Order for Conditional Release_2023-03-07_20240430071932.pdf","MCRO_27-CR-23-512_Order for Conditional Release_2023-03-07_20240430071932.pdf")</f>
        <v>MCRO_27-CR-23-512_Order for Conditional Release_2023-03-07_20240430071932.pdf</v>
      </c>
      <c r="C3516" s="1" t="n">
        <v>4</v>
      </c>
      <c r="D3516" s="1" t="n">
        <v>1</v>
      </c>
      <c r="E3516" s="1" t="n">
        <v>1</v>
      </c>
      <c r="F3516" s="3" t="s">
        <v>20</v>
      </c>
      <c r="G3516" s="3" t="s">
        <v>14145</v>
      </c>
      <c r="H3516" s="1" t="s">
        <v>22</v>
      </c>
      <c r="I3516" s="1" t="n">
        <v>20240430071932</v>
      </c>
      <c r="J3516" s="3" t="s">
        <v>14146</v>
      </c>
      <c r="K3516" s="3" t="s">
        <v>14147</v>
      </c>
      <c r="L3516" s="3" t="s">
        <v>14148</v>
      </c>
      <c r="M3516" s="3" t="n">
        <v>112228</v>
      </c>
      <c r="N3516" s="3" t="s">
        <v>435</v>
      </c>
      <c r="O3516" s="1" t="n">
        <v>95842</v>
      </c>
      <c r="P3516" s="1" t="n">
        <v>85.4</v>
      </c>
      <c r="Q3516" s="1" t="s">
        <v>20</v>
      </c>
      <c r="R3516" s="1" t="s">
        <v>27</v>
      </c>
      <c r="S3516" s="1" t="s">
        <v>28</v>
      </c>
      <c r="T3516" s="1" t="s">
        <v>29</v>
      </c>
    </row>
    <row r="3517" customFormat="false" ht="18.7" hidden="false" customHeight="true" outlineLevel="0" collapsed="false">
      <c r="A3517" s="1" t="n">
        <v>3516</v>
      </c>
      <c r="B3517" s="6" t="str">
        <f aca="false">HYPERLINK("https://mncourtfraud.com/file/MCRO_27-CR-23-512_Order for Dismissal_2023-03-27_20240430071931.pdf","MCRO_27-CR-23-512_Order for Dismissal_2023-03-27_20240430071931.pdf")</f>
        <v>MCRO_27-CR-23-512_Order for Dismissal_2023-03-27_20240430071931.pdf</v>
      </c>
      <c r="C3517" s="1" t="n">
        <v>7</v>
      </c>
      <c r="D3517" s="1" t="n">
        <v>3</v>
      </c>
      <c r="E3517" s="1" t="n">
        <v>3</v>
      </c>
      <c r="F3517" s="3" t="s">
        <v>20</v>
      </c>
      <c r="G3517" s="3" t="s">
        <v>14149</v>
      </c>
      <c r="H3517" s="1" t="s">
        <v>22</v>
      </c>
      <c r="I3517" s="1" t="n">
        <v>20240430071931</v>
      </c>
      <c r="J3517" s="3" t="s">
        <v>14150</v>
      </c>
      <c r="K3517" s="3" t="s">
        <v>14151</v>
      </c>
      <c r="L3517" s="3" t="s">
        <v>14152</v>
      </c>
      <c r="M3517" s="3" t="n">
        <v>258601</v>
      </c>
      <c r="N3517" s="3" t="s">
        <v>2416</v>
      </c>
      <c r="O3517" s="1" t="n">
        <v>242215</v>
      </c>
      <c r="P3517" s="1" t="n">
        <v>93.66</v>
      </c>
      <c r="Q3517" s="1" t="s">
        <v>20</v>
      </c>
      <c r="R3517" s="1" t="s">
        <v>27</v>
      </c>
      <c r="S3517" s="1" t="s">
        <v>28</v>
      </c>
      <c r="T3517" s="1" t="s">
        <v>29</v>
      </c>
    </row>
    <row r="3518" customFormat="false" ht="18.7" hidden="false" customHeight="true" outlineLevel="0" collapsed="false">
      <c r="A3518" s="1" t="n">
        <v>3517</v>
      </c>
      <c r="B3518" s="6" t="str">
        <f aca="false">HYPERLINK("https://mncourtfraud.com/file/MCRO_27-CR-23-512_Request for Disclosure_2023-02-16_20240430071933.pdf","MCRO_27-CR-23-512_Request for Disclosure_2023-02-16_20240430071933.pdf")</f>
        <v>MCRO_27-CR-23-512_Request for Disclosure_2023-02-16_20240430071933.pdf</v>
      </c>
      <c r="C3518" s="1" t="n">
        <v>3</v>
      </c>
      <c r="D3518" s="1" t="n">
        <v>1</v>
      </c>
      <c r="E3518" s="1" t="n">
        <v>1</v>
      </c>
      <c r="F3518" s="3" t="s">
        <v>20</v>
      </c>
      <c r="G3518" s="3" t="s">
        <v>14153</v>
      </c>
      <c r="H3518" s="1" t="s">
        <v>22</v>
      </c>
      <c r="I3518" s="1" t="n">
        <v>20240430071933</v>
      </c>
      <c r="J3518" s="3" t="s">
        <v>14154</v>
      </c>
      <c r="K3518" s="3" t="s">
        <v>14155</v>
      </c>
      <c r="L3518" s="3" t="s">
        <v>14156</v>
      </c>
      <c r="M3518" s="3" t="n">
        <v>138691</v>
      </c>
      <c r="N3518" s="3" t="s">
        <v>14157</v>
      </c>
      <c r="O3518" s="1" t="n">
        <v>122305</v>
      </c>
      <c r="P3518" s="1" t="n">
        <v>88.19</v>
      </c>
      <c r="Q3518" s="1" t="s">
        <v>20</v>
      </c>
      <c r="R3518" s="1" t="s">
        <v>27</v>
      </c>
      <c r="S3518" s="1" t="s">
        <v>28</v>
      </c>
      <c r="T3518" s="1" t="s">
        <v>29</v>
      </c>
    </row>
    <row r="3519" customFormat="false" ht="18.7" hidden="false" customHeight="true" outlineLevel="0" collapsed="false">
      <c r="A3519" s="1" t="n">
        <v>3518</v>
      </c>
      <c r="B3519" s="6" t="str">
        <f aca="false">HYPERLINK("https://mncourtfraud.com/file/MCRO_27-CR-23-5213_E-filed Comp-Order for Detention_2023-03-10_20240430073159.pdf","MCRO_27-CR-23-5213_E-filed Comp-Order for Detention_2023-03-10_20240430073159.pdf")</f>
        <v>MCRO_27-CR-23-5213_E-filed Comp-Order for Detention_2023-03-10_20240430073159.pdf</v>
      </c>
      <c r="C3519" s="1" t="n">
        <v>5</v>
      </c>
      <c r="D3519" s="1" t="n">
        <v>2</v>
      </c>
      <c r="E3519" s="1" t="n">
        <v>2</v>
      </c>
      <c r="F3519" s="3" t="s">
        <v>20</v>
      </c>
      <c r="G3519" s="3" t="s">
        <v>14158</v>
      </c>
      <c r="H3519" s="1" t="s">
        <v>22</v>
      </c>
      <c r="I3519" s="1" t="n">
        <v>20240430073159</v>
      </c>
      <c r="J3519" s="3" t="s">
        <v>14159</v>
      </c>
      <c r="K3519" s="3" t="s">
        <v>14160</v>
      </c>
      <c r="L3519" s="3" t="s">
        <v>14161</v>
      </c>
      <c r="M3519" s="3" t="n">
        <v>447554</v>
      </c>
      <c r="N3519" s="3" t="s">
        <v>4680</v>
      </c>
      <c r="O3519" s="1" t="n">
        <v>431168</v>
      </c>
      <c r="P3519" s="1" t="n">
        <v>96.34</v>
      </c>
      <c r="Q3519" s="1" t="s">
        <v>20</v>
      </c>
      <c r="R3519" s="1" t="s">
        <v>27</v>
      </c>
      <c r="S3519" s="1" t="s">
        <v>28</v>
      </c>
      <c r="T3519" s="1" t="s">
        <v>29</v>
      </c>
    </row>
    <row r="3520" customFormat="false" ht="18.7" hidden="false" customHeight="true" outlineLevel="0" collapsed="false">
      <c r="A3520" s="1" t="n">
        <v>3519</v>
      </c>
      <c r="B3520" s="6" t="str">
        <f aca="false">HYPERLINK("https://mncourtfraud.com/file/MCRO_27-CR-23-5213_Finding of Incompetency and Order_2023-04-13_20240430073156.pdf","MCRO_27-CR-23-5213_Finding of Incompetency and Order_2023-04-13_20240430073156.pdf")</f>
        <v>MCRO_27-CR-23-5213_Finding of Incompetency and Order_2023-04-13_20240430073156.pdf</v>
      </c>
      <c r="C3520" s="1" t="n">
        <v>7</v>
      </c>
      <c r="D3520" s="1" t="n">
        <v>2</v>
      </c>
      <c r="E3520" s="1" t="n">
        <v>2</v>
      </c>
      <c r="F3520" s="3" t="s">
        <v>27</v>
      </c>
      <c r="G3520" s="3" t="s">
        <v>14162</v>
      </c>
      <c r="H3520" s="1" t="s">
        <v>22</v>
      </c>
      <c r="I3520" s="1" t="n">
        <v>20240430073156</v>
      </c>
      <c r="J3520" s="3" t="s">
        <v>14163</v>
      </c>
      <c r="K3520" s="3" t="s">
        <v>14164</v>
      </c>
      <c r="L3520" s="3" t="s">
        <v>14165</v>
      </c>
      <c r="M3520" s="3" t="n">
        <v>909478</v>
      </c>
      <c r="N3520" s="3" t="s">
        <v>10234</v>
      </c>
      <c r="O3520" s="1" t="n">
        <v>893092</v>
      </c>
      <c r="P3520" s="1" t="n">
        <v>98.2</v>
      </c>
      <c r="Q3520" s="1" t="s">
        <v>20</v>
      </c>
      <c r="R3520" s="1" t="s">
        <v>27</v>
      </c>
      <c r="S3520" s="1" t="s">
        <v>28</v>
      </c>
      <c r="T3520" s="1" t="s">
        <v>29</v>
      </c>
    </row>
    <row r="3521" customFormat="false" ht="18.7" hidden="false" customHeight="true" outlineLevel="0" collapsed="false">
      <c r="A3521" s="1" t="n">
        <v>3520</v>
      </c>
      <c r="B3521" s="6" t="str">
        <f aca="false">HYPERLINK("https://mncourtfraud.com/file/MCRO_27-CR-23-5213_Order Denying Motion_2023-05-02_20240430073155.pdf","MCRO_27-CR-23-5213_Order Denying Motion_2023-05-02_20240430073155.pdf")</f>
        <v>MCRO_27-CR-23-5213_Order Denying Motion_2023-05-02_20240430073155.pdf</v>
      </c>
      <c r="C3521" s="1" t="n">
        <v>9</v>
      </c>
      <c r="D3521" s="1" t="n">
        <v>7</v>
      </c>
      <c r="E3521" s="1" t="n">
        <v>7</v>
      </c>
      <c r="F3521" s="3" t="s">
        <v>20</v>
      </c>
      <c r="G3521" s="3" t="s">
        <v>14166</v>
      </c>
      <c r="H3521" s="1" t="s">
        <v>22</v>
      </c>
      <c r="I3521" s="1" t="n">
        <v>20240430073155</v>
      </c>
      <c r="J3521" s="3" t="s">
        <v>14167</v>
      </c>
      <c r="K3521" s="3" t="s">
        <v>14168</v>
      </c>
      <c r="L3521" s="3" t="s">
        <v>14169</v>
      </c>
      <c r="M3521" s="3" t="n">
        <v>419985</v>
      </c>
      <c r="N3521" s="3" t="s">
        <v>2358</v>
      </c>
      <c r="O3521" s="1" t="n">
        <v>403599</v>
      </c>
      <c r="P3521" s="1" t="n">
        <v>96.1</v>
      </c>
      <c r="Q3521" s="1" t="s">
        <v>20</v>
      </c>
      <c r="R3521" s="1" t="s">
        <v>27</v>
      </c>
      <c r="S3521" s="1" t="s">
        <v>28</v>
      </c>
      <c r="T3521" s="1" t="s">
        <v>29</v>
      </c>
    </row>
    <row r="3522" customFormat="false" ht="18.7" hidden="false" customHeight="true" outlineLevel="0" collapsed="false">
      <c r="A3522" s="1" t="n">
        <v>3521</v>
      </c>
      <c r="B3522" s="6" t="str">
        <f aca="false">HYPERLINK("https://mncourtfraud.com/file/MCRO_27-CR-23-5213_Order-Evaluation for Competency to Proceed (Rule 20.01)_2023-03-13_20240430073157.pdf","MCRO_27-CR-23-5213_Order-Evaluation for Competency to Proceed (Rule 20.01)_2023-03-13_20240430073157.pdf")</f>
        <v>MCRO_27-CR-23-5213_Order-Evaluation for Competency to Proceed (Rule 20.01)_2023-03-13_20240430073157.pdf</v>
      </c>
      <c r="C3522" s="1" t="n">
        <v>4</v>
      </c>
      <c r="D3522" s="1" t="n">
        <v>1</v>
      </c>
      <c r="E3522" s="1" t="n">
        <v>1</v>
      </c>
      <c r="F3522" s="3" t="s">
        <v>20</v>
      </c>
      <c r="G3522" s="3" t="s">
        <v>14170</v>
      </c>
      <c r="H3522" s="1" t="s">
        <v>22</v>
      </c>
      <c r="I3522" s="1" t="n">
        <v>20240430073157</v>
      </c>
      <c r="J3522" s="3" t="s">
        <v>14171</v>
      </c>
      <c r="K3522" s="3" t="s">
        <v>14172</v>
      </c>
      <c r="L3522" s="3" t="s">
        <v>14173</v>
      </c>
      <c r="M3522" s="3" t="n">
        <v>137383</v>
      </c>
      <c r="N3522" s="3" t="s">
        <v>1159</v>
      </c>
      <c r="O3522" s="1" t="n">
        <v>120997</v>
      </c>
      <c r="P3522" s="1" t="n">
        <v>88.07</v>
      </c>
      <c r="Q3522" s="1" t="s">
        <v>20</v>
      </c>
      <c r="R3522" s="1" t="s">
        <v>27</v>
      </c>
      <c r="S3522" s="1" t="s">
        <v>28</v>
      </c>
      <c r="T3522" s="1" t="s">
        <v>29</v>
      </c>
    </row>
    <row r="3523" customFormat="false" ht="18.7" hidden="false" customHeight="true" outlineLevel="0" collapsed="false">
      <c r="A3523" s="1" t="n">
        <v>3522</v>
      </c>
      <c r="B3523" s="6" t="str">
        <f aca="false">HYPERLINK("https://mncourtfraud.com/file/MCRO_27-CR-23-5213_Order for Conditional Release_2023-03-13_20240430073158.pdf","MCRO_27-CR-23-5213_Order for Conditional Release_2023-03-13_20240430073158.pdf")</f>
        <v>MCRO_27-CR-23-5213_Order for Conditional Release_2023-03-13_20240430073158.pdf</v>
      </c>
      <c r="C3523" s="1" t="n">
        <v>4</v>
      </c>
      <c r="D3523" s="1" t="n">
        <v>1</v>
      </c>
      <c r="E3523" s="1" t="n">
        <v>1</v>
      </c>
      <c r="F3523" s="3" t="s">
        <v>20</v>
      </c>
      <c r="G3523" s="3" t="s">
        <v>14174</v>
      </c>
      <c r="H3523" s="1" t="s">
        <v>22</v>
      </c>
      <c r="I3523" s="1" t="n">
        <v>20240430073158</v>
      </c>
      <c r="J3523" s="3" t="s">
        <v>14175</v>
      </c>
      <c r="K3523" s="3" t="s">
        <v>14176</v>
      </c>
      <c r="L3523" s="3" t="s">
        <v>14177</v>
      </c>
      <c r="M3523" s="3" t="n">
        <v>116558</v>
      </c>
      <c r="N3523" s="3" t="s">
        <v>435</v>
      </c>
      <c r="O3523" s="1" t="n">
        <v>100172</v>
      </c>
      <c r="P3523" s="1" t="n">
        <v>85.94</v>
      </c>
      <c r="Q3523" s="1" t="s">
        <v>20</v>
      </c>
      <c r="R3523" s="1" t="s">
        <v>27</v>
      </c>
      <c r="S3523" s="1" t="s">
        <v>28</v>
      </c>
      <c r="T3523" s="1" t="s">
        <v>29</v>
      </c>
    </row>
    <row r="3524" customFormat="false" ht="18.7" hidden="false" customHeight="true" outlineLevel="0" collapsed="false">
      <c r="A3524" s="1" t="n">
        <v>3523</v>
      </c>
      <c r="B3524" s="6" t="str">
        <f aca="false">HYPERLINK("https://mncourtfraud.com/file/MCRO_27-CR-23-5213_Order for Dismissal_2023-05-19_20240430073154.pdf","MCRO_27-CR-23-5213_Order for Dismissal_2023-05-19_20240430073154.pdf")</f>
        <v>MCRO_27-CR-23-5213_Order for Dismissal_2023-05-19_20240430073154.pdf</v>
      </c>
      <c r="C3524" s="1" t="n">
        <v>7</v>
      </c>
      <c r="D3524" s="1" t="n">
        <v>3</v>
      </c>
      <c r="E3524" s="1" t="n">
        <v>3</v>
      </c>
      <c r="F3524" s="3" t="s">
        <v>20</v>
      </c>
      <c r="G3524" s="3" t="s">
        <v>14178</v>
      </c>
      <c r="H3524" s="1" t="s">
        <v>22</v>
      </c>
      <c r="I3524" s="1" t="n">
        <v>20240430073154</v>
      </c>
      <c r="J3524" s="3" t="s">
        <v>14179</v>
      </c>
      <c r="K3524" s="3" t="s">
        <v>14180</v>
      </c>
      <c r="L3524" s="3" t="s">
        <v>14181</v>
      </c>
      <c r="M3524" s="3" t="n">
        <v>308243</v>
      </c>
      <c r="N3524" s="3" t="s">
        <v>2239</v>
      </c>
      <c r="O3524" s="1" t="n">
        <v>291857</v>
      </c>
      <c r="P3524" s="1" t="n">
        <v>94.68</v>
      </c>
      <c r="Q3524" s="1" t="s">
        <v>20</v>
      </c>
      <c r="R3524" s="1" t="s">
        <v>27</v>
      </c>
      <c r="S3524" s="1" t="s">
        <v>28</v>
      </c>
      <c r="T3524" s="1" t="s">
        <v>29</v>
      </c>
    </row>
    <row r="3525" customFormat="false" ht="18.7" hidden="false" customHeight="true" outlineLevel="0" collapsed="false">
      <c r="A3525" s="1" t="n">
        <v>3524</v>
      </c>
      <c r="B3525" s="6" t="str">
        <f aca="false">HYPERLINK("https://mncourtfraud.com/file/MCRO_27-CR-23-5751_Demand or Request for Discovery_2023-03-27_20240430073244.pdf","MCRO_27-CR-23-5751_Demand or Request for Discovery_2023-03-27_20240430073244.pdf")</f>
        <v>MCRO_27-CR-23-5751_Demand or Request for Discovery_2023-03-27_20240430073244.pdf</v>
      </c>
      <c r="C3525" s="1" t="n">
        <v>3</v>
      </c>
      <c r="D3525" s="1" t="n">
        <v>1</v>
      </c>
      <c r="E3525" s="1" t="n">
        <v>1</v>
      </c>
      <c r="F3525" s="3" t="s">
        <v>20</v>
      </c>
      <c r="G3525" s="3" t="s">
        <v>14182</v>
      </c>
      <c r="H3525" s="1" t="s">
        <v>22</v>
      </c>
      <c r="I3525" s="1" t="n">
        <v>20240430073244</v>
      </c>
      <c r="J3525" s="3" t="s">
        <v>14183</v>
      </c>
      <c r="K3525" s="3" t="s">
        <v>14184</v>
      </c>
      <c r="L3525" s="3" t="s">
        <v>14185</v>
      </c>
      <c r="M3525" s="3" t="n">
        <v>822548</v>
      </c>
      <c r="N3525" s="3" t="s">
        <v>14186</v>
      </c>
      <c r="O3525" s="1" t="n">
        <v>806162</v>
      </c>
      <c r="P3525" s="1" t="n">
        <v>98.01</v>
      </c>
      <c r="Q3525" s="1" t="s">
        <v>20</v>
      </c>
      <c r="R3525" s="1" t="s">
        <v>27</v>
      </c>
      <c r="S3525" s="1" t="s">
        <v>28</v>
      </c>
      <c r="T3525" s="1" t="s">
        <v>29</v>
      </c>
    </row>
    <row r="3526" customFormat="false" ht="18.7" hidden="false" customHeight="true" outlineLevel="0" collapsed="false">
      <c r="A3526" s="1" t="n">
        <v>3525</v>
      </c>
      <c r="B3526" s="6" t="str">
        <f aca="false">HYPERLINK("https://mncourtfraud.com/file/MCRO_27-CR-23-5751_E-filed Comp-Order for Detention_2023-03-17_20240430073246.pdf","MCRO_27-CR-23-5751_E-filed Comp-Order for Detention_2023-03-17_20240430073246.pdf")</f>
        <v>MCRO_27-CR-23-5751_E-filed Comp-Order for Detention_2023-03-17_20240430073246.pdf</v>
      </c>
      <c r="C3526" s="1" t="n">
        <v>5</v>
      </c>
      <c r="D3526" s="1" t="n">
        <v>2</v>
      </c>
      <c r="E3526" s="1" t="n">
        <v>2</v>
      </c>
      <c r="F3526" s="3" t="s">
        <v>20</v>
      </c>
      <c r="G3526" s="3" t="s">
        <v>14187</v>
      </c>
      <c r="H3526" s="1" t="s">
        <v>22</v>
      </c>
      <c r="I3526" s="1" t="n">
        <v>20240430073246</v>
      </c>
      <c r="J3526" s="3" t="s">
        <v>14188</v>
      </c>
      <c r="K3526" s="3" t="s">
        <v>14189</v>
      </c>
      <c r="L3526" s="3" t="s">
        <v>14190</v>
      </c>
      <c r="M3526" s="3" t="n">
        <v>447652</v>
      </c>
      <c r="N3526" s="3" t="s">
        <v>9593</v>
      </c>
      <c r="O3526" s="1" t="n">
        <v>431266</v>
      </c>
      <c r="P3526" s="1" t="n">
        <v>96.34</v>
      </c>
      <c r="Q3526" s="1" t="s">
        <v>20</v>
      </c>
      <c r="R3526" s="1" t="s">
        <v>27</v>
      </c>
      <c r="S3526" s="1" t="s">
        <v>28</v>
      </c>
      <c r="T3526" s="1" t="s">
        <v>29</v>
      </c>
    </row>
    <row r="3527" customFormat="false" ht="18.7" hidden="false" customHeight="true" outlineLevel="0" collapsed="false">
      <c r="A3527" s="1" t="n">
        <v>3526</v>
      </c>
      <c r="B3527" s="6" t="str">
        <f aca="false">HYPERLINK("https://mncourtfraud.com/file/MCRO_27-CR-23-5751_Finding of Incompetency and Order_2023-05-02_20240430073242.pdf","MCRO_27-CR-23-5751_Finding of Incompetency and Order_2023-05-02_20240430073242.pdf")</f>
        <v>MCRO_27-CR-23-5751_Finding of Incompetency and Order_2023-05-02_20240430073242.pdf</v>
      </c>
      <c r="C3527" s="1" t="n">
        <v>9</v>
      </c>
      <c r="D3527" s="1" t="n">
        <v>3</v>
      </c>
      <c r="E3527" s="1" t="n">
        <v>3</v>
      </c>
      <c r="F3527" s="3" t="s">
        <v>27</v>
      </c>
      <c r="G3527" s="3" t="s">
        <v>14191</v>
      </c>
      <c r="H3527" s="1" t="s">
        <v>22</v>
      </c>
      <c r="I3527" s="1" t="n">
        <v>20240430073242</v>
      </c>
      <c r="J3527" s="3" t="s">
        <v>14192</v>
      </c>
      <c r="K3527" s="3" t="s">
        <v>14193</v>
      </c>
      <c r="L3527" s="3" t="s">
        <v>14194</v>
      </c>
      <c r="M3527" s="3" t="n">
        <v>951845</v>
      </c>
      <c r="N3527" s="3" t="s">
        <v>3264</v>
      </c>
      <c r="O3527" s="1" t="n">
        <v>935459</v>
      </c>
      <c r="P3527" s="1" t="n">
        <v>98.28</v>
      </c>
      <c r="Q3527" s="1" t="s">
        <v>20</v>
      </c>
      <c r="R3527" s="1" t="s">
        <v>27</v>
      </c>
      <c r="S3527" s="1" t="s">
        <v>28</v>
      </c>
      <c r="T3527" s="1" t="s">
        <v>29</v>
      </c>
    </row>
    <row r="3528" customFormat="false" ht="18.7" hidden="false" customHeight="true" outlineLevel="0" collapsed="false">
      <c r="A3528" s="1" t="n">
        <v>3527</v>
      </c>
      <c r="B3528" s="6" t="str">
        <f aca="false">HYPERLINK("https://mncourtfraud.com/file/MCRO_27-CR-23-5751_Finding of Incompetency and Order_2023-11-01_20240430073239.pdf","MCRO_27-CR-23-5751_Finding of Incompetency and Order_2023-11-01_20240430073239.pdf")</f>
        <v>MCRO_27-CR-23-5751_Finding of Incompetency and Order_2023-11-01_20240430073239.pdf</v>
      </c>
      <c r="C3528" s="1" t="n">
        <v>7</v>
      </c>
      <c r="D3528" s="1" t="n">
        <v>2</v>
      </c>
      <c r="E3528" s="1" t="n">
        <v>2</v>
      </c>
      <c r="F3528" s="3" t="s">
        <v>20</v>
      </c>
      <c r="G3528" s="3" t="s">
        <v>14195</v>
      </c>
      <c r="H3528" s="1" t="s">
        <v>22</v>
      </c>
      <c r="I3528" s="1" t="n">
        <v>20240430073239</v>
      </c>
      <c r="J3528" s="3" t="s">
        <v>14196</v>
      </c>
      <c r="K3528" s="3" t="s">
        <v>14197</v>
      </c>
      <c r="L3528" s="3" t="s">
        <v>14198</v>
      </c>
      <c r="M3528" s="3" t="n">
        <v>924947</v>
      </c>
      <c r="N3528" s="3" t="s">
        <v>4961</v>
      </c>
      <c r="O3528" s="1" t="n">
        <v>908561</v>
      </c>
      <c r="P3528" s="1" t="n">
        <v>98.23</v>
      </c>
      <c r="Q3528" s="1" t="s">
        <v>20</v>
      </c>
      <c r="R3528" s="1" t="s">
        <v>27</v>
      </c>
      <c r="S3528" s="1" t="s">
        <v>28</v>
      </c>
      <c r="T3528" s="1" t="s">
        <v>29</v>
      </c>
    </row>
    <row r="3529" customFormat="false" ht="18.7" hidden="false" customHeight="true" outlineLevel="0" collapsed="false">
      <c r="A3529" s="1" t="n">
        <v>3528</v>
      </c>
      <c r="B3529" s="6" t="str">
        <f aca="false">HYPERLINK("https://mncourtfraud.com/file/MCRO_27-CR-23-5751_Notice of Case Reassignment_2024-01-12_20240430073238.pdf","MCRO_27-CR-23-5751_Notice of Case Reassignment_2024-01-12_20240430073238.pdf")</f>
        <v>MCRO_27-CR-23-5751_Notice of Case Reassignment_2024-01-12_20240430073238.pdf</v>
      </c>
      <c r="C3529" s="1" t="n">
        <v>4</v>
      </c>
      <c r="D3529" s="1" t="n">
        <v>1</v>
      </c>
      <c r="E3529" s="1" t="n">
        <v>1</v>
      </c>
      <c r="F3529" s="3" t="s">
        <v>20</v>
      </c>
      <c r="G3529" s="3" t="s">
        <v>14199</v>
      </c>
      <c r="H3529" s="1" t="s">
        <v>22</v>
      </c>
      <c r="I3529" s="1" t="n">
        <v>20240430073238</v>
      </c>
      <c r="J3529" s="3" t="s">
        <v>14200</v>
      </c>
      <c r="K3529" s="3" t="s">
        <v>14201</v>
      </c>
      <c r="L3529" s="3" t="s">
        <v>14202</v>
      </c>
      <c r="M3529" s="3" t="n">
        <v>301372</v>
      </c>
      <c r="N3529" s="3" t="s">
        <v>158</v>
      </c>
      <c r="O3529" s="1" t="n">
        <v>284986</v>
      </c>
      <c r="P3529" s="1" t="n">
        <v>94.56</v>
      </c>
      <c r="Q3529" s="1" t="s">
        <v>20</v>
      </c>
      <c r="R3529" s="1" t="s">
        <v>27</v>
      </c>
      <c r="S3529" s="1" t="s">
        <v>28</v>
      </c>
      <c r="T3529" s="1" t="s">
        <v>29</v>
      </c>
    </row>
    <row r="3530" customFormat="false" ht="18.7" hidden="false" customHeight="true" outlineLevel="0" collapsed="false">
      <c r="A3530" s="1" t="n">
        <v>3529</v>
      </c>
      <c r="B3530" s="6" t="str">
        <f aca="false">HYPERLINK("https://mncourtfraud.com/file/MCRO_27-CR-23-5751_Order-Evaluation for Competency to Proceed (Rule 20.01)_2023-03-28_20240430073243.pdf","MCRO_27-CR-23-5751_Order-Evaluation for Competency to Proceed (Rule 20.01)_2023-03-28_20240430073243.pdf")</f>
        <v>MCRO_27-CR-23-5751_Order-Evaluation for Competency to Proceed (Rule 20.01)_2023-03-28_20240430073243.pdf</v>
      </c>
      <c r="C3530" s="1" t="n">
        <v>6</v>
      </c>
      <c r="D3530" s="1" t="n">
        <v>2</v>
      </c>
      <c r="E3530" s="1" t="n">
        <v>2</v>
      </c>
      <c r="F3530" s="3" t="s">
        <v>27</v>
      </c>
      <c r="G3530" s="3" t="s">
        <v>14203</v>
      </c>
      <c r="H3530" s="1" t="s">
        <v>22</v>
      </c>
      <c r="I3530" s="1" t="n">
        <v>20240430073243</v>
      </c>
      <c r="J3530" s="3" t="s">
        <v>14204</v>
      </c>
      <c r="K3530" s="3" t="s">
        <v>14205</v>
      </c>
      <c r="L3530" s="3" t="s">
        <v>14044</v>
      </c>
      <c r="M3530" s="3" t="n">
        <v>888439</v>
      </c>
      <c r="N3530" s="3" t="s">
        <v>559</v>
      </c>
      <c r="O3530" s="1" t="n">
        <v>872053</v>
      </c>
      <c r="P3530" s="1" t="n">
        <v>98.16</v>
      </c>
      <c r="Q3530" s="1" t="s">
        <v>20</v>
      </c>
      <c r="R3530" s="1" t="s">
        <v>27</v>
      </c>
      <c r="S3530" s="1" t="s">
        <v>28</v>
      </c>
      <c r="T3530" s="1" t="s">
        <v>29</v>
      </c>
    </row>
    <row r="3531" customFormat="false" ht="18.7" hidden="false" customHeight="true" outlineLevel="0" collapsed="false">
      <c r="A3531" s="1" t="n">
        <v>3530</v>
      </c>
      <c r="B3531" s="6" t="str">
        <f aca="false">HYPERLINK("https://mncourtfraud.com/file/MCRO_27-CR-23-5751_Order-Evaluation for Competency to Proceed (Rule 20.01)_2023-08-22_20240430073240.pdf","MCRO_27-CR-23-5751_Order-Evaluation for Competency to Proceed (Rule 20.01)_2023-08-22_20240430073240.pdf")</f>
        <v>MCRO_27-CR-23-5751_Order-Evaluation for Competency to Proceed (Rule 20.01)_2023-08-22_20240430073240.pdf</v>
      </c>
      <c r="C3531" s="1" t="n">
        <v>6</v>
      </c>
      <c r="D3531" s="1" t="n">
        <v>2</v>
      </c>
      <c r="E3531" s="1" t="n">
        <v>2</v>
      </c>
      <c r="F3531" s="3" t="s">
        <v>27</v>
      </c>
      <c r="G3531" s="3" t="s">
        <v>14206</v>
      </c>
      <c r="H3531" s="1" t="s">
        <v>22</v>
      </c>
      <c r="I3531" s="1" t="n">
        <v>20240430073240</v>
      </c>
      <c r="J3531" s="3" t="s">
        <v>14207</v>
      </c>
      <c r="K3531" s="3" t="s">
        <v>14208</v>
      </c>
      <c r="L3531" s="3" t="s">
        <v>14209</v>
      </c>
      <c r="M3531" s="3" t="n">
        <v>877451</v>
      </c>
      <c r="N3531" s="3" t="s">
        <v>554</v>
      </c>
      <c r="O3531" s="1" t="n">
        <v>861065</v>
      </c>
      <c r="P3531" s="1" t="n">
        <v>98.13</v>
      </c>
      <c r="Q3531" s="1" t="s">
        <v>20</v>
      </c>
      <c r="R3531" s="1" t="s">
        <v>27</v>
      </c>
      <c r="S3531" s="1" t="s">
        <v>28</v>
      </c>
      <c r="T3531" s="1" t="s">
        <v>29</v>
      </c>
    </row>
    <row r="3532" customFormat="false" ht="18.7" hidden="false" customHeight="true" outlineLevel="0" collapsed="false">
      <c r="A3532" s="1" t="n">
        <v>3531</v>
      </c>
      <c r="B3532" s="6" t="str">
        <f aca="false">HYPERLINK("https://mncourtfraud.com/file/MCRO_27-CR-23-5751_Order-Evaluation for Competency to Proceed (Rule 20.01)_2024-02-23_20240430073237.pdf","MCRO_27-CR-23-5751_Order-Evaluation for Competency to Proceed (Rule 20.01)_2024-02-23_20240430073237.pdf")</f>
        <v>MCRO_27-CR-23-5751_Order-Evaluation for Competency to Proceed (Rule 20.01)_2024-02-23_20240430073237.pdf</v>
      </c>
      <c r="C3532" s="1" t="n">
        <v>5</v>
      </c>
      <c r="D3532" s="1" t="n">
        <v>1</v>
      </c>
      <c r="E3532" s="1" t="n">
        <v>1</v>
      </c>
      <c r="F3532" s="3" t="s">
        <v>20</v>
      </c>
      <c r="G3532" s="3" t="s">
        <v>14210</v>
      </c>
      <c r="H3532" s="1" t="s">
        <v>22</v>
      </c>
      <c r="I3532" s="1" t="n">
        <v>20240430073237</v>
      </c>
      <c r="J3532" s="3" t="s">
        <v>14211</v>
      </c>
      <c r="K3532" s="3" t="s">
        <v>14212</v>
      </c>
      <c r="L3532" s="3" t="s">
        <v>9246</v>
      </c>
      <c r="M3532" s="3" t="n">
        <v>762226</v>
      </c>
      <c r="N3532" s="3" t="s">
        <v>6055</v>
      </c>
      <c r="O3532" s="1" t="n">
        <v>745840</v>
      </c>
      <c r="P3532" s="1" t="n">
        <v>97.85</v>
      </c>
      <c r="Q3532" s="1" t="s">
        <v>20</v>
      </c>
      <c r="R3532" s="1" t="s">
        <v>27</v>
      </c>
      <c r="S3532" s="1" t="s">
        <v>28</v>
      </c>
      <c r="T3532" s="1" t="s">
        <v>29</v>
      </c>
    </row>
    <row r="3533" customFormat="false" ht="18.7" hidden="false" customHeight="true" outlineLevel="0" collapsed="false">
      <c r="A3533" s="1" t="n">
        <v>3532</v>
      </c>
      <c r="B3533" s="6" t="str">
        <f aca="false">HYPERLINK("https://mncourtfraud.com/file/MCRO_27-CR-23-5751_Order for Conditional Release_2023-03-17_20240430073245.pdf","MCRO_27-CR-23-5751_Order for Conditional Release_2023-03-17_20240430073245.pdf")</f>
        <v>MCRO_27-CR-23-5751_Order for Conditional Release_2023-03-17_20240430073245.pdf</v>
      </c>
      <c r="C3533" s="1" t="n">
        <v>4</v>
      </c>
      <c r="D3533" s="1" t="n">
        <v>1</v>
      </c>
      <c r="E3533" s="1" t="n">
        <v>1</v>
      </c>
      <c r="F3533" s="3" t="s">
        <v>20</v>
      </c>
      <c r="G3533" s="3" t="s">
        <v>14213</v>
      </c>
      <c r="H3533" s="1" t="s">
        <v>22</v>
      </c>
      <c r="I3533" s="1" t="n">
        <v>20240430073245</v>
      </c>
      <c r="J3533" s="3" t="s">
        <v>14214</v>
      </c>
      <c r="K3533" s="3" t="s">
        <v>14215</v>
      </c>
      <c r="L3533" s="3" t="s">
        <v>14216</v>
      </c>
      <c r="M3533" s="3" t="n">
        <v>1016429</v>
      </c>
      <c r="N3533" s="3" t="s">
        <v>650</v>
      </c>
      <c r="O3533" s="1" t="n">
        <v>1000043</v>
      </c>
      <c r="P3533" s="1" t="n">
        <v>98.39</v>
      </c>
      <c r="Q3533" s="1" t="s">
        <v>20</v>
      </c>
      <c r="R3533" s="1" t="s">
        <v>27</v>
      </c>
      <c r="S3533" s="1" t="s">
        <v>28</v>
      </c>
      <c r="T3533" s="1" t="s">
        <v>29</v>
      </c>
    </row>
    <row r="3534" customFormat="false" ht="18.7" hidden="false" customHeight="true" outlineLevel="0" collapsed="false">
      <c r="A3534" s="1" t="n">
        <v>3533</v>
      </c>
      <c r="B3534" s="6" t="str">
        <f aca="false">HYPERLINK("https://mncourtfraud.com/file/MCRO_27-CR-23-5751_Order for Conditional Release_2023-05-16_20240430073241.pdf","MCRO_27-CR-23-5751_Order for Conditional Release_2023-05-16_20240430073241.pdf")</f>
        <v>MCRO_27-CR-23-5751_Order for Conditional Release_2023-05-16_20240430073241.pdf</v>
      </c>
      <c r="C3534" s="1" t="n">
        <v>6</v>
      </c>
      <c r="D3534" s="1" t="n">
        <v>2</v>
      </c>
      <c r="E3534" s="1" t="n">
        <v>2</v>
      </c>
      <c r="F3534" s="3" t="s">
        <v>27</v>
      </c>
      <c r="G3534" s="3" t="s">
        <v>14217</v>
      </c>
      <c r="H3534" s="1" t="s">
        <v>22</v>
      </c>
      <c r="I3534" s="1" t="n">
        <v>20240430073241</v>
      </c>
      <c r="J3534" s="3" t="s">
        <v>14218</v>
      </c>
      <c r="K3534" s="3" t="s">
        <v>14219</v>
      </c>
      <c r="L3534" s="3" t="s">
        <v>14220</v>
      </c>
      <c r="M3534" s="3" t="n">
        <v>876650</v>
      </c>
      <c r="N3534" s="3" t="s">
        <v>69</v>
      </c>
      <c r="O3534" s="1" t="n">
        <v>860264</v>
      </c>
      <c r="P3534" s="1" t="n">
        <v>98.13</v>
      </c>
      <c r="Q3534" s="1" t="s">
        <v>20</v>
      </c>
      <c r="R3534" s="1" t="s">
        <v>27</v>
      </c>
      <c r="S3534" s="1" t="s">
        <v>28</v>
      </c>
      <c r="T3534" s="1" t="s">
        <v>29</v>
      </c>
    </row>
    <row r="3535" customFormat="false" ht="18.7" hidden="false" customHeight="true" outlineLevel="0" collapsed="false">
      <c r="A3535" s="1" t="n">
        <v>3534</v>
      </c>
      <c r="B3535" s="6" t="str">
        <f aca="false">HYPERLINK("https://mncourtfraud.com/file/MCRO_27-CR-23-8406_Demand or Request for Discovery_2023-04-26_20240430073410.pdf","MCRO_27-CR-23-8406_Demand or Request for Discovery_2023-04-26_20240430073410.pdf")</f>
        <v>MCRO_27-CR-23-8406_Demand or Request for Discovery_2023-04-26_20240430073410.pdf</v>
      </c>
      <c r="C3535" s="1" t="n">
        <v>3</v>
      </c>
      <c r="D3535" s="1" t="n">
        <v>1</v>
      </c>
      <c r="E3535" s="1" t="n">
        <v>1</v>
      </c>
      <c r="F3535" s="3" t="s">
        <v>20</v>
      </c>
      <c r="G3535" s="3" t="s">
        <v>14221</v>
      </c>
      <c r="H3535" s="1" t="s">
        <v>22</v>
      </c>
      <c r="I3535" s="1" t="n">
        <v>20240430073410</v>
      </c>
      <c r="J3535" s="3" t="s">
        <v>14222</v>
      </c>
      <c r="K3535" s="3" t="s">
        <v>14223</v>
      </c>
      <c r="L3535" s="3" t="s">
        <v>14224</v>
      </c>
      <c r="M3535" s="3" t="n">
        <v>372110</v>
      </c>
      <c r="N3535" s="3" t="s">
        <v>9552</v>
      </c>
      <c r="O3535" s="1" t="n">
        <v>355724</v>
      </c>
      <c r="P3535" s="1" t="n">
        <v>95.6</v>
      </c>
      <c r="Q3535" s="1" t="s">
        <v>20</v>
      </c>
      <c r="R3535" s="1" t="s">
        <v>27</v>
      </c>
      <c r="S3535" s="1" t="s">
        <v>28</v>
      </c>
      <c r="T3535" s="1" t="s">
        <v>29</v>
      </c>
    </row>
    <row r="3536" customFormat="false" ht="18.7" hidden="false" customHeight="true" outlineLevel="0" collapsed="false">
      <c r="A3536" s="1" t="n">
        <v>3535</v>
      </c>
      <c r="B3536" s="6" t="str">
        <f aca="false">HYPERLINK("https://mncourtfraud.com/file/MCRO_27-CR-23-8406_E-filed Comp-Order for Detention_2023-04-21_20240430073412.pdf","MCRO_27-CR-23-8406_E-filed Comp-Order for Detention_2023-04-21_20240430073412.pdf")</f>
        <v>MCRO_27-CR-23-8406_E-filed Comp-Order for Detention_2023-04-21_20240430073412.pdf</v>
      </c>
      <c r="C3536" s="1" t="n">
        <v>5</v>
      </c>
      <c r="D3536" s="1" t="n">
        <v>2</v>
      </c>
      <c r="E3536" s="1" t="n">
        <v>2</v>
      </c>
      <c r="F3536" s="3" t="s">
        <v>20</v>
      </c>
      <c r="G3536" s="3" t="s">
        <v>14225</v>
      </c>
      <c r="H3536" s="1" t="s">
        <v>22</v>
      </c>
      <c r="I3536" s="1" t="n">
        <v>20240430073412</v>
      </c>
      <c r="J3536" s="3" t="s">
        <v>14226</v>
      </c>
      <c r="K3536" s="3" t="s">
        <v>14227</v>
      </c>
      <c r="L3536" s="3" t="s">
        <v>14228</v>
      </c>
      <c r="M3536" s="3" t="n">
        <v>443228</v>
      </c>
      <c r="N3536" s="3" t="s">
        <v>10787</v>
      </c>
      <c r="O3536" s="1" t="n">
        <v>426842</v>
      </c>
      <c r="P3536" s="1" t="n">
        <v>96.3</v>
      </c>
      <c r="Q3536" s="1" t="s">
        <v>20</v>
      </c>
      <c r="R3536" s="1" t="s">
        <v>27</v>
      </c>
      <c r="S3536" s="1" t="s">
        <v>28</v>
      </c>
      <c r="T3536" s="1" t="s">
        <v>29</v>
      </c>
    </row>
    <row r="3537" customFormat="false" ht="18.7" hidden="false" customHeight="true" outlineLevel="0" collapsed="false">
      <c r="A3537" s="1" t="n">
        <v>3536</v>
      </c>
      <c r="B3537" s="6" t="str">
        <f aca="false">HYPERLINK("https://mncourtfraud.com/file/MCRO_27-CR-23-8406_Notice of Hearing_2023-04-27_20240430073408.pdf","MCRO_27-CR-23-8406_Notice of Hearing_2023-04-27_20240430073408.pdf")</f>
        <v>MCRO_27-CR-23-8406_Notice of Hearing_2023-04-27_20240430073408.pdf</v>
      </c>
      <c r="C3537" s="1" t="n">
        <v>4</v>
      </c>
      <c r="D3537" s="1" t="n">
        <v>1</v>
      </c>
      <c r="E3537" s="1" t="n">
        <v>1</v>
      </c>
      <c r="F3537" s="3" t="s">
        <v>20</v>
      </c>
      <c r="G3537" s="3" t="s">
        <v>14229</v>
      </c>
      <c r="H3537" s="1" t="s">
        <v>22</v>
      </c>
      <c r="I3537" s="1" t="n">
        <v>20240430073408</v>
      </c>
      <c r="J3537" s="3" t="s">
        <v>14230</v>
      </c>
      <c r="K3537" s="3" t="s">
        <v>14231</v>
      </c>
      <c r="L3537" s="3" t="s">
        <v>14232</v>
      </c>
      <c r="M3537" s="3" t="n">
        <v>111570</v>
      </c>
      <c r="N3537" s="3" t="s">
        <v>1307</v>
      </c>
      <c r="O3537" s="1" t="n">
        <v>95184</v>
      </c>
      <c r="P3537" s="1" t="n">
        <v>85.31</v>
      </c>
      <c r="Q3537" s="1" t="s">
        <v>20</v>
      </c>
      <c r="R3537" s="1" t="s">
        <v>27</v>
      </c>
      <c r="S3537" s="1" t="s">
        <v>28</v>
      </c>
      <c r="T3537" s="1" t="s">
        <v>29</v>
      </c>
    </row>
    <row r="3538" customFormat="false" ht="18.7" hidden="false" customHeight="true" outlineLevel="0" collapsed="false">
      <c r="A3538" s="1" t="n">
        <v>3537</v>
      </c>
      <c r="B3538" s="6" t="str">
        <f aca="false">HYPERLINK("https://mncourtfraud.com/file/MCRO_27-CR-23-8406_Notice of Remote Hearing with Instructions_2023-12-05_20240430073403.pdf","MCRO_27-CR-23-8406_Notice of Remote Hearing with Instructions_2023-12-05_20240430073403.pdf")</f>
        <v>MCRO_27-CR-23-8406_Notice of Remote Hearing with Instructions_2023-12-05_20240430073403.pdf</v>
      </c>
      <c r="C3538" s="1" t="n">
        <v>4</v>
      </c>
      <c r="D3538" s="1" t="n">
        <v>1</v>
      </c>
      <c r="E3538" s="1" t="n">
        <v>1</v>
      </c>
      <c r="F3538" s="3" t="s">
        <v>20</v>
      </c>
      <c r="G3538" s="3" t="s">
        <v>14233</v>
      </c>
      <c r="H3538" s="1" t="s">
        <v>22</v>
      </c>
      <c r="I3538" s="1" t="n">
        <v>20240430073403</v>
      </c>
      <c r="J3538" s="3" t="s">
        <v>14234</v>
      </c>
      <c r="K3538" s="3" t="s">
        <v>14235</v>
      </c>
      <c r="L3538" s="3" t="s">
        <v>14236</v>
      </c>
      <c r="M3538" s="3" t="n">
        <v>269330</v>
      </c>
      <c r="N3538" s="3" t="s">
        <v>74</v>
      </c>
      <c r="O3538" s="1" t="n">
        <v>252944</v>
      </c>
      <c r="P3538" s="1" t="n">
        <v>93.92</v>
      </c>
      <c r="Q3538" s="1" t="s">
        <v>20</v>
      </c>
      <c r="R3538" s="1" t="s">
        <v>27</v>
      </c>
      <c r="S3538" s="1" t="s">
        <v>28</v>
      </c>
      <c r="T3538" s="1" t="s">
        <v>29</v>
      </c>
    </row>
    <row r="3539" customFormat="false" ht="18.7" hidden="false" customHeight="true" outlineLevel="0" collapsed="false">
      <c r="A3539" s="1" t="n">
        <v>3538</v>
      </c>
      <c r="B3539" s="6" t="str">
        <f aca="false">HYPERLINK("https://mncourtfraud.com/file/MCRO_27-CR-23-8406_Notice of Remote Hearing with Instructions_2024-04-02_20240430073400.pdf","MCRO_27-CR-23-8406_Notice of Remote Hearing with Instructions_2024-04-02_20240430073400.pdf")</f>
        <v>MCRO_27-CR-23-8406_Notice of Remote Hearing with Instructions_2024-04-02_20240430073400.pdf</v>
      </c>
      <c r="C3539" s="1" t="n">
        <v>4</v>
      </c>
      <c r="D3539" s="1" t="n">
        <v>1</v>
      </c>
      <c r="E3539" s="1" t="n">
        <v>1</v>
      </c>
      <c r="F3539" s="3" t="s">
        <v>20</v>
      </c>
      <c r="G3539" s="3" t="s">
        <v>14237</v>
      </c>
      <c r="H3539" s="1" t="s">
        <v>22</v>
      </c>
      <c r="I3539" s="1" t="n">
        <v>20240430073400</v>
      </c>
      <c r="J3539" s="3" t="s">
        <v>14238</v>
      </c>
      <c r="K3539" s="3" t="s">
        <v>14239</v>
      </c>
      <c r="L3539" s="3" t="s">
        <v>14240</v>
      </c>
      <c r="M3539" s="3" t="n">
        <v>255753</v>
      </c>
      <c r="N3539" s="3" t="s">
        <v>74</v>
      </c>
      <c r="O3539" s="1" t="n">
        <v>239367</v>
      </c>
      <c r="P3539" s="1" t="n">
        <v>93.59</v>
      </c>
      <c r="Q3539" s="1" t="s">
        <v>20</v>
      </c>
      <c r="R3539" s="1" t="s">
        <v>27</v>
      </c>
      <c r="S3539" s="1" t="s">
        <v>28</v>
      </c>
      <c r="T3539" s="1" t="s">
        <v>29</v>
      </c>
    </row>
    <row r="3540" customFormat="false" ht="18.7" hidden="false" customHeight="true" outlineLevel="0" collapsed="false">
      <c r="A3540" s="1" t="n">
        <v>3539</v>
      </c>
      <c r="B3540" s="6" t="str">
        <f aca="false">HYPERLINK("https://mncourtfraud.com/file/MCRO_27-CR-23-8406_Order-Evaluation for Competency to Proceed (Rule 20.01)_2023-04-27_20240430073409.pdf","MCRO_27-CR-23-8406_Order-Evaluation for Competency to Proceed (Rule 20.01)_2023-04-27_20240430073409.pdf")</f>
        <v>MCRO_27-CR-23-8406_Order-Evaluation for Competency to Proceed (Rule 20.01)_2023-04-27_20240430073409.pdf</v>
      </c>
      <c r="C3540" s="1" t="n">
        <v>4</v>
      </c>
      <c r="D3540" s="1" t="n">
        <v>1</v>
      </c>
      <c r="E3540" s="1" t="n">
        <v>1</v>
      </c>
      <c r="F3540" s="3" t="s">
        <v>20</v>
      </c>
      <c r="G3540" s="3" t="s">
        <v>14241</v>
      </c>
      <c r="H3540" s="1" t="s">
        <v>22</v>
      </c>
      <c r="I3540" s="1" t="n">
        <v>20240430073409</v>
      </c>
      <c r="J3540" s="3" t="s">
        <v>14242</v>
      </c>
      <c r="K3540" s="3" t="s">
        <v>14243</v>
      </c>
      <c r="L3540" s="3" t="s">
        <v>14244</v>
      </c>
      <c r="M3540" s="3" t="n">
        <v>205843</v>
      </c>
      <c r="N3540" s="3" t="s">
        <v>361</v>
      </c>
      <c r="O3540" s="1" t="n">
        <v>189457</v>
      </c>
      <c r="P3540" s="1" t="n">
        <v>92.04</v>
      </c>
      <c r="Q3540" s="1" t="s">
        <v>20</v>
      </c>
      <c r="R3540" s="1" t="s">
        <v>27</v>
      </c>
      <c r="S3540" s="1" t="s">
        <v>28</v>
      </c>
      <c r="T3540" s="1" t="s">
        <v>29</v>
      </c>
    </row>
    <row r="3541" customFormat="false" ht="18.7" hidden="false" customHeight="true" outlineLevel="0" collapsed="false">
      <c r="A3541" s="1" t="n">
        <v>3540</v>
      </c>
      <c r="B3541" s="6" t="str">
        <f aca="false">HYPERLINK("https://mncourtfraud.com/file/MCRO_27-CR-23-8406_Order-Evaluation for Competency to Proceed (Rule 20.01)_2023-09-18_20240430073404.pdf","MCRO_27-CR-23-8406_Order-Evaluation for Competency to Proceed (Rule 20.01)_2023-09-18_20240430073404.pdf")</f>
        <v>MCRO_27-CR-23-8406_Order-Evaluation for Competency to Proceed (Rule 20.01)_2023-09-18_20240430073404.pdf</v>
      </c>
      <c r="C3541" s="1" t="n">
        <v>6</v>
      </c>
      <c r="D3541" s="1" t="n">
        <v>2</v>
      </c>
      <c r="E3541" s="1" t="n">
        <v>2</v>
      </c>
      <c r="F3541" s="3" t="s">
        <v>27</v>
      </c>
      <c r="G3541" s="3" t="s">
        <v>14245</v>
      </c>
      <c r="H3541" s="1" t="s">
        <v>22</v>
      </c>
      <c r="I3541" s="1" t="n">
        <v>20240430073404</v>
      </c>
      <c r="J3541" s="3" t="s">
        <v>14246</v>
      </c>
      <c r="K3541" s="3" t="s">
        <v>14247</v>
      </c>
      <c r="L3541" s="3" t="s">
        <v>14248</v>
      </c>
      <c r="M3541" s="3" t="n">
        <v>859158</v>
      </c>
      <c r="N3541" s="3" t="s">
        <v>554</v>
      </c>
      <c r="O3541" s="1" t="n">
        <v>842772</v>
      </c>
      <c r="P3541" s="1" t="n">
        <v>98.09</v>
      </c>
      <c r="Q3541" s="1" t="s">
        <v>20</v>
      </c>
      <c r="R3541" s="1" t="s">
        <v>27</v>
      </c>
      <c r="S3541" s="1" t="s">
        <v>28</v>
      </c>
      <c r="T3541" s="1" t="s">
        <v>29</v>
      </c>
    </row>
    <row r="3542" customFormat="false" ht="18.7" hidden="false" customHeight="true" outlineLevel="0" collapsed="false">
      <c r="A3542" s="1" t="n">
        <v>3541</v>
      </c>
      <c r="B3542" s="6" t="str">
        <f aca="false">HYPERLINK("https://mncourtfraud.com/file/MCRO_27-CR-23-8406_Order-Evaluation for Competency to Proceed (Rule 20.01)_2024-01-31_20240430073402.pdf","MCRO_27-CR-23-8406_Order-Evaluation for Competency to Proceed (Rule 20.01)_2024-01-31_20240430073402.pdf")</f>
        <v>MCRO_27-CR-23-8406_Order-Evaluation for Competency to Proceed (Rule 20.01)_2024-01-31_20240430073402.pdf</v>
      </c>
      <c r="C3542" s="1" t="n">
        <v>4</v>
      </c>
      <c r="D3542" s="1" t="n">
        <v>1</v>
      </c>
      <c r="E3542" s="1" t="n">
        <v>1</v>
      </c>
      <c r="F3542" s="3" t="s">
        <v>20</v>
      </c>
      <c r="G3542" s="3" t="s">
        <v>14249</v>
      </c>
      <c r="H3542" s="1" t="s">
        <v>22</v>
      </c>
      <c r="I3542" s="1" t="n">
        <v>20240430073402</v>
      </c>
      <c r="J3542" s="3" t="s">
        <v>14250</v>
      </c>
      <c r="K3542" s="3" t="s">
        <v>14251</v>
      </c>
      <c r="L3542" s="3" t="s">
        <v>14252</v>
      </c>
      <c r="M3542" s="3" t="n">
        <v>1044009</v>
      </c>
      <c r="N3542" s="3" t="s">
        <v>1128</v>
      </c>
      <c r="O3542" s="1" t="n">
        <v>1027623</v>
      </c>
      <c r="P3542" s="1" t="n">
        <v>98.43</v>
      </c>
      <c r="Q3542" s="1" t="s">
        <v>20</v>
      </c>
      <c r="R3542" s="1" t="s">
        <v>27</v>
      </c>
      <c r="S3542" s="1" t="s">
        <v>28</v>
      </c>
      <c r="T3542" s="1" t="s">
        <v>29</v>
      </c>
    </row>
    <row r="3543" customFormat="false" ht="18.7" hidden="false" customHeight="true" outlineLevel="0" collapsed="false">
      <c r="A3543" s="1" t="n">
        <v>3542</v>
      </c>
      <c r="B3543" s="6" t="str">
        <f aca="false">HYPERLINK("https://mncourtfraud.com/file/MCRO_27-CR-23-8406_Order for Conditional Release_2023-05-09_20240430073407.pdf","MCRO_27-CR-23-8406_Order for Conditional Release_2023-05-09_20240430073407.pdf")</f>
        <v>MCRO_27-CR-23-8406_Order for Conditional Release_2023-05-09_20240430073407.pdf</v>
      </c>
      <c r="C3543" s="1" t="n">
        <v>4</v>
      </c>
      <c r="D3543" s="1" t="n">
        <v>1</v>
      </c>
      <c r="E3543" s="1" t="n">
        <v>1</v>
      </c>
      <c r="F3543" s="3" t="s">
        <v>20</v>
      </c>
      <c r="G3543" s="3" t="s">
        <v>14253</v>
      </c>
      <c r="H3543" s="1" t="s">
        <v>22</v>
      </c>
      <c r="I3543" s="1" t="n">
        <v>20240430073407</v>
      </c>
      <c r="J3543" s="3" t="s">
        <v>14254</v>
      </c>
      <c r="K3543" s="3" t="s">
        <v>14255</v>
      </c>
      <c r="L3543" s="3" t="s">
        <v>14256</v>
      </c>
      <c r="M3543" s="3" t="n">
        <v>763210</v>
      </c>
      <c r="N3543" s="3" t="s">
        <v>7160</v>
      </c>
      <c r="O3543" s="1" t="n">
        <v>746824</v>
      </c>
      <c r="P3543" s="1" t="n">
        <v>97.85</v>
      </c>
      <c r="Q3543" s="1" t="s">
        <v>20</v>
      </c>
      <c r="R3543" s="1" t="s">
        <v>27</v>
      </c>
      <c r="S3543" s="1" t="s">
        <v>28</v>
      </c>
      <c r="T3543" s="1" t="s">
        <v>29</v>
      </c>
    </row>
    <row r="3544" customFormat="false" ht="18.7" hidden="false" customHeight="true" outlineLevel="0" collapsed="false">
      <c r="A3544" s="1" t="n">
        <v>3543</v>
      </c>
      <c r="B3544" s="6" t="str">
        <f aca="false">HYPERLINK("https://mncourtfraud.com/file/MCRO_27-CR-23-8406_Order Revoking Interim Conditions of Release_2023-05-25_20240430073405.pdf","MCRO_27-CR-23-8406_Order Revoking Interim Conditions of Release_2023-05-25_20240430073405.pdf")</f>
        <v>MCRO_27-CR-23-8406_Order Revoking Interim Conditions of Release_2023-05-25_20240430073405.pdf</v>
      </c>
      <c r="C3544" s="1" t="n">
        <v>5</v>
      </c>
      <c r="D3544" s="1" t="n">
        <v>3</v>
      </c>
      <c r="E3544" s="1" t="n">
        <v>3</v>
      </c>
      <c r="F3544" s="3" t="s">
        <v>20</v>
      </c>
      <c r="G3544" s="3" t="s">
        <v>14257</v>
      </c>
      <c r="H3544" s="1" t="s">
        <v>22</v>
      </c>
      <c r="I3544" s="1" t="n">
        <v>20240430073405</v>
      </c>
      <c r="J3544" s="3" t="s">
        <v>14258</v>
      </c>
      <c r="K3544" s="3" t="s">
        <v>14259</v>
      </c>
      <c r="L3544" s="3" t="s">
        <v>14260</v>
      </c>
      <c r="M3544" s="3" t="n">
        <v>977826</v>
      </c>
      <c r="N3544" s="3" t="s">
        <v>660</v>
      </c>
      <c r="O3544" s="1" t="n">
        <v>961440</v>
      </c>
      <c r="P3544" s="1" t="n">
        <v>98.32</v>
      </c>
      <c r="Q3544" s="1" t="s">
        <v>20</v>
      </c>
      <c r="R3544" s="1" t="s">
        <v>27</v>
      </c>
      <c r="S3544" s="1" t="s">
        <v>28</v>
      </c>
      <c r="T3544" s="1" t="s">
        <v>29</v>
      </c>
    </row>
    <row r="3545" customFormat="false" ht="18.7" hidden="false" customHeight="true" outlineLevel="0" collapsed="false">
      <c r="A3545" s="1" t="n">
        <v>3544</v>
      </c>
      <c r="B3545" s="6" t="str">
        <f aca="false">HYPERLINK("https://mncourtfraud.com/file/MCRO_27-CR-23-8406_Other Document_2023-04-21_20240430073411.pdf","MCRO_27-CR-23-8406_Other Document_2023-04-21_20240430073411.pdf")</f>
        <v>MCRO_27-CR-23-8406_Other Document_2023-04-21_20240430073411.pdf</v>
      </c>
      <c r="C3545" s="1" t="n">
        <v>4</v>
      </c>
      <c r="D3545" s="1" t="n">
        <v>1</v>
      </c>
      <c r="E3545" s="1" t="n">
        <v>1</v>
      </c>
      <c r="F3545" s="3" t="s">
        <v>20</v>
      </c>
      <c r="G3545" s="3" t="s">
        <v>14261</v>
      </c>
      <c r="H3545" s="1" t="s">
        <v>22</v>
      </c>
      <c r="I3545" s="1" t="n">
        <v>20240430073411</v>
      </c>
      <c r="J3545" s="3" t="s">
        <v>14262</v>
      </c>
      <c r="K3545" s="3" t="s">
        <v>14263</v>
      </c>
      <c r="L3545" s="3" t="s">
        <v>14264</v>
      </c>
      <c r="M3545" s="3" t="n">
        <v>538182</v>
      </c>
      <c r="N3545" s="3" t="s">
        <v>650</v>
      </c>
      <c r="O3545" s="1" t="n">
        <v>521796</v>
      </c>
      <c r="P3545" s="1" t="n">
        <v>96.96</v>
      </c>
      <c r="Q3545" s="1" t="s">
        <v>20</v>
      </c>
      <c r="R3545" s="1" t="s">
        <v>27</v>
      </c>
      <c r="S3545" s="1" t="s">
        <v>28</v>
      </c>
      <c r="T3545" s="1" t="s">
        <v>29</v>
      </c>
    </row>
    <row r="3546" customFormat="false" ht="18.7" hidden="false" customHeight="true" outlineLevel="0" collapsed="false">
      <c r="A3546" s="1" t="n">
        <v>3545</v>
      </c>
      <c r="B3546" s="6" t="str">
        <f aca="false">HYPERLINK("https://mncourtfraud.com/file/MCRO_27-CR-23-8406_Proposed Order or Document_2023-05-25_20240430073406.pdf","MCRO_27-CR-23-8406_Proposed Order or Document_2023-05-25_20240430073406.pdf")</f>
        <v>MCRO_27-CR-23-8406_Proposed Order or Document_2023-05-25_20240430073406.pdf</v>
      </c>
      <c r="C3546" s="1" t="n">
        <v>3</v>
      </c>
      <c r="D3546" s="1" t="n">
        <v>1</v>
      </c>
      <c r="E3546" s="1" t="n">
        <v>1</v>
      </c>
      <c r="F3546" s="3" t="s">
        <v>20</v>
      </c>
      <c r="G3546" s="3" t="s">
        <v>14265</v>
      </c>
      <c r="H3546" s="1" t="s">
        <v>22</v>
      </c>
      <c r="I3546" s="1" t="n">
        <v>20240430073406</v>
      </c>
      <c r="J3546" s="3" t="s">
        <v>14266</v>
      </c>
      <c r="K3546" s="3" t="s">
        <v>14267</v>
      </c>
      <c r="L3546" s="3" t="s">
        <v>14268</v>
      </c>
      <c r="M3546" s="3" t="n">
        <v>819280</v>
      </c>
      <c r="N3546" s="3" t="s">
        <v>11227</v>
      </c>
      <c r="O3546" s="1" t="n">
        <v>802894</v>
      </c>
      <c r="P3546" s="1" t="n">
        <v>98</v>
      </c>
      <c r="Q3546" s="1" t="s">
        <v>20</v>
      </c>
      <c r="R3546" s="1" t="s">
        <v>27</v>
      </c>
      <c r="S3546" s="1" t="s">
        <v>28</v>
      </c>
      <c r="T3546" s="1" t="s">
        <v>29</v>
      </c>
    </row>
    <row r="3547" customFormat="false" ht="18.7" hidden="false" customHeight="true" outlineLevel="0" collapsed="false">
      <c r="A3547" s="1" t="n">
        <v>3546</v>
      </c>
      <c r="B3547" s="6" t="str">
        <f aca="false">HYPERLINK("https://mncourtfraud.com/file/MCRO_27-CR-23-8560_E-filed Comp-Order for Detention_2023-04-24_20240430073451.pdf","MCRO_27-CR-23-8560_E-filed Comp-Order for Detention_2023-04-24_20240430073451.pdf")</f>
        <v>MCRO_27-CR-23-8560_E-filed Comp-Order for Detention_2023-04-24_20240430073451.pdf</v>
      </c>
      <c r="C3547" s="1" t="n">
        <v>5</v>
      </c>
      <c r="D3547" s="1" t="n">
        <v>2</v>
      </c>
      <c r="E3547" s="1" t="n">
        <v>2</v>
      </c>
      <c r="F3547" s="3" t="s">
        <v>20</v>
      </c>
      <c r="G3547" s="3" t="s">
        <v>14269</v>
      </c>
      <c r="H3547" s="1" t="s">
        <v>22</v>
      </c>
      <c r="I3547" s="1" t="n">
        <v>20240430073451</v>
      </c>
      <c r="J3547" s="3" t="s">
        <v>14270</v>
      </c>
      <c r="K3547" s="3" t="s">
        <v>14271</v>
      </c>
      <c r="L3547" s="3" t="s">
        <v>14272</v>
      </c>
      <c r="M3547" s="3" t="n">
        <v>495267</v>
      </c>
      <c r="N3547" s="3" t="s">
        <v>3686</v>
      </c>
      <c r="O3547" s="1" t="n">
        <v>478881</v>
      </c>
      <c r="P3547" s="1" t="n">
        <v>96.69</v>
      </c>
      <c r="Q3547" s="1" t="s">
        <v>20</v>
      </c>
      <c r="R3547" s="1" t="s">
        <v>27</v>
      </c>
      <c r="S3547" s="1" t="s">
        <v>28</v>
      </c>
      <c r="T3547" s="1" t="s">
        <v>29</v>
      </c>
    </row>
    <row r="3548" customFormat="false" ht="18.7" hidden="false" customHeight="true" outlineLevel="0" collapsed="false">
      <c r="A3548" s="1" t="n">
        <v>3547</v>
      </c>
      <c r="B3548" s="6" t="str">
        <f aca="false">HYPERLINK("https://mncourtfraud.com/file/MCRO_27-CR-23-8560_Finding of Incompetency and Order_2023-06-01_20240430073449.pdf","MCRO_27-CR-23-8560_Finding of Incompetency and Order_2023-06-01_20240430073449.pdf")</f>
        <v>MCRO_27-CR-23-8560_Finding of Incompetency and Order_2023-06-01_20240430073449.pdf</v>
      </c>
      <c r="C3548" s="1" t="n">
        <v>9</v>
      </c>
      <c r="D3548" s="1" t="n">
        <v>3</v>
      </c>
      <c r="E3548" s="1" t="n">
        <v>3</v>
      </c>
      <c r="F3548" s="3" t="s">
        <v>27</v>
      </c>
      <c r="G3548" s="3" t="s">
        <v>14273</v>
      </c>
      <c r="H3548" s="1" t="s">
        <v>22</v>
      </c>
      <c r="I3548" s="1" t="n">
        <v>20240430073449</v>
      </c>
      <c r="J3548" s="3" t="s">
        <v>14274</v>
      </c>
      <c r="K3548" s="3" t="s">
        <v>14275</v>
      </c>
      <c r="L3548" s="3" t="s">
        <v>14276</v>
      </c>
      <c r="M3548" s="3" t="n">
        <v>961026</v>
      </c>
      <c r="N3548" s="3" t="s">
        <v>1019</v>
      </c>
      <c r="O3548" s="1" t="n">
        <v>944640</v>
      </c>
      <c r="P3548" s="1" t="n">
        <v>98.29</v>
      </c>
      <c r="Q3548" s="1" t="s">
        <v>20</v>
      </c>
      <c r="R3548" s="1" t="s">
        <v>27</v>
      </c>
      <c r="S3548" s="1" t="s">
        <v>28</v>
      </c>
      <c r="T3548" s="1" t="s">
        <v>29</v>
      </c>
    </row>
    <row r="3549" customFormat="false" ht="18.7" hidden="false" customHeight="true" outlineLevel="0" collapsed="false">
      <c r="A3549" s="1" t="n">
        <v>3548</v>
      </c>
      <c r="B3549" s="6" t="str">
        <f aca="false">HYPERLINK("https://mncourtfraud.com/file/MCRO_27-CR-23-8560_Notice of Intent to Prosecute_2023-06-07_20240430073448.pdf","MCRO_27-CR-23-8560_Notice of Intent to Prosecute_2023-06-07_20240430073448.pdf")</f>
        <v>MCRO_27-CR-23-8560_Notice of Intent to Prosecute_2023-06-07_20240430073448.pdf</v>
      </c>
      <c r="C3549" s="1" t="n">
        <v>3</v>
      </c>
      <c r="D3549" s="1" t="n">
        <v>1</v>
      </c>
      <c r="E3549" s="1" t="n">
        <v>1</v>
      </c>
      <c r="F3549" s="3" t="s">
        <v>20</v>
      </c>
      <c r="G3549" s="3" t="s">
        <v>14277</v>
      </c>
      <c r="H3549" s="1" t="s">
        <v>22</v>
      </c>
      <c r="I3549" s="1" t="n">
        <v>20240430073448</v>
      </c>
      <c r="J3549" s="3" t="s">
        <v>14278</v>
      </c>
      <c r="K3549" s="3" t="s">
        <v>14279</v>
      </c>
      <c r="L3549" s="3" t="s">
        <v>14280</v>
      </c>
      <c r="M3549" s="3" t="n">
        <v>118688</v>
      </c>
      <c r="N3549" s="3" t="s">
        <v>736</v>
      </c>
      <c r="O3549" s="1" t="n">
        <v>102302</v>
      </c>
      <c r="P3549" s="1" t="n">
        <v>86.19</v>
      </c>
      <c r="Q3549" s="1" t="s">
        <v>20</v>
      </c>
      <c r="R3549" s="1" t="s">
        <v>27</v>
      </c>
      <c r="S3549" s="1" t="s">
        <v>28</v>
      </c>
      <c r="T3549" s="1" t="s">
        <v>29</v>
      </c>
    </row>
    <row r="3550" customFormat="false" ht="18.7" hidden="false" customHeight="true" outlineLevel="0" collapsed="false">
      <c r="A3550" s="1" t="n">
        <v>3549</v>
      </c>
      <c r="B3550" s="6" t="str">
        <f aca="false">HYPERLINK("https://mncourtfraud.com/file/MCRO_27-CR-23-8560_Order-Evaluation for Competency to Proceed (Rule 20.01)_2023-04-25_20240430073450.pdf","MCRO_27-CR-23-8560_Order-Evaluation for Competency to Proceed (Rule 20.01)_2023-04-25_20240430073450.pdf")</f>
        <v>MCRO_27-CR-23-8560_Order-Evaluation for Competency to Proceed (Rule 20.01)_2023-04-25_20240430073450.pdf</v>
      </c>
      <c r="C3550" s="1" t="n">
        <v>4</v>
      </c>
      <c r="D3550" s="1" t="n">
        <v>1</v>
      </c>
      <c r="E3550" s="1" t="n">
        <v>1</v>
      </c>
      <c r="F3550" s="3" t="s">
        <v>20</v>
      </c>
      <c r="G3550" s="3" t="s">
        <v>14281</v>
      </c>
      <c r="H3550" s="1" t="s">
        <v>22</v>
      </c>
      <c r="I3550" s="1" t="n">
        <v>20240430073450</v>
      </c>
      <c r="J3550" s="3" t="s">
        <v>14282</v>
      </c>
      <c r="K3550" s="3" t="s">
        <v>14283</v>
      </c>
      <c r="L3550" s="3" t="s">
        <v>14284</v>
      </c>
      <c r="M3550" s="3" t="n">
        <v>139078</v>
      </c>
      <c r="N3550" s="3" t="s">
        <v>1159</v>
      </c>
      <c r="O3550" s="1" t="n">
        <v>122692</v>
      </c>
      <c r="P3550" s="1" t="n">
        <v>88.22</v>
      </c>
      <c r="Q3550" s="1" t="s">
        <v>20</v>
      </c>
      <c r="R3550" s="1" t="s">
        <v>27</v>
      </c>
      <c r="S3550" s="1" t="s">
        <v>28</v>
      </c>
      <c r="T3550" s="1" t="s">
        <v>29</v>
      </c>
    </row>
    <row r="3551" customFormat="false" ht="18.7" hidden="false" customHeight="true" outlineLevel="0" collapsed="false">
      <c r="A3551" s="1" t="n">
        <v>3550</v>
      </c>
      <c r="B3551" s="6" t="str">
        <f aca="false">HYPERLINK("https://mncourtfraud.com/file/MCRO_27-CR-23-8649_Finding of Incompetency and Order_2024-03-12_20240430073550.pdf","MCRO_27-CR-23-8649_Finding of Incompetency and Order_2024-03-12_20240430073550.pdf")</f>
        <v>MCRO_27-CR-23-8649_Finding of Incompetency and Order_2024-03-12_20240430073550.pdf</v>
      </c>
      <c r="C3551" s="1" t="n">
        <v>5</v>
      </c>
      <c r="D3551" s="1" t="n">
        <v>1</v>
      </c>
      <c r="E3551" s="1" t="n">
        <v>1</v>
      </c>
      <c r="F3551" s="3" t="s">
        <v>20</v>
      </c>
      <c r="G3551" s="3" t="s">
        <v>14285</v>
      </c>
      <c r="H3551" s="1" t="s">
        <v>22</v>
      </c>
      <c r="I3551" s="1" t="n">
        <v>20240430073550</v>
      </c>
      <c r="J3551" s="3" t="s">
        <v>14286</v>
      </c>
      <c r="K3551" s="3" t="s">
        <v>14287</v>
      </c>
      <c r="L3551" s="3" t="s">
        <v>12487</v>
      </c>
      <c r="M3551" s="3" t="n">
        <v>832561</v>
      </c>
      <c r="N3551" s="3" t="s">
        <v>1489</v>
      </c>
      <c r="O3551" s="1" t="n">
        <v>816175</v>
      </c>
      <c r="P3551" s="1" t="n">
        <v>98.03</v>
      </c>
      <c r="Q3551" s="1" t="s">
        <v>20</v>
      </c>
      <c r="R3551" s="1" t="s">
        <v>27</v>
      </c>
      <c r="S3551" s="1" t="s">
        <v>28</v>
      </c>
      <c r="T3551" s="1" t="s">
        <v>29</v>
      </c>
    </row>
    <row r="3552" customFormat="false" ht="18.7" hidden="false" customHeight="true" outlineLevel="0" collapsed="false">
      <c r="A3552" s="1" t="n">
        <v>3551</v>
      </c>
      <c r="B3552" s="6" t="str">
        <f aca="false">HYPERLINK("https://mncourtfraud.com/file/MCRO_27-CR-23-8649_Formal Complaint Filed_2023-04-26_20240430073558.pdf","MCRO_27-CR-23-8649_Formal Complaint Filed_2023-04-26_20240430073558.pdf")</f>
        <v>MCRO_27-CR-23-8649_Formal Complaint Filed_2023-04-26_20240430073558.pdf</v>
      </c>
      <c r="C3552" s="1" t="n">
        <v>4</v>
      </c>
      <c r="D3552" s="1" t="n">
        <v>1</v>
      </c>
      <c r="E3552" s="1" t="n">
        <v>1</v>
      </c>
      <c r="F3552" s="3" t="s">
        <v>20</v>
      </c>
      <c r="G3552" s="3" t="s">
        <v>14288</v>
      </c>
      <c r="H3552" s="1" t="s">
        <v>22</v>
      </c>
      <c r="I3552" s="1" t="n">
        <v>20240430073558</v>
      </c>
      <c r="J3552" s="3" t="s">
        <v>14289</v>
      </c>
      <c r="K3552" s="3" t="s">
        <v>14290</v>
      </c>
      <c r="L3552" s="3" t="s">
        <v>14291</v>
      </c>
      <c r="M3552" s="3" t="n">
        <v>990670</v>
      </c>
      <c r="N3552" s="3" t="s">
        <v>722</v>
      </c>
      <c r="O3552" s="1" t="n">
        <v>974284</v>
      </c>
      <c r="P3552" s="1" t="n">
        <v>98.35</v>
      </c>
      <c r="Q3552" s="1" t="s">
        <v>20</v>
      </c>
      <c r="R3552" s="1" t="s">
        <v>27</v>
      </c>
      <c r="S3552" s="1" t="s">
        <v>28</v>
      </c>
      <c r="T3552" s="1" t="s">
        <v>29</v>
      </c>
    </row>
    <row r="3553" customFormat="false" ht="18.7" hidden="false" customHeight="true" outlineLevel="0" collapsed="false">
      <c r="A3553" s="1" t="n">
        <v>3552</v>
      </c>
      <c r="B3553" s="6" t="str">
        <f aca="false">HYPERLINK("https://mncourtfraud.com/file/MCRO_27-CR-23-8649_Notice of Hearing_2024-03-12_20240430073548.pdf","MCRO_27-CR-23-8649_Notice of Hearing_2024-03-12_20240430073548.pdf")</f>
        <v>MCRO_27-CR-23-8649_Notice of Hearing_2024-03-12_20240430073548.pdf</v>
      </c>
      <c r="C3553" s="1" t="n">
        <v>4</v>
      </c>
      <c r="D3553" s="1" t="n">
        <v>1</v>
      </c>
      <c r="E3553" s="1" t="n">
        <v>1</v>
      </c>
      <c r="F3553" s="3" t="s">
        <v>20</v>
      </c>
      <c r="G3553" s="3" t="s">
        <v>14292</v>
      </c>
      <c r="H3553" s="1" t="s">
        <v>22</v>
      </c>
      <c r="I3553" s="1" t="n">
        <v>20240430073548</v>
      </c>
      <c r="J3553" s="3" t="s">
        <v>14293</v>
      </c>
      <c r="K3553" s="3" t="s">
        <v>14294</v>
      </c>
      <c r="L3553" s="3" t="s">
        <v>14295</v>
      </c>
      <c r="M3553" s="3" t="n">
        <v>255844</v>
      </c>
      <c r="N3553" s="3" t="s">
        <v>74</v>
      </c>
      <c r="O3553" s="1" t="n">
        <v>239458</v>
      </c>
      <c r="P3553" s="1" t="n">
        <v>93.6</v>
      </c>
      <c r="Q3553" s="1" t="s">
        <v>20</v>
      </c>
      <c r="R3553" s="1" t="s">
        <v>27</v>
      </c>
      <c r="S3553" s="1" t="s">
        <v>28</v>
      </c>
      <c r="T3553" s="1" t="s">
        <v>29</v>
      </c>
    </row>
    <row r="3554" customFormat="false" ht="18.7" hidden="false" customHeight="true" outlineLevel="0" collapsed="false">
      <c r="A3554" s="1" t="n">
        <v>3553</v>
      </c>
      <c r="B3554" s="6" t="str">
        <f aca="false">HYPERLINK("https://mncourtfraud.com/file/MCRO_27-CR-23-8649_Notice of Intent to Prosecute_2023-08-25_20240430073557.pdf","MCRO_27-CR-23-8649_Notice of Intent to Prosecute_2023-08-25_20240430073557.pdf")</f>
        <v>MCRO_27-CR-23-8649_Notice of Intent to Prosecute_2023-08-25_20240430073557.pdf</v>
      </c>
      <c r="C3554" s="1" t="n">
        <v>3</v>
      </c>
      <c r="D3554" s="1" t="n">
        <v>1</v>
      </c>
      <c r="E3554" s="1" t="n">
        <v>1</v>
      </c>
      <c r="F3554" s="3" t="s">
        <v>20</v>
      </c>
      <c r="G3554" s="3" t="s">
        <v>14296</v>
      </c>
      <c r="H3554" s="1" t="s">
        <v>22</v>
      </c>
      <c r="I3554" s="1" t="n">
        <v>20240430073557</v>
      </c>
      <c r="J3554" s="3" t="s">
        <v>14297</v>
      </c>
      <c r="K3554" s="3" t="s">
        <v>14298</v>
      </c>
      <c r="L3554" s="3" t="s">
        <v>14299</v>
      </c>
      <c r="M3554" s="3" t="n">
        <v>135979</v>
      </c>
      <c r="N3554" s="3" t="s">
        <v>764</v>
      </c>
      <c r="O3554" s="1" t="n">
        <v>119593</v>
      </c>
      <c r="P3554" s="1" t="n">
        <v>87.95</v>
      </c>
      <c r="Q3554" s="1" t="s">
        <v>20</v>
      </c>
      <c r="R3554" s="1" t="s">
        <v>27</v>
      </c>
      <c r="S3554" s="1" t="s">
        <v>28</v>
      </c>
      <c r="T3554" s="1" t="s">
        <v>29</v>
      </c>
    </row>
    <row r="3555" customFormat="false" ht="18.7" hidden="false" customHeight="true" outlineLevel="0" collapsed="false">
      <c r="A3555" s="1" t="n">
        <v>3554</v>
      </c>
      <c r="B3555" s="6" t="str">
        <f aca="false">HYPERLINK("https://mncourtfraud.com/file/MCRO_27-CR-23-8649_Notice of Intent to Prosecute_2024-02-27_20240430073553.pdf","MCRO_27-CR-23-8649_Notice of Intent to Prosecute_2024-02-27_20240430073553.pdf")</f>
        <v>MCRO_27-CR-23-8649_Notice of Intent to Prosecute_2024-02-27_20240430073553.pdf</v>
      </c>
      <c r="C3555" s="1" t="n">
        <v>3</v>
      </c>
      <c r="D3555" s="1" t="n">
        <v>1</v>
      </c>
      <c r="E3555" s="1" t="n">
        <v>1</v>
      </c>
      <c r="F3555" s="3" t="s">
        <v>20</v>
      </c>
      <c r="G3555" s="3" t="s">
        <v>14300</v>
      </c>
      <c r="H3555" s="1" t="s">
        <v>22</v>
      </c>
      <c r="I3555" s="1" t="n">
        <v>20240430073553</v>
      </c>
      <c r="J3555" s="3" t="s">
        <v>14301</v>
      </c>
      <c r="K3555" s="3" t="s">
        <v>14302</v>
      </c>
      <c r="L3555" s="3" t="s">
        <v>14303</v>
      </c>
      <c r="M3555" s="3" t="n">
        <v>137081</v>
      </c>
      <c r="N3555" s="3" t="s">
        <v>12907</v>
      </c>
      <c r="O3555" s="1" t="n">
        <v>120695</v>
      </c>
      <c r="P3555" s="1" t="n">
        <v>88.05</v>
      </c>
      <c r="Q3555" s="1" t="s">
        <v>20</v>
      </c>
      <c r="R3555" s="1" t="s">
        <v>27</v>
      </c>
      <c r="S3555" s="1" t="s">
        <v>28</v>
      </c>
      <c r="T3555" s="1" t="s">
        <v>29</v>
      </c>
    </row>
    <row r="3556" customFormat="false" ht="18.7" hidden="false" customHeight="true" outlineLevel="0" collapsed="false">
      <c r="A3556" s="1" t="n">
        <v>3555</v>
      </c>
      <c r="B3556" s="6" t="str">
        <f aca="false">HYPERLINK("https://mncourtfraud.com/file/MCRO_27-CR-23-8649_Notice of Remote Hearing with Instructions_2023-08-29_20240430073556.pdf","MCRO_27-CR-23-8649_Notice of Remote Hearing with Instructions_2023-08-29_20240430073556.pdf")</f>
        <v>MCRO_27-CR-23-8649_Notice of Remote Hearing with Instructions_2023-08-29_20240430073556.pdf</v>
      </c>
      <c r="C3556" s="1" t="n">
        <v>5</v>
      </c>
      <c r="D3556" s="1" t="n">
        <v>1</v>
      </c>
      <c r="E3556" s="1" t="n">
        <v>1</v>
      </c>
      <c r="F3556" s="3" t="s">
        <v>20</v>
      </c>
      <c r="G3556" s="3" t="s">
        <v>14304</v>
      </c>
      <c r="H3556" s="1" t="s">
        <v>22</v>
      </c>
      <c r="I3556" s="1" t="n">
        <v>20240430073556</v>
      </c>
      <c r="J3556" s="3" t="s">
        <v>14305</v>
      </c>
      <c r="K3556" s="3" t="s">
        <v>14306</v>
      </c>
      <c r="L3556" s="3" t="s">
        <v>14307</v>
      </c>
      <c r="M3556" s="3" t="n">
        <v>844616</v>
      </c>
      <c r="N3556" s="3" t="s">
        <v>1579</v>
      </c>
      <c r="O3556" s="1" t="n">
        <v>828230</v>
      </c>
      <c r="P3556" s="1" t="n">
        <v>98.06</v>
      </c>
      <c r="Q3556" s="1" t="s">
        <v>20</v>
      </c>
      <c r="R3556" s="1" t="s">
        <v>27</v>
      </c>
      <c r="S3556" s="1" t="s">
        <v>28</v>
      </c>
      <c r="T3556" s="1" t="s">
        <v>29</v>
      </c>
    </row>
    <row r="3557" customFormat="false" ht="18.7" hidden="false" customHeight="true" outlineLevel="0" collapsed="false">
      <c r="A3557" s="1" t="n">
        <v>3556</v>
      </c>
      <c r="B3557" s="6" t="str">
        <f aca="false">HYPERLINK("https://mncourtfraud.com/file/MCRO_27-CR-23-8649_Notice of Remote Hearing with Instructions_2024-02-27_20240430073552.pdf","MCRO_27-CR-23-8649_Notice of Remote Hearing with Instructions_2024-02-27_20240430073552.pdf")</f>
        <v>MCRO_27-CR-23-8649_Notice of Remote Hearing with Instructions_2024-02-27_20240430073552.pdf</v>
      </c>
      <c r="C3557" s="1" t="n">
        <v>4</v>
      </c>
      <c r="D3557" s="1" t="n">
        <v>1</v>
      </c>
      <c r="E3557" s="1" t="n">
        <v>1</v>
      </c>
      <c r="F3557" s="3" t="s">
        <v>20</v>
      </c>
      <c r="G3557" s="3" t="s">
        <v>14308</v>
      </c>
      <c r="H3557" s="1" t="s">
        <v>22</v>
      </c>
      <c r="I3557" s="1" t="n">
        <v>20240430073552</v>
      </c>
      <c r="J3557" s="3" t="s">
        <v>14309</v>
      </c>
      <c r="K3557" s="3" t="s">
        <v>14310</v>
      </c>
      <c r="L3557" s="3" t="s">
        <v>14311</v>
      </c>
      <c r="M3557" s="3" t="n">
        <v>255884</v>
      </c>
      <c r="N3557" s="3" t="s">
        <v>74</v>
      </c>
      <c r="O3557" s="1" t="n">
        <v>239498</v>
      </c>
      <c r="P3557" s="1" t="n">
        <v>93.6</v>
      </c>
      <c r="Q3557" s="1" t="s">
        <v>20</v>
      </c>
      <c r="R3557" s="1" t="s">
        <v>27</v>
      </c>
      <c r="S3557" s="1" t="s">
        <v>28</v>
      </c>
      <c r="T3557" s="1" t="s">
        <v>29</v>
      </c>
    </row>
    <row r="3558" customFormat="false" ht="18.7" hidden="false" customHeight="true" outlineLevel="0" collapsed="false">
      <c r="A3558" s="1" t="n">
        <v>3557</v>
      </c>
      <c r="B3558" s="6" t="str">
        <f aca="false">HYPERLINK("https://mncourtfraud.com/file/MCRO_27-CR-23-8649_Notice of Remote Hearing with Instructions_2024-03-05_20240430073551.pdf","MCRO_27-CR-23-8649_Notice of Remote Hearing with Instructions_2024-03-05_20240430073551.pdf")</f>
        <v>MCRO_27-CR-23-8649_Notice of Remote Hearing with Instructions_2024-03-05_20240430073551.pdf</v>
      </c>
      <c r="C3558" s="1" t="n">
        <v>4</v>
      </c>
      <c r="D3558" s="1" t="n">
        <v>1</v>
      </c>
      <c r="E3558" s="1" t="n">
        <v>1</v>
      </c>
      <c r="F3558" s="3" t="s">
        <v>20</v>
      </c>
      <c r="G3558" s="3" t="s">
        <v>14312</v>
      </c>
      <c r="H3558" s="1" t="s">
        <v>22</v>
      </c>
      <c r="I3558" s="1" t="n">
        <v>20240430073551</v>
      </c>
      <c r="J3558" s="3" t="s">
        <v>14313</v>
      </c>
      <c r="K3558" s="3" t="s">
        <v>14314</v>
      </c>
      <c r="L3558" s="3" t="s">
        <v>14315</v>
      </c>
      <c r="M3558" s="3" t="n">
        <v>255668</v>
      </c>
      <c r="N3558" s="3" t="s">
        <v>74</v>
      </c>
      <c r="O3558" s="1" t="n">
        <v>239282</v>
      </c>
      <c r="P3558" s="1" t="n">
        <v>93.59</v>
      </c>
      <c r="Q3558" s="1" t="s">
        <v>20</v>
      </c>
      <c r="R3558" s="1" t="s">
        <v>27</v>
      </c>
      <c r="S3558" s="1" t="s">
        <v>28</v>
      </c>
      <c r="T3558" s="1" t="s">
        <v>29</v>
      </c>
    </row>
    <row r="3559" customFormat="false" ht="18.7" hidden="false" customHeight="true" outlineLevel="0" collapsed="false">
      <c r="A3559" s="1" t="n">
        <v>3558</v>
      </c>
      <c r="B3559" s="6" t="str">
        <f aca="false">HYPERLINK("https://mncourtfraud.com/file/MCRO_27-CR-23-8649_Notice of Remote Hearing with Instructions_2024-03-12_20240430073549.pdf","MCRO_27-CR-23-8649_Notice of Remote Hearing with Instructions_2024-03-12_20240430073549.pdf")</f>
        <v>MCRO_27-CR-23-8649_Notice of Remote Hearing with Instructions_2024-03-12_20240430073549.pdf</v>
      </c>
      <c r="C3559" s="1" t="n">
        <v>4</v>
      </c>
      <c r="D3559" s="1" t="n">
        <v>1</v>
      </c>
      <c r="E3559" s="1" t="n">
        <v>1</v>
      </c>
      <c r="F3559" s="3" t="s">
        <v>20</v>
      </c>
      <c r="G3559" s="3" t="s">
        <v>14316</v>
      </c>
      <c r="H3559" s="1" t="s">
        <v>22</v>
      </c>
      <c r="I3559" s="1" t="n">
        <v>20240430073549</v>
      </c>
      <c r="J3559" s="3" t="s">
        <v>14317</v>
      </c>
      <c r="K3559" s="3" t="s">
        <v>14318</v>
      </c>
      <c r="L3559" s="3" t="s">
        <v>6530</v>
      </c>
      <c r="M3559" s="3" t="n">
        <v>255641</v>
      </c>
      <c r="N3559" s="3" t="s">
        <v>74</v>
      </c>
      <c r="O3559" s="1" t="n">
        <v>239255</v>
      </c>
      <c r="P3559" s="1" t="n">
        <v>93.59</v>
      </c>
      <c r="Q3559" s="1" t="s">
        <v>20</v>
      </c>
      <c r="R3559" s="1" t="s">
        <v>27</v>
      </c>
      <c r="S3559" s="1" t="s">
        <v>28</v>
      </c>
      <c r="T3559" s="1" t="s">
        <v>29</v>
      </c>
    </row>
    <row r="3560" customFormat="false" ht="18.7" hidden="false" customHeight="true" outlineLevel="0" collapsed="false">
      <c r="A3560" s="1" t="n">
        <v>3559</v>
      </c>
      <c r="B3560" s="6" t="str">
        <f aca="false">HYPERLINK("https://mncourtfraud.com/file/MCRO_27-CR-23-8649_Order-Evaluation for Competency to Proceed (Rule 20.01)_2023-12-22_20240430073555.pdf","MCRO_27-CR-23-8649_Order-Evaluation for Competency to Proceed (Rule 20.01)_2023-12-22_20240430073555.pdf")</f>
        <v>MCRO_27-CR-23-8649_Order-Evaluation for Competency to Proceed (Rule 20.01)_2023-12-22_20240430073555.pdf</v>
      </c>
      <c r="C3560" s="1" t="n">
        <v>5</v>
      </c>
      <c r="D3560" s="1" t="n">
        <v>1</v>
      </c>
      <c r="E3560" s="1" t="n">
        <v>1</v>
      </c>
      <c r="F3560" s="3" t="s">
        <v>20</v>
      </c>
      <c r="G3560" s="3" t="s">
        <v>14319</v>
      </c>
      <c r="H3560" s="1" t="s">
        <v>22</v>
      </c>
      <c r="I3560" s="1" t="n">
        <v>20240430073555</v>
      </c>
      <c r="J3560" s="3" t="s">
        <v>14320</v>
      </c>
      <c r="K3560" s="3" t="s">
        <v>14321</v>
      </c>
      <c r="L3560" s="3" t="s">
        <v>3770</v>
      </c>
      <c r="M3560" s="3" t="n">
        <v>761663</v>
      </c>
      <c r="N3560" s="3" t="s">
        <v>1091</v>
      </c>
      <c r="O3560" s="1" t="n">
        <v>745277</v>
      </c>
      <c r="P3560" s="1" t="n">
        <v>97.85</v>
      </c>
      <c r="Q3560" s="1" t="s">
        <v>20</v>
      </c>
      <c r="R3560" s="1" t="s">
        <v>27</v>
      </c>
      <c r="S3560" s="1" t="s">
        <v>28</v>
      </c>
      <c r="T3560" s="1" t="s">
        <v>29</v>
      </c>
    </row>
    <row r="3561" customFormat="false" ht="18.7" hidden="false" customHeight="true" outlineLevel="0" collapsed="false">
      <c r="A3561" s="1" t="n">
        <v>3560</v>
      </c>
      <c r="B3561" s="6" t="str">
        <f aca="false">HYPERLINK("https://mncourtfraud.com/file/MCRO_27-CR-23-8649_Returned Mail_2024-03-19_20240430073547.pdf","MCRO_27-CR-23-8649_Returned Mail_2024-03-19_20240430073547.pdf")</f>
        <v>MCRO_27-CR-23-8649_Returned Mail_2024-03-19_20240430073547.pdf</v>
      </c>
      <c r="C3561" s="1" t="n">
        <v>4</v>
      </c>
      <c r="D3561" s="1" t="n">
        <v>1</v>
      </c>
      <c r="E3561" s="1" t="n">
        <v>1</v>
      </c>
      <c r="F3561" s="3" t="s">
        <v>20</v>
      </c>
      <c r="G3561" s="3" t="s">
        <v>14322</v>
      </c>
      <c r="H3561" s="1" t="s">
        <v>22</v>
      </c>
      <c r="I3561" s="1" t="n">
        <v>20240430073547</v>
      </c>
      <c r="J3561" s="3" t="s">
        <v>14323</v>
      </c>
      <c r="K3561" s="3" t="s">
        <v>14324</v>
      </c>
      <c r="L3561" s="3" t="s">
        <v>14325</v>
      </c>
      <c r="M3561" s="3" t="n">
        <v>88032</v>
      </c>
      <c r="N3561" s="3" t="s">
        <v>435</v>
      </c>
      <c r="O3561" s="1" t="n">
        <v>71646</v>
      </c>
      <c r="P3561" s="1" t="n">
        <v>81.39</v>
      </c>
      <c r="Q3561" s="1" t="s">
        <v>20</v>
      </c>
      <c r="R3561" s="1" t="s">
        <v>27</v>
      </c>
      <c r="S3561" s="1" t="s">
        <v>28</v>
      </c>
      <c r="T3561" s="1" t="s">
        <v>29</v>
      </c>
    </row>
    <row r="3562" customFormat="false" ht="18.7" hidden="false" customHeight="true" outlineLevel="0" collapsed="false">
      <c r="A3562" s="1" t="n">
        <v>3561</v>
      </c>
      <c r="B3562" s="6" t="str">
        <f aca="false">HYPERLINK("https://mncourtfraud.com/file/MCRO_27-CR-23-8721_E-filed Comp-Order for Detention_2023-04-26_20240430073634.pdf","MCRO_27-CR-23-8721_E-filed Comp-Order for Detention_2023-04-26_20240430073634.pdf")</f>
        <v>MCRO_27-CR-23-8721_E-filed Comp-Order for Detention_2023-04-26_20240430073634.pdf</v>
      </c>
      <c r="C3562" s="1" t="n">
        <v>5</v>
      </c>
      <c r="D3562" s="1" t="n">
        <v>2</v>
      </c>
      <c r="E3562" s="1" t="n">
        <v>2</v>
      </c>
      <c r="F3562" s="3" t="s">
        <v>20</v>
      </c>
      <c r="G3562" s="3" t="s">
        <v>14326</v>
      </c>
      <c r="H3562" s="1" t="s">
        <v>22</v>
      </c>
      <c r="I3562" s="1" t="n">
        <v>20240430073634</v>
      </c>
      <c r="J3562" s="3" t="s">
        <v>14327</v>
      </c>
      <c r="K3562" s="3" t="s">
        <v>14328</v>
      </c>
      <c r="L3562" s="3" t="s">
        <v>14329</v>
      </c>
      <c r="M3562" s="3" t="n">
        <v>443236</v>
      </c>
      <c r="N3562" s="3" t="s">
        <v>10787</v>
      </c>
      <c r="O3562" s="1" t="n">
        <v>426850</v>
      </c>
      <c r="P3562" s="1" t="n">
        <v>96.3</v>
      </c>
      <c r="Q3562" s="1" t="s">
        <v>20</v>
      </c>
      <c r="R3562" s="1" t="s">
        <v>27</v>
      </c>
      <c r="S3562" s="1" t="s">
        <v>28</v>
      </c>
      <c r="T3562" s="1" t="s">
        <v>29</v>
      </c>
    </row>
    <row r="3563" customFormat="false" ht="18.7" hidden="false" customHeight="true" outlineLevel="0" collapsed="false">
      <c r="A3563" s="1" t="n">
        <v>3562</v>
      </c>
      <c r="B3563" s="6" t="str">
        <f aca="false">HYPERLINK("https://mncourtfraud.com/file/MCRO_27-CR-23-8721_Notice of Hearing_2023-04-27_20240430073633.pdf","MCRO_27-CR-23-8721_Notice of Hearing_2023-04-27_20240430073633.pdf")</f>
        <v>MCRO_27-CR-23-8721_Notice of Hearing_2023-04-27_20240430073633.pdf</v>
      </c>
      <c r="C3563" s="1" t="n">
        <v>4</v>
      </c>
      <c r="D3563" s="1" t="n">
        <v>1</v>
      </c>
      <c r="E3563" s="1" t="n">
        <v>1</v>
      </c>
      <c r="F3563" s="3" t="s">
        <v>20</v>
      </c>
      <c r="G3563" s="3" t="s">
        <v>14330</v>
      </c>
      <c r="H3563" s="1" t="s">
        <v>22</v>
      </c>
      <c r="I3563" s="1" t="n">
        <v>20240430073633</v>
      </c>
      <c r="J3563" s="3" t="s">
        <v>14331</v>
      </c>
      <c r="K3563" s="3" t="s">
        <v>14332</v>
      </c>
      <c r="L3563" s="3" t="s">
        <v>14333</v>
      </c>
      <c r="M3563" s="3" t="n">
        <v>455381</v>
      </c>
      <c r="N3563" s="3" t="s">
        <v>158</v>
      </c>
      <c r="O3563" s="1" t="n">
        <v>438995</v>
      </c>
      <c r="P3563" s="1" t="n">
        <v>96.4</v>
      </c>
      <c r="Q3563" s="1" t="s">
        <v>20</v>
      </c>
      <c r="R3563" s="1" t="s">
        <v>27</v>
      </c>
      <c r="S3563" s="1" t="s">
        <v>28</v>
      </c>
      <c r="T3563" s="1" t="s">
        <v>29</v>
      </c>
    </row>
    <row r="3564" customFormat="false" ht="18.7" hidden="false" customHeight="true" outlineLevel="0" collapsed="false">
      <c r="A3564" s="1" t="n">
        <v>3563</v>
      </c>
      <c r="B3564" s="6" t="str">
        <f aca="false">HYPERLINK("https://mncourtfraud.com/file/MCRO_27-CR-23-8721_Notice of Remote Hearing with Instructions_2023-04-27_20240430073631.pdf","MCRO_27-CR-23-8721_Notice of Remote Hearing with Instructions_2023-04-27_20240430073631.pdf")</f>
        <v>MCRO_27-CR-23-8721_Notice of Remote Hearing with Instructions_2023-04-27_20240430073631.pdf</v>
      </c>
      <c r="C3564" s="1" t="n">
        <v>4</v>
      </c>
      <c r="D3564" s="1" t="n">
        <v>1</v>
      </c>
      <c r="E3564" s="1" t="n">
        <v>1</v>
      </c>
      <c r="F3564" s="3" t="s">
        <v>20</v>
      </c>
      <c r="G3564" s="3" t="s">
        <v>14334</v>
      </c>
      <c r="H3564" s="1" t="s">
        <v>22</v>
      </c>
      <c r="I3564" s="1" t="n">
        <v>20240430073631</v>
      </c>
      <c r="J3564" s="3" t="s">
        <v>14335</v>
      </c>
      <c r="K3564" s="3" t="s">
        <v>14336</v>
      </c>
      <c r="L3564" s="3" t="s">
        <v>14337</v>
      </c>
      <c r="M3564" s="3" t="n">
        <v>855402</v>
      </c>
      <c r="N3564" s="3" t="s">
        <v>1128</v>
      </c>
      <c r="O3564" s="1" t="n">
        <v>839016</v>
      </c>
      <c r="P3564" s="1" t="n">
        <v>98.08</v>
      </c>
      <c r="Q3564" s="1" t="s">
        <v>20</v>
      </c>
      <c r="R3564" s="1" t="s">
        <v>27</v>
      </c>
      <c r="S3564" s="1" t="s">
        <v>28</v>
      </c>
      <c r="T3564" s="1" t="s">
        <v>29</v>
      </c>
    </row>
    <row r="3565" customFormat="false" ht="18.7" hidden="false" customHeight="true" outlineLevel="0" collapsed="false">
      <c r="A3565" s="1" t="n">
        <v>3564</v>
      </c>
      <c r="B3565" s="6" t="str">
        <f aca="false">HYPERLINK("https://mncourtfraud.com/file/MCRO_27-CR-23-8721_Notice of Remote Hearing with Instructions_2023-06-28_20240430073629.pdf","MCRO_27-CR-23-8721_Notice of Remote Hearing with Instructions_2023-06-28_20240430073629.pdf")</f>
        <v>MCRO_27-CR-23-8721_Notice of Remote Hearing with Instructions_2023-06-28_20240430073629.pdf</v>
      </c>
      <c r="C3565" s="1" t="n">
        <v>5</v>
      </c>
      <c r="D3565" s="1" t="n">
        <v>1</v>
      </c>
      <c r="E3565" s="1" t="n">
        <v>1</v>
      </c>
      <c r="F3565" s="3" t="s">
        <v>20</v>
      </c>
      <c r="G3565" s="3" t="s">
        <v>14338</v>
      </c>
      <c r="H3565" s="1" t="s">
        <v>22</v>
      </c>
      <c r="I3565" s="1" t="n">
        <v>20240430073629</v>
      </c>
      <c r="J3565" s="3" t="s">
        <v>14339</v>
      </c>
      <c r="K3565" s="3" t="s">
        <v>14340</v>
      </c>
      <c r="L3565" s="3" t="s">
        <v>14341</v>
      </c>
      <c r="M3565" s="3" t="n">
        <v>844883</v>
      </c>
      <c r="N3565" s="3" t="s">
        <v>510</v>
      </c>
      <c r="O3565" s="1" t="n">
        <v>828497</v>
      </c>
      <c r="P3565" s="1" t="n">
        <v>98.06</v>
      </c>
      <c r="Q3565" s="1" t="s">
        <v>20</v>
      </c>
      <c r="R3565" s="1" t="s">
        <v>27</v>
      </c>
      <c r="S3565" s="1" t="s">
        <v>28</v>
      </c>
      <c r="T3565" s="1" t="s">
        <v>29</v>
      </c>
    </row>
    <row r="3566" customFormat="false" ht="18.7" hidden="false" customHeight="true" outlineLevel="0" collapsed="false">
      <c r="A3566" s="1" t="n">
        <v>3565</v>
      </c>
      <c r="B3566" s="6" t="str">
        <f aca="false">HYPERLINK("https://mncourtfraud.com/file/MCRO_27-CR-23-8721_Notice of Remote Hearing with Instructions_2023-11-09_20240430073627.pdf","MCRO_27-CR-23-8721_Notice of Remote Hearing with Instructions_2023-11-09_20240430073627.pdf")</f>
        <v>MCRO_27-CR-23-8721_Notice of Remote Hearing with Instructions_2023-11-09_20240430073627.pdf</v>
      </c>
      <c r="C3566" s="1" t="n">
        <v>3</v>
      </c>
      <c r="D3566" s="1" t="n">
        <v>1</v>
      </c>
      <c r="E3566" s="1" t="n">
        <v>1</v>
      </c>
      <c r="F3566" s="3" t="s">
        <v>20</v>
      </c>
      <c r="G3566" s="3" t="s">
        <v>14342</v>
      </c>
      <c r="H3566" s="1" t="s">
        <v>22</v>
      </c>
      <c r="I3566" s="1" t="n">
        <v>20240430073627</v>
      </c>
      <c r="J3566" s="3" t="s">
        <v>14343</v>
      </c>
      <c r="K3566" s="3" t="s">
        <v>14344</v>
      </c>
      <c r="L3566" s="3" t="s">
        <v>14345</v>
      </c>
      <c r="M3566" s="3" t="n">
        <v>741960</v>
      </c>
      <c r="N3566" s="3" t="s">
        <v>7445</v>
      </c>
      <c r="O3566" s="1" t="n">
        <v>725574</v>
      </c>
      <c r="P3566" s="1" t="n">
        <v>97.79</v>
      </c>
      <c r="Q3566" s="1" t="s">
        <v>20</v>
      </c>
      <c r="R3566" s="1" t="s">
        <v>27</v>
      </c>
      <c r="S3566" s="1" t="s">
        <v>28</v>
      </c>
      <c r="T3566" s="1" t="s">
        <v>29</v>
      </c>
    </row>
    <row r="3567" customFormat="false" ht="18.7" hidden="false" customHeight="true" outlineLevel="0" collapsed="false">
      <c r="A3567" s="1" t="n">
        <v>3566</v>
      </c>
      <c r="B3567" s="6" t="str">
        <f aca="false">HYPERLINK("https://mncourtfraud.com/file/MCRO_27-CR-23-8721_Notice of Remote Hearing with Instructions_2024-01-23_20240430073625.pdf","MCRO_27-CR-23-8721_Notice of Remote Hearing with Instructions_2024-01-23_20240430073625.pdf")</f>
        <v>MCRO_27-CR-23-8721_Notice of Remote Hearing with Instructions_2024-01-23_20240430073625.pdf</v>
      </c>
      <c r="C3567" s="1" t="n">
        <v>4</v>
      </c>
      <c r="D3567" s="1" t="n">
        <v>1</v>
      </c>
      <c r="E3567" s="1" t="n">
        <v>1</v>
      </c>
      <c r="F3567" s="3" t="s">
        <v>20</v>
      </c>
      <c r="G3567" s="3" t="s">
        <v>14346</v>
      </c>
      <c r="H3567" s="1" t="s">
        <v>22</v>
      </c>
      <c r="I3567" s="1" t="n">
        <v>20240430073625</v>
      </c>
      <c r="J3567" s="3" t="s">
        <v>14347</v>
      </c>
      <c r="K3567" s="3" t="s">
        <v>14348</v>
      </c>
      <c r="L3567" s="3" t="s">
        <v>14349</v>
      </c>
      <c r="M3567" s="3" t="n">
        <v>286916</v>
      </c>
      <c r="N3567" s="3" t="s">
        <v>3103</v>
      </c>
      <c r="O3567" s="1" t="n">
        <v>270530</v>
      </c>
      <c r="P3567" s="1" t="n">
        <v>94.29</v>
      </c>
      <c r="Q3567" s="1" t="s">
        <v>20</v>
      </c>
      <c r="R3567" s="1" t="s">
        <v>27</v>
      </c>
      <c r="S3567" s="1" t="s">
        <v>28</v>
      </c>
      <c r="T3567" s="1" t="s">
        <v>29</v>
      </c>
    </row>
    <row r="3568" customFormat="false" ht="18.7" hidden="false" customHeight="true" outlineLevel="0" collapsed="false">
      <c r="A3568" s="1" t="n">
        <v>3567</v>
      </c>
      <c r="B3568" s="6" t="str">
        <f aca="false">HYPERLINK("https://mncourtfraud.com/file/MCRO_27-CR-23-8721_Notice of Remote Hearing with Instructions_2024-01-23_20240430073626.pdf","MCRO_27-CR-23-8721_Notice of Remote Hearing with Instructions_2024-01-23_20240430073626.pdf")</f>
        <v>MCRO_27-CR-23-8721_Notice of Remote Hearing with Instructions_2024-01-23_20240430073626.pdf</v>
      </c>
      <c r="C3568" s="1" t="n">
        <v>4</v>
      </c>
      <c r="D3568" s="1" t="n">
        <v>1</v>
      </c>
      <c r="E3568" s="1" t="n">
        <v>1</v>
      </c>
      <c r="F3568" s="3" t="s">
        <v>20</v>
      </c>
      <c r="G3568" s="3" t="s">
        <v>14350</v>
      </c>
      <c r="H3568" s="1" t="s">
        <v>22</v>
      </c>
      <c r="I3568" s="1" t="n">
        <v>20240430073626</v>
      </c>
      <c r="J3568" s="3" t="s">
        <v>14351</v>
      </c>
      <c r="K3568" s="3" t="s">
        <v>14352</v>
      </c>
      <c r="L3568" s="3" t="s">
        <v>14353</v>
      </c>
      <c r="M3568" s="3" t="n">
        <v>269227</v>
      </c>
      <c r="N3568" s="3" t="s">
        <v>74</v>
      </c>
      <c r="O3568" s="1" t="n">
        <v>252841</v>
      </c>
      <c r="P3568" s="1" t="n">
        <v>93.91</v>
      </c>
      <c r="Q3568" s="1" t="s">
        <v>20</v>
      </c>
      <c r="R3568" s="1" t="s">
        <v>27</v>
      </c>
      <c r="S3568" s="1" t="s">
        <v>28</v>
      </c>
      <c r="T3568" s="1" t="s">
        <v>29</v>
      </c>
    </row>
    <row r="3569" customFormat="false" ht="18.7" hidden="false" customHeight="true" outlineLevel="0" collapsed="false">
      <c r="A3569" s="1" t="n">
        <v>3568</v>
      </c>
      <c r="B3569" s="6" t="str">
        <f aca="false">HYPERLINK("https://mncourtfraud.com/file/MCRO_27-CR-23-8721_Notice of Remote Hearing with Instructions_2024-03-12_20240430073624.pdf","MCRO_27-CR-23-8721_Notice of Remote Hearing with Instructions_2024-03-12_20240430073624.pdf")</f>
        <v>MCRO_27-CR-23-8721_Notice of Remote Hearing with Instructions_2024-03-12_20240430073624.pdf</v>
      </c>
      <c r="C3569" s="1" t="n">
        <v>4</v>
      </c>
      <c r="D3569" s="1" t="n">
        <v>1</v>
      </c>
      <c r="E3569" s="1" t="n">
        <v>1</v>
      </c>
      <c r="F3569" s="3" t="s">
        <v>20</v>
      </c>
      <c r="G3569" s="3" t="s">
        <v>14354</v>
      </c>
      <c r="H3569" s="1" t="s">
        <v>22</v>
      </c>
      <c r="I3569" s="1" t="n">
        <v>20240430073624</v>
      </c>
      <c r="J3569" s="3" t="s">
        <v>14355</v>
      </c>
      <c r="K3569" s="3" t="s">
        <v>14356</v>
      </c>
      <c r="L3569" s="3" t="s">
        <v>14357</v>
      </c>
      <c r="M3569" s="3" t="n">
        <v>255428</v>
      </c>
      <c r="N3569" s="3" t="s">
        <v>74</v>
      </c>
      <c r="O3569" s="1" t="n">
        <v>239042</v>
      </c>
      <c r="P3569" s="1" t="n">
        <v>93.58</v>
      </c>
      <c r="Q3569" s="1" t="s">
        <v>20</v>
      </c>
      <c r="R3569" s="1" t="s">
        <v>27</v>
      </c>
      <c r="S3569" s="1" t="s">
        <v>28</v>
      </c>
      <c r="T3569" s="1" t="s">
        <v>29</v>
      </c>
    </row>
    <row r="3570" customFormat="false" ht="18.7" hidden="false" customHeight="true" outlineLevel="0" collapsed="false">
      <c r="A3570" s="1" t="n">
        <v>3569</v>
      </c>
      <c r="B3570" s="6" t="str">
        <f aca="false">HYPERLINK("https://mncourtfraud.com/file/MCRO_27-CR-23-8721_Order-Evaluation for Competency to Proceed (Rule 20.01)_2023-04-27_20240430073632.pdf","MCRO_27-CR-23-8721_Order-Evaluation for Competency to Proceed (Rule 20.01)_2023-04-27_20240430073632.pdf")</f>
        <v>MCRO_27-CR-23-8721_Order-Evaluation for Competency to Proceed (Rule 20.01)_2023-04-27_20240430073632.pdf</v>
      </c>
      <c r="C3570" s="1" t="n">
        <v>4</v>
      </c>
      <c r="D3570" s="1" t="n">
        <v>1</v>
      </c>
      <c r="E3570" s="1" t="n">
        <v>1</v>
      </c>
      <c r="F3570" s="3" t="s">
        <v>20</v>
      </c>
      <c r="G3570" s="3" t="s">
        <v>14358</v>
      </c>
      <c r="H3570" s="1" t="s">
        <v>22</v>
      </c>
      <c r="I3570" s="1" t="n">
        <v>20240430073632</v>
      </c>
      <c r="J3570" s="3" t="s">
        <v>14359</v>
      </c>
      <c r="K3570" s="3" t="s">
        <v>14360</v>
      </c>
      <c r="L3570" s="3" t="s">
        <v>14361</v>
      </c>
      <c r="M3570" s="3" t="n">
        <v>1022386</v>
      </c>
      <c r="N3570" s="3" t="s">
        <v>1128</v>
      </c>
      <c r="O3570" s="1" t="n">
        <v>1006000</v>
      </c>
      <c r="P3570" s="1" t="n">
        <v>98.4</v>
      </c>
      <c r="Q3570" s="1" t="s">
        <v>20</v>
      </c>
      <c r="R3570" s="1" t="s">
        <v>27</v>
      </c>
      <c r="S3570" s="1" t="s">
        <v>28</v>
      </c>
      <c r="T3570" s="1" t="s">
        <v>29</v>
      </c>
    </row>
    <row r="3571" customFormat="false" ht="18.7" hidden="false" customHeight="true" outlineLevel="0" collapsed="false">
      <c r="A3571" s="1" t="n">
        <v>3570</v>
      </c>
      <c r="B3571" s="6" t="str">
        <f aca="false">HYPERLINK("https://mncourtfraud.com/file/MCRO_27-CR-23-8721_Order-Evaluation for Competency to Proceed (Rule 20.01)_2023-11-09_20240430073628.pdf","MCRO_27-CR-23-8721_Order-Evaluation for Competency to Proceed (Rule 20.01)_2023-11-09_20240430073628.pdf")</f>
        <v>MCRO_27-CR-23-8721_Order-Evaluation for Competency to Proceed (Rule 20.01)_2023-11-09_20240430073628.pdf</v>
      </c>
      <c r="C3571" s="1" t="n">
        <v>3</v>
      </c>
      <c r="D3571" s="1" t="n">
        <v>1</v>
      </c>
      <c r="E3571" s="1" t="n">
        <v>1</v>
      </c>
      <c r="F3571" s="3" t="s">
        <v>20</v>
      </c>
      <c r="G3571" s="3" t="s">
        <v>14362</v>
      </c>
      <c r="H3571" s="1" t="s">
        <v>22</v>
      </c>
      <c r="I3571" s="1" t="n">
        <v>20240430073628</v>
      </c>
      <c r="J3571" s="3" t="s">
        <v>14363</v>
      </c>
      <c r="K3571" s="3" t="s">
        <v>14364</v>
      </c>
      <c r="L3571" s="3" t="s">
        <v>14365</v>
      </c>
      <c r="M3571" s="3" t="n">
        <v>837229</v>
      </c>
      <c r="N3571" s="3" t="s">
        <v>34</v>
      </c>
      <c r="O3571" s="1" t="n">
        <v>820843</v>
      </c>
      <c r="P3571" s="1" t="n">
        <v>98.04</v>
      </c>
      <c r="Q3571" s="1" t="s">
        <v>20</v>
      </c>
      <c r="R3571" s="1" t="s">
        <v>27</v>
      </c>
      <c r="S3571" s="1" t="s">
        <v>28</v>
      </c>
      <c r="T3571" s="1" t="s">
        <v>29</v>
      </c>
    </row>
    <row r="3572" customFormat="false" ht="18.7" hidden="false" customHeight="true" outlineLevel="0" collapsed="false">
      <c r="A3572" s="1" t="n">
        <v>3571</v>
      </c>
      <c r="B3572" s="6" t="str">
        <f aca="false">HYPERLINK("https://mncourtfraud.com/file/MCRO_27-CR-23-8721_Order for Conditional Release_2023-04-27_20240430073630.pdf","MCRO_27-CR-23-8721_Order for Conditional Release_2023-04-27_20240430073630.pdf")</f>
        <v>MCRO_27-CR-23-8721_Order for Conditional Release_2023-04-27_20240430073630.pdf</v>
      </c>
      <c r="C3572" s="1" t="n">
        <v>4</v>
      </c>
      <c r="D3572" s="1" t="n">
        <v>1</v>
      </c>
      <c r="E3572" s="1" t="n">
        <v>1</v>
      </c>
      <c r="F3572" s="3" t="s">
        <v>20</v>
      </c>
      <c r="G3572" s="3" t="s">
        <v>14366</v>
      </c>
      <c r="H3572" s="1" t="s">
        <v>22</v>
      </c>
      <c r="I3572" s="1" t="n">
        <v>20240430073630</v>
      </c>
      <c r="J3572" s="3" t="s">
        <v>14367</v>
      </c>
      <c r="K3572" s="3" t="s">
        <v>14368</v>
      </c>
      <c r="L3572" s="3" t="s">
        <v>14369</v>
      </c>
      <c r="M3572" s="3" t="n">
        <v>826096</v>
      </c>
      <c r="N3572" s="3" t="s">
        <v>158</v>
      </c>
      <c r="O3572" s="1" t="n">
        <v>809710</v>
      </c>
      <c r="P3572" s="1" t="n">
        <v>98.02</v>
      </c>
      <c r="Q3572" s="1" t="s">
        <v>20</v>
      </c>
      <c r="R3572" s="1" t="s">
        <v>27</v>
      </c>
      <c r="S3572" s="1" t="s">
        <v>28</v>
      </c>
      <c r="T3572" s="1" t="s">
        <v>29</v>
      </c>
    </row>
    <row r="3573" customFormat="false" ht="18.7" hidden="false" customHeight="true" outlineLevel="0" collapsed="false">
      <c r="A3573" s="1" t="n">
        <v>3572</v>
      </c>
      <c r="B3573" s="6" t="str">
        <f aca="false">HYPERLINK("https://mncourtfraud.com/file/MCRO_27-CR-23-883_E-filed Comp-Summons_2023-01-11_20240430072030.pdf","MCRO_27-CR-23-883_E-filed Comp-Summons_2023-01-11_20240430072030.pdf")</f>
        <v>MCRO_27-CR-23-883_E-filed Comp-Summons_2023-01-11_20240430072030.pdf</v>
      </c>
      <c r="C3573" s="1" t="n">
        <v>5</v>
      </c>
      <c r="D3573" s="1" t="n">
        <v>2</v>
      </c>
      <c r="E3573" s="1" t="n">
        <v>2</v>
      </c>
      <c r="F3573" s="3" t="s">
        <v>20</v>
      </c>
      <c r="G3573" s="3" t="s">
        <v>14370</v>
      </c>
      <c r="H3573" s="1" t="s">
        <v>22</v>
      </c>
      <c r="I3573" s="1" t="n">
        <v>20240430072030</v>
      </c>
      <c r="J3573" s="3" t="s">
        <v>14371</v>
      </c>
      <c r="K3573" s="3" t="s">
        <v>14372</v>
      </c>
      <c r="L3573" s="3" t="s">
        <v>14373</v>
      </c>
      <c r="M3573" s="3" t="n">
        <v>483045</v>
      </c>
      <c r="N3573" s="3" t="s">
        <v>6214</v>
      </c>
      <c r="O3573" s="1" t="n">
        <v>466659</v>
      </c>
      <c r="P3573" s="1" t="n">
        <v>96.61</v>
      </c>
      <c r="Q3573" s="1" t="s">
        <v>20</v>
      </c>
      <c r="R3573" s="1" t="s">
        <v>27</v>
      </c>
      <c r="S3573" s="1" t="s">
        <v>28</v>
      </c>
      <c r="T3573" s="1" t="s">
        <v>29</v>
      </c>
    </row>
    <row r="3574" customFormat="false" ht="18.7" hidden="false" customHeight="true" outlineLevel="0" collapsed="false">
      <c r="A3574" s="1" t="n">
        <v>3573</v>
      </c>
      <c r="B3574" s="6" t="str">
        <f aca="false">HYPERLINK("https://mncourtfraud.com/file/MCRO_27-CR-23-883_Order for Conditional Release_2023-02-13_20240430072027.pdf","MCRO_27-CR-23-883_Order for Conditional Release_2023-02-13_20240430072027.pdf")</f>
        <v>MCRO_27-CR-23-883_Order for Conditional Release_2023-02-13_20240430072027.pdf</v>
      </c>
      <c r="C3574" s="1" t="n">
        <v>4</v>
      </c>
      <c r="D3574" s="1" t="n">
        <v>1</v>
      </c>
      <c r="E3574" s="1" t="n">
        <v>1</v>
      </c>
      <c r="F3574" s="3" t="s">
        <v>20</v>
      </c>
      <c r="G3574" s="3" t="s">
        <v>14374</v>
      </c>
      <c r="H3574" s="1" t="s">
        <v>22</v>
      </c>
      <c r="I3574" s="1" t="n">
        <v>20240430072027</v>
      </c>
      <c r="J3574" s="3" t="s">
        <v>14375</v>
      </c>
      <c r="K3574" s="3" t="s">
        <v>14376</v>
      </c>
      <c r="L3574" s="3" t="s">
        <v>14377</v>
      </c>
      <c r="M3574" s="3" t="n">
        <v>112642</v>
      </c>
      <c r="N3574" s="3" t="s">
        <v>435</v>
      </c>
      <c r="O3574" s="1" t="n">
        <v>96256</v>
      </c>
      <c r="P3574" s="1" t="n">
        <v>85.45</v>
      </c>
      <c r="Q3574" s="1" t="s">
        <v>20</v>
      </c>
      <c r="R3574" s="1" t="s">
        <v>27</v>
      </c>
      <c r="S3574" s="1" t="s">
        <v>28</v>
      </c>
      <c r="T3574" s="1" t="s">
        <v>29</v>
      </c>
    </row>
    <row r="3575" customFormat="false" ht="18.7" hidden="false" customHeight="true" outlineLevel="0" collapsed="false">
      <c r="A3575" s="1" t="n">
        <v>3574</v>
      </c>
      <c r="B3575" s="6" t="str">
        <f aca="false">HYPERLINK("https://mncourtfraud.com/file/MCRO_27-CR-23-883_Order for Dismissal_2023-03-27_20240430072026.pdf","MCRO_27-CR-23-883_Order for Dismissal_2023-03-27_20240430072026.pdf")</f>
        <v>MCRO_27-CR-23-883_Order for Dismissal_2023-03-27_20240430072026.pdf</v>
      </c>
      <c r="C3575" s="1" t="n">
        <v>7</v>
      </c>
      <c r="D3575" s="1" t="n">
        <v>3</v>
      </c>
      <c r="E3575" s="1" t="n">
        <v>3</v>
      </c>
      <c r="F3575" s="3" t="s">
        <v>20</v>
      </c>
      <c r="G3575" s="3" t="s">
        <v>14378</v>
      </c>
      <c r="H3575" s="1" t="s">
        <v>22</v>
      </c>
      <c r="I3575" s="1" t="n">
        <v>20240430072026</v>
      </c>
      <c r="J3575" s="3" t="s">
        <v>14379</v>
      </c>
      <c r="K3575" s="3" t="s">
        <v>14380</v>
      </c>
      <c r="L3575" s="3" t="s">
        <v>14381</v>
      </c>
      <c r="M3575" s="3" t="n">
        <v>257375</v>
      </c>
      <c r="N3575" s="3" t="s">
        <v>2416</v>
      </c>
      <c r="O3575" s="1" t="n">
        <v>240989</v>
      </c>
      <c r="P3575" s="1" t="n">
        <v>93.63</v>
      </c>
      <c r="Q3575" s="1" t="s">
        <v>20</v>
      </c>
      <c r="R3575" s="1" t="s">
        <v>27</v>
      </c>
      <c r="S3575" s="1" t="s">
        <v>28</v>
      </c>
      <c r="T3575" s="1" t="s">
        <v>29</v>
      </c>
    </row>
    <row r="3576" customFormat="false" ht="18.7" hidden="false" customHeight="true" outlineLevel="0" collapsed="false">
      <c r="A3576" s="1" t="n">
        <v>3575</v>
      </c>
      <c r="B3576" s="6" t="str">
        <f aca="false">HYPERLINK("https://mncourtfraud.com/file/MCRO_27-CR-23-883_Summons_2023-01-11_20240430072029.pdf","MCRO_27-CR-23-883_Summons_2023-01-11_20240430072029.pdf")</f>
        <v>MCRO_27-CR-23-883_Summons_2023-01-11_20240430072029.pdf</v>
      </c>
      <c r="C3576" s="1" t="n">
        <v>5</v>
      </c>
      <c r="D3576" s="1" t="n">
        <v>1</v>
      </c>
      <c r="E3576" s="1" t="n">
        <v>1</v>
      </c>
      <c r="F3576" s="3" t="s">
        <v>20</v>
      </c>
      <c r="G3576" s="3" t="s">
        <v>14382</v>
      </c>
      <c r="H3576" s="1" t="s">
        <v>22</v>
      </c>
      <c r="I3576" s="1" t="n">
        <v>20240430072029</v>
      </c>
      <c r="J3576" s="3" t="s">
        <v>14383</v>
      </c>
      <c r="K3576" s="3" t="s">
        <v>14384</v>
      </c>
      <c r="L3576" s="3" t="s">
        <v>14385</v>
      </c>
      <c r="M3576" s="3" t="n">
        <v>703249</v>
      </c>
      <c r="N3576" s="3" t="s">
        <v>2723</v>
      </c>
      <c r="O3576" s="1" t="n">
        <v>686863</v>
      </c>
      <c r="P3576" s="1" t="n">
        <v>97.67</v>
      </c>
      <c r="Q3576" s="1" t="s">
        <v>20</v>
      </c>
      <c r="R3576" s="1" t="s">
        <v>27</v>
      </c>
      <c r="S3576" s="1" t="s">
        <v>28</v>
      </c>
      <c r="T3576" s="1" t="s">
        <v>29</v>
      </c>
    </row>
    <row r="3577" customFormat="false" ht="18.7" hidden="false" customHeight="true" outlineLevel="0" collapsed="false">
      <c r="A3577" s="1" t="n">
        <v>3576</v>
      </c>
      <c r="B3577" s="6" t="str">
        <f aca="false">HYPERLINK("https://mncourtfraud.com/file/MCRO_27-CR-23-9135_Demand or Request for Discovery_2023-05-10_20240430073727.pdf","MCRO_27-CR-23-9135_Demand or Request for Discovery_2023-05-10_20240430073727.pdf")</f>
        <v>MCRO_27-CR-23-9135_Demand or Request for Discovery_2023-05-10_20240430073727.pdf</v>
      </c>
      <c r="C3577" s="1" t="n">
        <v>3</v>
      </c>
      <c r="D3577" s="1" t="n">
        <v>1</v>
      </c>
      <c r="E3577" s="1" t="n">
        <v>1</v>
      </c>
      <c r="F3577" s="3" t="s">
        <v>20</v>
      </c>
      <c r="G3577" s="3" t="s">
        <v>14386</v>
      </c>
      <c r="H3577" s="1" t="s">
        <v>22</v>
      </c>
      <c r="I3577" s="1" t="n">
        <v>20240430073727</v>
      </c>
      <c r="J3577" s="3" t="s">
        <v>14387</v>
      </c>
      <c r="K3577" s="3" t="s">
        <v>14388</v>
      </c>
      <c r="L3577" s="3" t="s">
        <v>14389</v>
      </c>
      <c r="M3577" s="3" t="n">
        <v>371019</v>
      </c>
      <c r="N3577" s="3" t="s">
        <v>2382</v>
      </c>
      <c r="O3577" s="1" t="n">
        <v>354633</v>
      </c>
      <c r="P3577" s="1" t="n">
        <v>95.58</v>
      </c>
      <c r="Q3577" s="1" t="s">
        <v>20</v>
      </c>
      <c r="R3577" s="1" t="s">
        <v>27</v>
      </c>
      <c r="S3577" s="1" t="s">
        <v>28</v>
      </c>
      <c r="T3577" s="1" t="s">
        <v>29</v>
      </c>
    </row>
    <row r="3578" customFormat="false" ht="18.7" hidden="false" customHeight="true" outlineLevel="0" collapsed="false">
      <c r="A3578" s="1" t="n">
        <v>3577</v>
      </c>
      <c r="B3578" s="6" t="str">
        <f aca="false">HYPERLINK("https://mncourtfraud.com/file/MCRO_27-CR-23-9135_E-filed Comp-Order for Detention_2023-05-02_20240430073731.pdf","MCRO_27-CR-23-9135_E-filed Comp-Order for Detention_2023-05-02_20240430073731.pdf")</f>
        <v>MCRO_27-CR-23-9135_E-filed Comp-Order for Detention_2023-05-02_20240430073731.pdf</v>
      </c>
      <c r="C3578" s="1" t="n">
        <v>5</v>
      </c>
      <c r="D3578" s="1" t="n">
        <v>2</v>
      </c>
      <c r="E3578" s="1" t="n">
        <v>2</v>
      </c>
      <c r="F3578" s="3" t="s">
        <v>20</v>
      </c>
      <c r="G3578" s="3" t="s">
        <v>14390</v>
      </c>
      <c r="H3578" s="1" t="s">
        <v>22</v>
      </c>
      <c r="I3578" s="1" t="n">
        <v>20240430073731</v>
      </c>
      <c r="J3578" s="3" t="s">
        <v>14391</v>
      </c>
      <c r="K3578" s="3" t="s">
        <v>14392</v>
      </c>
      <c r="L3578" s="3" t="s">
        <v>14393</v>
      </c>
      <c r="M3578" s="3" t="n">
        <v>444969</v>
      </c>
      <c r="N3578" s="3" t="s">
        <v>10787</v>
      </c>
      <c r="O3578" s="1" t="n">
        <v>428583</v>
      </c>
      <c r="P3578" s="1" t="n">
        <v>96.32</v>
      </c>
      <c r="Q3578" s="1" t="s">
        <v>20</v>
      </c>
      <c r="R3578" s="1" t="s">
        <v>27</v>
      </c>
      <c r="S3578" s="1" t="s">
        <v>28</v>
      </c>
      <c r="T3578" s="1" t="s">
        <v>29</v>
      </c>
    </row>
    <row r="3579" customFormat="false" ht="18.7" hidden="false" customHeight="true" outlineLevel="0" collapsed="false">
      <c r="A3579" s="1" t="n">
        <v>3578</v>
      </c>
      <c r="B3579" s="6" t="str">
        <f aca="false">HYPERLINK("https://mncourtfraud.com/file/MCRO_27-CR-23-9135_Law Enforcement Notice of Release and Appearance_2023-05-03_20240430073729.pdf","MCRO_27-CR-23-9135_Law Enforcement Notice of Release and Appearance_2023-05-03_20240430073729.pdf")</f>
        <v>MCRO_27-CR-23-9135_Law Enforcement Notice of Release and Appearance_2023-05-03_20240430073729.pdf</v>
      </c>
      <c r="C3579" s="1" t="n">
        <v>4</v>
      </c>
      <c r="D3579" s="1" t="n">
        <v>1</v>
      </c>
      <c r="E3579" s="1" t="n">
        <v>1</v>
      </c>
      <c r="F3579" s="3" t="s">
        <v>20</v>
      </c>
      <c r="G3579" s="3" t="s">
        <v>14394</v>
      </c>
      <c r="H3579" s="1" t="s">
        <v>22</v>
      </c>
      <c r="I3579" s="1" t="n">
        <v>20240430073729</v>
      </c>
      <c r="J3579" s="3" t="s">
        <v>14395</v>
      </c>
      <c r="K3579" s="3" t="s">
        <v>14396</v>
      </c>
      <c r="L3579" s="3" t="s">
        <v>14397</v>
      </c>
      <c r="M3579" s="3" t="n">
        <v>97226</v>
      </c>
      <c r="N3579" s="3" t="s">
        <v>435</v>
      </c>
      <c r="O3579" s="1" t="n">
        <v>80840</v>
      </c>
      <c r="P3579" s="1" t="n">
        <v>83.15</v>
      </c>
      <c r="Q3579" s="1" t="s">
        <v>20</v>
      </c>
      <c r="R3579" s="1" t="s">
        <v>27</v>
      </c>
      <c r="S3579" s="1" t="s">
        <v>28</v>
      </c>
      <c r="T3579" s="1" t="s">
        <v>29</v>
      </c>
    </row>
    <row r="3580" customFormat="false" ht="18.7" hidden="false" customHeight="true" outlineLevel="0" collapsed="false">
      <c r="A3580" s="1" t="n">
        <v>3579</v>
      </c>
      <c r="B3580" s="6" t="str">
        <f aca="false">HYPERLINK("https://mncourtfraud.com/file/MCRO_27-CR-23-9135_Law Enforcement Notice of Release and Appearance_2024-04-01_20240430073714.pdf","MCRO_27-CR-23-9135_Law Enforcement Notice of Release and Appearance_2024-04-01_20240430073714.pdf")</f>
        <v>MCRO_27-CR-23-9135_Law Enforcement Notice of Release and Appearance_2024-04-01_20240430073714.pdf</v>
      </c>
      <c r="C3580" s="1" t="n">
        <v>4</v>
      </c>
      <c r="D3580" s="1" t="n">
        <v>1</v>
      </c>
      <c r="E3580" s="1" t="n">
        <v>1</v>
      </c>
      <c r="F3580" s="3" t="s">
        <v>20</v>
      </c>
      <c r="G3580" s="3" t="s">
        <v>14398</v>
      </c>
      <c r="H3580" s="1" t="s">
        <v>22</v>
      </c>
      <c r="I3580" s="1" t="n">
        <v>20240430073714</v>
      </c>
      <c r="J3580" s="3" t="s">
        <v>14399</v>
      </c>
      <c r="K3580" s="3" t="s">
        <v>14400</v>
      </c>
      <c r="L3580" s="3" t="s">
        <v>14401</v>
      </c>
      <c r="M3580" s="3" t="n">
        <v>113150</v>
      </c>
      <c r="N3580" s="3" t="s">
        <v>435</v>
      </c>
      <c r="O3580" s="1" t="n">
        <v>96764</v>
      </c>
      <c r="P3580" s="1" t="n">
        <v>85.52</v>
      </c>
      <c r="Q3580" s="1" t="s">
        <v>20</v>
      </c>
      <c r="R3580" s="1" t="s">
        <v>27</v>
      </c>
      <c r="S3580" s="1" t="s">
        <v>28</v>
      </c>
      <c r="T3580" s="1" t="s">
        <v>29</v>
      </c>
    </row>
    <row r="3581" customFormat="false" ht="18.7" hidden="false" customHeight="true" outlineLevel="0" collapsed="false">
      <c r="A3581" s="1" t="n">
        <v>3580</v>
      </c>
      <c r="B3581" s="6" t="str">
        <f aca="false">HYPERLINK("https://mncourtfraud.com/file/MCRO_27-CR-23-9135_Non-Cash Bond Posted_2024-03-29_20240430073716.pdf","MCRO_27-CR-23-9135_Non-Cash Bond Posted_2024-03-29_20240430073716.pdf")</f>
        <v>MCRO_27-CR-23-9135_Non-Cash Bond Posted_2024-03-29_20240430073716.pdf</v>
      </c>
      <c r="C3581" s="1" t="n">
        <v>4</v>
      </c>
      <c r="D3581" s="1" t="n">
        <v>1</v>
      </c>
      <c r="E3581" s="1" t="n">
        <v>1</v>
      </c>
      <c r="F3581" s="3" t="s">
        <v>20</v>
      </c>
      <c r="G3581" s="3" t="s">
        <v>14402</v>
      </c>
      <c r="H3581" s="1" t="s">
        <v>22</v>
      </c>
      <c r="I3581" s="1" t="n">
        <v>20240430073716</v>
      </c>
      <c r="J3581" s="3" t="s">
        <v>14403</v>
      </c>
      <c r="K3581" s="3" t="s">
        <v>14404</v>
      </c>
      <c r="L3581" s="3" t="s">
        <v>14405</v>
      </c>
      <c r="M3581" s="3" t="n">
        <v>206705</v>
      </c>
      <c r="N3581" s="3" t="s">
        <v>1159</v>
      </c>
      <c r="O3581" s="1" t="n">
        <v>190319</v>
      </c>
      <c r="P3581" s="1" t="n">
        <v>92.07</v>
      </c>
      <c r="Q3581" s="1" t="s">
        <v>20</v>
      </c>
      <c r="R3581" s="1" t="s">
        <v>27</v>
      </c>
      <c r="S3581" s="1" t="s">
        <v>28</v>
      </c>
      <c r="T3581" s="1" t="s">
        <v>29</v>
      </c>
    </row>
    <row r="3582" customFormat="false" ht="18.7" hidden="false" customHeight="true" outlineLevel="0" collapsed="false">
      <c r="A3582" s="1" t="n">
        <v>3581</v>
      </c>
      <c r="B3582" s="6" t="str">
        <f aca="false">HYPERLINK("https://mncourtfraud.com/file/MCRO_27-CR-23-9135_Notice of Case Reassignment_2023-11-03_20240430073720.pdf","MCRO_27-CR-23-9135_Notice of Case Reassignment_2023-11-03_20240430073720.pdf")</f>
        <v>MCRO_27-CR-23-9135_Notice of Case Reassignment_2023-11-03_20240430073720.pdf</v>
      </c>
      <c r="C3582" s="1" t="n">
        <v>3</v>
      </c>
      <c r="D3582" s="1" t="n">
        <v>1</v>
      </c>
      <c r="E3582" s="1" t="n">
        <v>1</v>
      </c>
      <c r="F3582" s="3" t="s">
        <v>20</v>
      </c>
      <c r="G3582" s="3" t="s">
        <v>14406</v>
      </c>
      <c r="H3582" s="1" t="s">
        <v>22</v>
      </c>
      <c r="I3582" s="1" t="n">
        <v>20240430073720</v>
      </c>
      <c r="J3582" s="3" t="s">
        <v>14407</v>
      </c>
      <c r="K3582" s="3" t="s">
        <v>14408</v>
      </c>
      <c r="L3582" s="3" t="s">
        <v>14409</v>
      </c>
      <c r="M3582" s="3" t="n">
        <v>114463</v>
      </c>
      <c r="N3582" s="3" t="s">
        <v>128</v>
      </c>
      <c r="O3582" s="1" t="n">
        <v>98077</v>
      </c>
      <c r="P3582" s="1" t="n">
        <v>85.68</v>
      </c>
      <c r="Q3582" s="1" t="s">
        <v>20</v>
      </c>
      <c r="R3582" s="1" t="s">
        <v>27</v>
      </c>
      <c r="S3582" s="1" t="s">
        <v>28</v>
      </c>
      <c r="T3582" s="1" t="s">
        <v>29</v>
      </c>
    </row>
    <row r="3583" customFormat="false" ht="18.7" hidden="false" customHeight="true" outlineLevel="0" collapsed="false">
      <c r="A3583" s="1" t="n">
        <v>3582</v>
      </c>
      <c r="B3583" s="6" t="str">
        <f aca="false">HYPERLINK("https://mncourtfraud.com/file/MCRO_27-CR-23-9135_Notice of Hearing_2023-05-03_20240430073728.pdf","MCRO_27-CR-23-9135_Notice of Hearing_2023-05-03_20240430073728.pdf")</f>
        <v>MCRO_27-CR-23-9135_Notice of Hearing_2023-05-03_20240430073728.pdf</v>
      </c>
      <c r="C3583" s="1" t="n">
        <v>4</v>
      </c>
      <c r="D3583" s="1" t="n">
        <v>1</v>
      </c>
      <c r="E3583" s="1" t="n">
        <v>1</v>
      </c>
      <c r="F3583" s="3" t="s">
        <v>20</v>
      </c>
      <c r="G3583" s="3" t="s">
        <v>14410</v>
      </c>
      <c r="H3583" s="1" t="s">
        <v>22</v>
      </c>
      <c r="I3583" s="1" t="n">
        <v>20240430073728</v>
      </c>
      <c r="J3583" s="3" t="s">
        <v>14411</v>
      </c>
      <c r="K3583" s="3" t="s">
        <v>14412</v>
      </c>
      <c r="L3583" s="3" t="s">
        <v>14413</v>
      </c>
      <c r="M3583" s="3" t="n">
        <v>100235</v>
      </c>
      <c r="N3583" s="3" t="s">
        <v>435</v>
      </c>
      <c r="O3583" s="1" t="n">
        <v>83849</v>
      </c>
      <c r="P3583" s="1" t="n">
        <v>83.65</v>
      </c>
      <c r="Q3583" s="1" t="s">
        <v>20</v>
      </c>
      <c r="R3583" s="1" t="s">
        <v>27</v>
      </c>
      <c r="S3583" s="1" t="s">
        <v>28</v>
      </c>
      <c r="T3583" s="1" t="s">
        <v>29</v>
      </c>
    </row>
    <row r="3584" customFormat="false" ht="18.7" hidden="false" customHeight="true" outlineLevel="0" collapsed="false">
      <c r="A3584" s="1" t="n">
        <v>3583</v>
      </c>
      <c r="B3584" s="6" t="str">
        <f aca="false">HYPERLINK("https://mncourtfraud.com/file/MCRO_27-CR-23-9135_Notice of Hearing_2023-05-31_20240430073726.pdf","MCRO_27-CR-23-9135_Notice of Hearing_2023-05-31_20240430073726.pdf")</f>
        <v>MCRO_27-CR-23-9135_Notice of Hearing_2023-05-31_20240430073726.pdf</v>
      </c>
      <c r="C3584" s="1" t="n">
        <v>4</v>
      </c>
      <c r="D3584" s="1" t="n">
        <v>1</v>
      </c>
      <c r="E3584" s="1" t="n">
        <v>1</v>
      </c>
      <c r="F3584" s="3" t="s">
        <v>20</v>
      </c>
      <c r="G3584" s="3" t="s">
        <v>14414</v>
      </c>
      <c r="H3584" s="1" t="s">
        <v>22</v>
      </c>
      <c r="I3584" s="1" t="n">
        <v>20240430073726</v>
      </c>
      <c r="J3584" s="3" t="s">
        <v>14415</v>
      </c>
      <c r="K3584" s="3" t="s">
        <v>14416</v>
      </c>
      <c r="L3584" s="3" t="s">
        <v>14417</v>
      </c>
      <c r="M3584" s="3" t="n">
        <v>113990</v>
      </c>
      <c r="N3584" s="3" t="s">
        <v>3269</v>
      </c>
      <c r="O3584" s="1" t="n">
        <v>97604</v>
      </c>
      <c r="P3584" s="1" t="n">
        <v>85.63</v>
      </c>
      <c r="Q3584" s="1" t="s">
        <v>20</v>
      </c>
      <c r="R3584" s="1" t="s">
        <v>27</v>
      </c>
      <c r="S3584" s="1" t="s">
        <v>28</v>
      </c>
      <c r="T3584" s="1" t="s">
        <v>29</v>
      </c>
    </row>
    <row r="3585" customFormat="false" ht="18.7" hidden="false" customHeight="true" outlineLevel="0" collapsed="false">
      <c r="A3585" s="1" t="n">
        <v>3584</v>
      </c>
      <c r="B3585" s="6" t="str">
        <f aca="false">HYPERLINK("https://mncourtfraud.com/file/MCRO_27-CR-23-9135_Notice of Hearing_2023-06-22_20240430073723.pdf","MCRO_27-CR-23-9135_Notice of Hearing_2023-06-22_20240430073723.pdf")</f>
        <v>MCRO_27-CR-23-9135_Notice of Hearing_2023-06-22_20240430073723.pdf</v>
      </c>
      <c r="C3585" s="1" t="n">
        <v>4</v>
      </c>
      <c r="D3585" s="1" t="n">
        <v>1</v>
      </c>
      <c r="E3585" s="1" t="n">
        <v>1</v>
      </c>
      <c r="F3585" s="3" t="s">
        <v>20</v>
      </c>
      <c r="G3585" s="3" t="s">
        <v>14418</v>
      </c>
      <c r="H3585" s="1" t="s">
        <v>22</v>
      </c>
      <c r="I3585" s="1" t="n">
        <v>20240430073723</v>
      </c>
      <c r="J3585" s="3" t="s">
        <v>14419</v>
      </c>
      <c r="K3585" s="3" t="s">
        <v>14420</v>
      </c>
      <c r="L3585" s="3" t="s">
        <v>14421</v>
      </c>
      <c r="M3585" s="3" t="n">
        <v>96784</v>
      </c>
      <c r="N3585" s="3" t="s">
        <v>3269</v>
      </c>
      <c r="O3585" s="1" t="n">
        <v>80398</v>
      </c>
      <c r="P3585" s="1" t="n">
        <v>83.07</v>
      </c>
      <c r="Q3585" s="1" t="s">
        <v>20</v>
      </c>
      <c r="R3585" s="1" t="s">
        <v>27</v>
      </c>
      <c r="S3585" s="1" t="s">
        <v>28</v>
      </c>
      <c r="T3585" s="1" t="s">
        <v>29</v>
      </c>
    </row>
    <row r="3586" customFormat="false" ht="18.7" hidden="false" customHeight="true" outlineLevel="0" collapsed="false">
      <c r="A3586" s="1" t="n">
        <v>3585</v>
      </c>
      <c r="B3586" s="6" t="str">
        <f aca="false">HYPERLINK("https://mncourtfraud.com/file/MCRO_27-CR-23-9135_Notice of Hearing_2023-06-22_20240430073725.pdf","MCRO_27-CR-23-9135_Notice of Hearing_2023-06-22_20240430073725.pdf")</f>
        <v>MCRO_27-CR-23-9135_Notice of Hearing_2023-06-22_20240430073725.pdf</v>
      </c>
      <c r="C3586" s="1" t="n">
        <v>4</v>
      </c>
      <c r="D3586" s="1" t="n">
        <v>1</v>
      </c>
      <c r="E3586" s="1" t="n">
        <v>1</v>
      </c>
      <c r="F3586" s="3" t="s">
        <v>20</v>
      </c>
      <c r="G3586" s="3" t="s">
        <v>14422</v>
      </c>
      <c r="H3586" s="1" t="s">
        <v>22</v>
      </c>
      <c r="I3586" s="1" t="n">
        <v>20240430073725</v>
      </c>
      <c r="J3586" s="3" t="s">
        <v>14423</v>
      </c>
      <c r="K3586" s="3" t="s">
        <v>14424</v>
      </c>
      <c r="L3586" s="3" t="s">
        <v>14425</v>
      </c>
      <c r="M3586" s="3" t="n">
        <v>95336</v>
      </c>
      <c r="N3586" s="3" t="s">
        <v>3269</v>
      </c>
      <c r="O3586" s="1" t="n">
        <v>78950</v>
      </c>
      <c r="P3586" s="1" t="n">
        <v>82.81</v>
      </c>
      <c r="Q3586" s="1" t="s">
        <v>20</v>
      </c>
      <c r="R3586" s="1" t="s">
        <v>27</v>
      </c>
      <c r="S3586" s="1" t="s">
        <v>28</v>
      </c>
      <c r="T3586" s="1" t="s">
        <v>29</v>
      </c>
    </row>
    <row r="3587" customFormat="false" ht="18.7" hidden="false" customHeight="true" outlineLevel="0" collapsed="false">
      <c r="A3587" s="1" t="n">
        <v>3586</v>
      </c>
      <c r="B3587" s="6" t="str">
        <f aca="false">HYPERLINK("https://mncourtfraud.com/file/MCRO_27-CR-23-9135_Notice of Hearing_2023-11-09_20240430073719.pdf","MCRO_27-CR-23-9135_Notice of Hearing_2023-11-09_20240430073719.pdf")</f>
        <v>MCRO_27-CR-23-9135_Notice of Hearing_2023-11-09_20240430073719.pdf</v>
      </c>
      <c r="C3587" s="1" t="n">
        <v>4</v>
      </c>
      <c r="D3587" s="1" t="n">
        <v>1</v>
      </c>
      <c r="E3587" s="1" t="n">
        <v>1</v>
      </c>
      <c r="F3587" s="3" t="s">
        <v>20</v>
      </c>
      <c r="G3587" s="3" t="s">
        <v>14426</v>
      </c>
      <c r="H3587" s="1" t="s">
        <v>22</v>
      </c>
      <c r="I3587" s="1" t="n">
        <v>20240430073719</v>
      </c>
      <c r="J3587" s="3" t="s">
        <v>14427</v>
      </c>
      <c r="K3587" s="3" t="s">
        <v>14428</v>
      </c>
      <c r="L3587" s="3" t="s">
        <v>14429</v>
      </c>
      <c r="M3587" s="3" t="n">
        <v>730368</v>
      </c>
      <c r="N3587" s="3" t="s">
        <v>913</v>
      </c>
      <c r="O3587" s="1" t="n">
        <v>713982</v>
      </c>
      <c r="P3587" s="1" t="n">
        <v>97.76</v>
      </c>
      <c r="Q3587" s="1" t="s">
        <v>20</v>
      </c>
      <c r="R3587" s="1" t="s">
        <v>27</v>
      </c>
      <c r="S3587" s="1" t="s">
        <v>28</v>
      </c>
      <c r="T3587" s="1" t="s">
        <v>29</v>
      </c>
    </row>
    <row r="3588" customFormat="false" ht="18.7" hidden="false" customHeight="true" outlineLevel="0" collapsed="false">
      <c r="A3588" s="1" t="n">
        <v>3587</v>
      </c>
      <c r="B3588" s="6" t="str">
        <f aca="false">HYPERLINK("https://mncourtfraud.com/file/MCRO_27-CR-23-9135_Notice of Hearing_2024-04-16_20240430073713.pdf","MCRO_27-CR-23-9135_Notice of Hearing_2024-04-16_20240430073713.pdf")</f>
        <v>MCRO_27-CR-23-9135_Notice of Hearing_2024-04-16_20240430073713.pdf</v>
      </c>
      <c r="C3588" s="1" t="n">
        <v>4</v>
      </c>
      <c r="D3588" s="1" t="n">
        <v>1</v>
      </c>
      <c r="E3588" s="1" t="n">
        <v>1</v>
      </c>
      <c r="F3588" s="3" t="s">
        <v>20</v>
      </c>
      <c r="G3588" s="3" t="s">
        <v>14430</v>
      </c>
      <c r="H3588" s="1" t="s">
        <v>22</v>
      </c>
      <c r="I3588" s="1" t="n">
        <v>20240430073713</v>
      </c>
      <c r="J3588" s="3" t="s">
        <v>14431</v>
      </c>
      <c r="K3588" s="3" t="s">
        <v>14432</v>
      </c>
      <c r="L3588" s="3" t="s">
        <v>14433</v>
      </c>
      <c r="M3588" s="3" t="n">
        <v>564465</v>
      </c>
      <c r="N3588" s="3" t="s">
        <v>158</v>
      </c>
      <c r="O3588" s="1" t="n">
        <v>548079</v>
      </c>
      <c r="P3588" s="1" t="n">
        <v>97.1</v>
      </c>
      <c r="Q3588" s="1" t="s">
        <v>20</v>
      </c>
      <c r="R3588" s="1" t="s">
        <v>27</v>
      </c>
      <c r="S3588" s="1" t="s">
        <v>28</v>
      </c>
      <c r="T3588" s="1" t="s">
        <v>29</v>
      </c>
    </row>
    <row r="3589" customFormat="false" ht="18.7" hidden="false" customHeight="true" outlineLevel="0" collapsed="false">
      <c r="A3589" s="1" t="n">
        <v>3588</v>
      </c>
      <c r="B3589" s="6" t="str">
        <f aca="false">HYPERLINK("https://mncourtfraud.com/file/MCRO_27-CR-23-9135_Notice of Remote Hearing with Instructions_2023-08-22_20240430073722.pdf","MCRO_27-CR-23-9135_Notice of Remote Hearing with Instructions_2023-08-22_20240430073722.pdf")</f>
        <v>MCRO_27-CR-23-9135_Notice of Remote Hearing with Instructions_2023-08-22_20240430073722.pdf</v>
      </c>
      <c r="C3589" s="1" t="n">
        <v>5</v>
      </c>
      <c r="D3589" s="1" t="n">
        <v>1</v>
      </c>
      <c r="E3589" s="1" t="n">
        <v>1</v>
      </c>
      <c r="F3589" s="3" t="s">
        <v>20</v>
      </c>
      <c r="G3589" s="3" t="s">
        <v>14434</v>
      </c>
      <c r="H3589" s="1" t="s">
        <v>22</v>
      </c>
      <c r="I3589" s="1" t="n">
        <v>20240430073722</v>
      </c>
      <c r="J3589" s="3" t="s">
        <v>14435</v>
      </c>
      <c r="K3589" s="3" t="s">
        <v>14436</v>
      </c>
      <c r="L3589" s="3" t="s">
        <v>14437</v>
      </c>
      <c r="M3589" s="3" t="n">
        <v>843025</v>
      </c>
      <c r="N3589" s="3" t="s">
        <v>4685</v>
      </c>
      <c r="O3589" s="1" t="n">
        <v>826639</v>
      </c>
      <c r="P3589" s="1" t="n">
        <v>98.06</v>
      </c>
      <c r="Q3589" s="1" t="s">
        <v>20</v>
      </c>
      <c r="R3589" s="1" t="s">
        <v>27</v>
      </c>
      <c r="S3589" s="1" t="s">
        <v>28</v>
      </c>
      <c r="T3589" s="1" t="s">
        <v>29</v>
      </c>
    </row>
    <row r="3590" customFormat="false" ht="18.7" hidden="false" customHeight="true" outlineLevel="0" collapsed="false">
      <c r="A3590" s="1" t="n">
        <v>3589</v>
      </c>
      <c r="B3590" s="6" t="str">
        <f aca="false">HYPERLINK("https://mncourtfraud.com/file/MCRO_27-CR-23-9135_Notice of Remote Hearing with Instructions_2023-09-26_20240430073721.pdf","MCRO_27-CR-23-9135_Notice of Remote Hearing with Instructions_2023-09-26_20240430073721.pdf")</f>
        <v>MCRO_27-CR-23-9135_Notice of Remote Hearing with Instructions_2023-09-26_20240430073721.pdf</v>
      </c>
      <c r="C3590" s="1" t="n">
        <v>5</v>
      </c>
      <c r="D3590" s="1" t="n">
        <v>1</v>
      </c>
      <c r="E3590" s="1" t="n">
        <v>1</v>
      </c>
      <c r="F3590" s="3" t="s">
        <v>20</v>
      </c>
      <c r="G3590" s="3" t="s">
        <v>14438</v>
      </c>
      <c r="H3590" s="1" t="s">
        <v>22</v>
      </c>
      <c r="I3590" s="1" t="n">
        <v>20240430073721</v>
      </c>
      <c r="J3590" s="3" t="s">
        <v>14439</v>
      </c>
      <c r="K3590" s="3" t="s">
        <v>14440</v>
      </c>
      <c r="L3590" s="3" t="s">
        <v>14441</v>
      </c>
      <c r="M3590" s="3" t="n">
        <v>854155</v>
      </c>
      <c r="N3590" s="3" t="s">
        <v>1248</v>
      </c>
      <c r="O3590" s="1" t="n">
        <v>837769</v>
      </c>
      <c r="P3590" s="1" t="n">
        <v>98.08</v>
      </c>
      <c r="Q3590" s="1" t="s">
        <v>20</v>
      </c>
      <c r="R3590" s="1" t="s">
        <v>27</v>
      </c>
      <c r="S3590" s="1" t="s">
        <v>28</v>
      </c>
      <c r="T3590" s="1" t="s">
        <v>29</v>
      </c>
    </row>
    <row r="3591" customFormat="false" ht="18.7" hidden="false" customHeight="true" outlineLevel="0" collapsed="false">
      <c r="A3591" s="1" t="n">
        <v>3590</v>
      </c>
      <c r="B3591" s="6" t="str">
        <f aca="false">HYPERLINK("https://mncourtfraud.com/file/MCRO_27-CR-23-9135_Order-Evaluation for Competency to Proceed (Rule 20.01)_2023-06-22_20240430073724.pdf","MCRO_27-CR-23-9135_Order-Evaluation for Competency to Proceed (Rule 20.01)_2023-06-22_20240430073724.pdf")</f>
        <v>MCRO_27-CR-23-9135_Order-Evaluation for Competency to Proceed (Rule 20.01)_2023-06-22_20240430073724.pdf</v>
      </c>
      <c r="C3591" s="1" t="n">
        <v>4</v>
      </c>
      <c r="D3591" s="1" t="n">
        <v>1</v>
      </c>
      <c r="E3591" s="1" t="n">
        <v>1</v>
      </c>
      <c r="F3591" s="3" t="s">
        <v>20</v>
      </c>
      <c r="G3591" s="3" t="s">
        <v>14442</v>
      </c>
      <c r="H3591" s="1" t="s">
        <v>22</v>
      </c>
      <c r="I3591" s="1" t="n">
        <v>20240430073724</v>
      </c>
      <c r="J3591" s="3" t="s">
        <v>14443</v>
      </c>
      <c r="K3591" s="3" t="s">
        <v>14444</v>
      </c>
      <c r="L3591" s="3" t="s">
        <v>14445</v>
      </c>
      <c r="M3591" s="3" t="n">
        <v>214282</v>
      </c>
      <c r="N3591" s="3" t="s">
        <v>1128</v>
      </c>
      <c r="O3591" s="1" t="n">
        <v>197896</v>
      </c>
      <c r="P3591" s="1" t="n">
        <v>92.35</v>
      </c>
      <c r="Q3591" s="1" t="s">
        <v>20</v>
      </c>
      <c r="R3591" s="1" t="s">
        <v>27</v>
      </c>
      <c r="S3591" s="1" t="s">
        <v>28</v>
      </c>
      <c r="T3591" s="1" t="s">
        <v>29</v>
      </c>
    </row>
    <row r="3592" customFormat="false" ht="18.7" hidden="false" customHeight="true" outlineLevel="0" collapsed="false">
      <c r="A3592" s="1" t="n">
        <v>3591</v>
      </c>
      <c r="B3592" s="6" t="str">
        <f aca="false">HYPERLINK("https://mncourtfraud.com/file/MCRO_27-CR-23-9135_Order-Evaluation for Competency to Proceed (Rule 20.01)_2024-03-14_20240430073717.pdf","MCRO_27-CR-23-9135_Order-Evaluation for Competency to Proceed (Rule 20.01)_2024-03-14_20240430073717.pdf")</f>
        <v>MCRO_27-CR-23-9135_Order-Evaluation for Competency to Proceed (Rule 20.01)_2024-03-14_20240430073717.pdf</v>
      </c>
      <c r="C3592" s="1" t="n">
        <v>4</v>
      </c>
      <c r="D3592" s="1" t="n">
        <v>1</v>
      </c>
      <c r="E3592" s="1" t="n">
        <v>1</v>
      </c>
      <c r="F3592" s="3" t="s">
        <v>20</v>
      </c>
      <c r="G3592" s="3" t="s">
        <v>14446</v>
      </c>
      <c r="H3592" s="1" t="s">
        <v>22</v>
      </c>
      <c r="I3592" s="1" t="n">
        <v>20240430073717</v>
      </c>
      <c r="J3592" s="3" t="s">
        <v>14447</v>
      </c>
      <c r="K3592" s="3" t="s">
        <v>14448</v>
      </c>
      <c r="L3592" s="3" t="s">
        <v>14449</v>
      </c>
      <c r="M3592" s="3" t="n">
        <v>144895</v>
      </c>
      <c r="N3592" s="3" t="s">
        <v>1159</v>
      </c>
      <c r="O3592" s="1" t="n">
        <v>128509</v>
      </c>
      <c r="P3592" s="1" t="n">
        <v>88.69</v>
      </c>
      <c r="Q3592" s="1" t="s">
        <v>20</v>
      </c>
      <c r="R3592" s="1" t="s">
        <v>27</v>
      </c>
      <c r="S3592" s="1" t="s">
        <v>28</v>
      </c>
      <c r="T3592" s="1" t="s">
        <v>29</v>
      </c>
    </row>
    <row r="3593" customFormat="false" ht="18.7" hidden="false" customHeight="true" outlineLevel="0" collapsed="false">
      <c r="A3593" s="1" t="n">
        <v>3592</v>
      </c>
      <c r="B3593" s="6" t="str">
        <f aca="false">HYPERLINK("https://mncourtfraud.com/file/MCRO_27-CR-23-9135_Returned Mail_2023-11-21_20240430073718.pdf","MCRO_27-CR-23-9135_Returned Mail_2023-11-21_20240430073718.pdf")</f>
        <v>MCRO_27-CR-23-9135_Returned Mail_2023-11-21_20240430073718.pdf</v>
      </c>
      <c r="C3593" s="1" t="n">
        <v>4</v>
      </c>
      <c r="D3593" s="1" t="n">
        <v>1</v>
      </c>
      <c r="E3593" s="1" t="n">
        <v>1</v>
      </c>
      <c r="F3593" s="3" t="s">
        <v>20</v>
      </c>
      <c r="G3593" s="3" t="s">
        <v>14450</v>
      </c>
      <c r="H3593" s="1" t="s">
        <v>22</v>
      </c>
      <c r="I3593" s="1" t="n">
        <v>20240430073718</v>
      </c>
      <c r="J3593" s="3" t="s">
        <v>14451</v>
      </c>
      <c r="K3593" s="3" t="s">
        <v>14452</v>
      </c>
      <c r="L3593" s="3" t="s">
        <v>14453</v>
      </c>
      <c r="M3593" s="3" t="n">
        <v>218410</v>
      </c>
      <c r="N3593" s="3" t="s">
        <v>158</v>
      </c>
      <c r="O3593" s="1" t="n">
        <v>202024</v>
      </c>
      <c r="P3593" s="1" t="n">
        <v>92.5</v>
      </c>
      <c r="Q3593" s="1" t="s">
        <v>20</v>
      </c>
      <c r="R3593" s="1" t="s">
        <v>27</v>
      </c>
      <c r="S3593" s="1" t="s">
        <v>28</v>
      </c>
      <c r="T3593" s="1" t="s">
        <v>29</v>
      </c>
    </row>
    <row r="3594" customFormat="false" ht="18.7" hidden="false" customHeight="true" outlineLevel="0" collapsed="false">
      <c r="A3594" s="1" t="n">
        <v>3593</v>
      </c>
      <c r="B3594" s="6" t="str">
        <f aca="false">HYPERLINK("https://mncourtfraud.com/file/MCRO_27-CR-23-9546_Assignment of Bail_2023-05-17_20240430073807.pdf","MCRO_27-CR-23-9546_Assignment of Bail_2023-05-17_20240430073807.pdf")</f>
        <v>MCRO_27-CR-23-9546_Assignment of Bail_2023-05-17_20240430073807.pdf</v>
      </c>
      <c r="C3594" s="1" t="n">
        <v>4</v>
      </c>
      <c r="D3594" s="1" t="n">
        <v>1</v>
      </c>
      <c r="E3594" s="1" t="n">
        <v>1</v>
      </c>
      <c r="F3594" s="3" t="s">
        <v>20</v>
      </c>
      <c r="G3594" s="3" t="s">
        <v>14454</v>
      </c>
      <c r="H3594" s="1" t="s">
        <v>22</v>
      </c>
      <c r="I3594" s="1" t="n">
        <v>20240430073807</v>
      </c>
      <c r="J3594" s="3" t="s">
        <v>14455</v>
      </c>
      <c r="K3594" s="3" t="s">
        <v>14456</v>
      </c>
      <c r="L3594" s="3" t="s">
        <v>14457</v>
      </c>
      <c r="M3594" s="3" t="n">
        <v>2533186</v>
      </c>
      <c r="N3594" s="3" t="s">
        <v>6445</v>
      </c>
      <c r="O3594" s="1" t="n">
        <v>2516800</v>
      </c>
      <c r="P3594" s="1" t="n">
        <v>99.35</v>
      </c>
      <c r="Q3594" s="1" t="s">
        <v>20</v>
      </c>
      <c r="R3594" s="1" t="s">
        <v>27</v>
      </c>
      <c r="S3594" s="1" t="s">
        <v>28</v>
      </c>
      <c r="T3594" s="1" t="s">
        <v>29</v>
      </c>
    </row>
    <row r="3595" customFormat="false" ht="18.7" hidden="false" customHeight="true" outlineLevel="0" collapsed="false">
      <c r="A3595" s="1" t="n">
        <v>3594</v>
      </c>
      <c r="B3595" s="6" t="str">
        <f aca="false">HYPERLINK("https://mncourtfraud.com/file/MCRO_27-CR-23-9546_Demand or Request for Discovery_2023-05-12_20240430073807.pdf","MCRO_27-CR-23-9546_Demand or Request for Discovery_2023-05-12_20240430073807.pdf")</f>
        <v>MCRO_27-CR-23-9546_Demand or Request for Discovery_2023-05-12_20240430073807.pdf</v>
      </c>
      <c r="C3595" s="1" t="n">
        <v>3</v>
      </c>
      <c r="D3595" s="1" t="n">
        <v>1</v>
      </c>
      <c r="E3595" s="1" t="n">
        <v>1</v>
      </c>
      <c r="F3595" s="3" t="s">
        <v>20</v>
      </c>
      <c r="G3595" s="3" t="s">
        <v>14458</v>
      </c>
      <c r="H3595" s="1" t="s">
        <v>22</v>
      </c>
      <c r="I3595" s="1" t="n">
        <v>20240430073807</v>
      </c>
      <c r="J3595" s="3" t="s">
        <v>14459</v>
      </c>
      <c r="K3595" s="3" t="s">
        <v>14460</v>
      </c>
      <c r="L3595" s="3" t="s">
        <v>14461</v>
      </c>
      <c r="M3595" s="3" t="n">
        <v>387757</v>
      </c>
      <c r="N3595" s="3" t="s">
        <v>8138</v>
      </c>
      <c r="O3595" s="1" t="n">
        <v>371371</v>
      </c>
      <c r="P3595" s="1" t="n">
        <v>95.77</v>
      </c>
      <c r="Q3595" s="1" t="s">
        <v>20</v>
      </c>
      <c r="R3595" s="1" t="s">
        <v>27</v>
      </c>
      <c r="S3595" s="1" t="s">
        <v>28</v>
      </c>
      <c r="T3595" s="1" t="s">
        <v>29</v>
      </c>
    </row>
    <row r="3596" customFormat="false" ht="18.7" hidden="false" customHeight="true" outlineLevel="0" collapsed="false">
      <c r="A3596" s="1" t="n">
        <v>3595</v>
      </c>
      <c r="B3596" s="6" t="str">
        <f aca="false">HYPERLINK("https://mncourtfraud.com/file/MCRO_27-CR-23-9546_E-filed Comp-Order for Detention_2023-05-08_20240430073808.pdf","MCRO_27-CR-23-9546_E-filed Comp-Order for Detention_2023-05-08_20240430073808.pdf")</f>
        <v>MCRO_27-CR-23-9546_E-filed Comp-Order for Detention_2023-05-08_20240430073808.pdf</v>
      </c>
      <c r="C3596" s="1" t="n">
        <v>5</v>
      </c>
      <c r="D3596" s="1" t="n">
        <v>2</v>
      </c>
      <c r="E3596" s="1" t="n">
        <v>2</v>
      </c>
      <c r="F3596" s="3" t="s">
        <v>20</v>
      </c>
      <c r="G3596" s="3" t="s">
        <v>14462</v>
      </c>
      <c r="H3596" s="1" t="s">
        <v>22</v>
      </c>
      <c r="I3596" s="1" t="n">
        <v>20240430073808</v>
      </c>
      <c r="J3596" s="3" t="s">
        <v>14463</v>
      </c>
      <c r="K3596" s="3" t="s">
        <v>14464</v>
      </c>
      <c r="L3596" s="3" t="s">
        <v>14465</v>
      </c>
      <c r="M3596" s="3" t="n">
        <v>444832</v>
      </c>
      <c r="N3596" s="3" t="s">
        <v>10787</v>
      </c>
      <c r="O3596" s="1" t="n">
        <v>428446</v>
      </c>
      <c r="P3596" s="1" t="n">
        <v>96.32</v>
      </c>
      <c r="Q3596" s="1" t="s">
        <v>20</v>
      </c>
      <c r="R3596" s="1" t="s">
        <v>27</v>
      </c>
      <c r="S3596" s="1" t="s">
        <v>28</v>
      </c>
      <c r="T3596" s="1" t="s">
        <v>29</v>
      </c>
    </row>
    <row r="3597" customFormat="false" ht="18.7" hidden="false" customHeight="true" outlineLevel="0" collapsed="false">
      <c r="A3597" s="1" t="n">
        <v>3596</v>
      </c>
      <c r="B3597" s="6" t="str">
        <f aca="false">HYPERLINK("https://mncourtfraud.com/file/MCRO_27-CR-23-9546_Finding of Incompetency and Order_2024-02-27_20240430073802.pdf","MCRO_27-CR-23-9546_Finding of Incompetency and Order_2024-02-27_20240430073802.pdf")</f>
        <v>MCRO_27-CR-23-9546_Finding of Incompetency and Order_2024-02-27_20240430073802.pdf</v>
      </c>
      <c r="C3597" s="1" t="n">
        <v>5</v>
      </c>
      <c r="D3597" s="1" t="n">
        <v>1</v>
      </c>
      <c r="E3597" s="1" t="n">
        <v>1</v>
      </c>
      <c r="F3597" s="3" t="s">
        <v>20</v>
      </c>
      <c r="G3597" s="3" t="s">
        <v>14466</v>
      </c>
      <c r="H3597" s="1" t="s">
        <v>22</v>
      </c>
      <c r="I3597" s="1" t="n">
        <v>20240430073802</v>
      </c>
      <c r="J3597" s="3" t="s">
        <v>14467</v>
      </c>
      <c r="K3597" s="3" t="s">
        <v>14468</v>
      </c>
      <c r="L3597" s="3" t="s">
        <v>14469</v>
      </c>
      <c r="M3597" s="3" t="n">
        <v>828277</v>
      </c>
      <c r="N3597" s="3" t="s">
        <v>5856</v>
      </c>
      <c r="O3597" s="1" t="n">
        <v>811891</v>
      </c>
      <c r="P3597" s="1" t="n">
        <v>98.02</v>
      </c>
      <c r="Q3597" s="1" t="s">
        <v>20</v>
      </c>
      <c r="R3597" s="1" t="s">
        <v>27</v>
      </c>
      <c r="S3597" s="1" t="s">
        <v>28</v>
      </c>
      <c r="T3597" s="1" t="s">
        <v>29</v>
      </c>
    </row>
    <row r="3598" customFormat="false" ht="18.7" hidden="false" customHeight="true" outlineLevel="0" collapsed="false">
      <c r="A3598" s="1" t="n">
        <v>3597</v>
      </c>
      <c r="B3598" s="6" t="str">
        <f aca="false">HYPERLINK("https://mncourtfraud.com/file/MCRO_27-CR-23-9546_Notice of Hearing_2023-06-07_20240430073804.pdf","MCRO_27-CR-23-9546_Notice of Hearing_2023-06-07_20240430073804.pdf")</f>
        <v>MCRO_27-CR-23-9546_Notice of Hearing_2023-06-07_20240430073804.pdf</v>
      </c>
      <c r="C3598" s="1" t="n">
        <v>4</v>
      </c>
      <c r="D3598" s="1" t="n">
        <v>1</v>
      </c>
      <c r="E3598" s="1" t="n">
        <v>1</v>
      </c>
      <c r="F3598" s="3" t="s">
        <v>20</v>
      </c>
      <c r="G3598" s="3" t="s">
        <v>14470</v>
      </c>
      <c r="H3598" s="1" t="s">
        <v>22</v>
      </c>
      <c r="I3598" s="1" t="n">
        <v>20240430073804</v>
      </c>
      <c r="J3598" s="3" t="s">
        <v>14471</v>
      </c>
      <c r="K3598" s="3" t="s">
        <v>14472</v>
      </c>
      <c r="L3598" s="3" t="s">
        <v>14473</v>
      </c>
      <c r="M3598" s="3" t="n">
        <v>730399</v>
      </c>
      <c r="N3598" s="3" t="s">
        <v>913</v>
      </c>
      <c r="O3598" s="1" t="n">
        <v>714013</v>
      </c>
      <c r="P3598" s="1" t="n">
        <v>97.76</v>
      </c>
      <c r="Q3598" s="1" t="s">
        <v>20</v>
      </c>
      <c r="R3598" s="1" t="s">
        <v>27</v>
      </c>
      <c r="S3598" s="1" t="s">
        <v>28</v>
      </c>
      <c r="T3598" s="1" t="s">
        <v>29</v>
      </c>
    </row>
    <row r="3599" customFormat="false" ht="18.7" hidden="false" customHeight="true" outlineLevel="0" collapsed="false">
      <c r="A3599" s="1" t="n">
        <v>3598</v>
      </c>
      <c r="B3599" s="6" t="str">
        <f aca="false">HYPERLINK("https://mncourtfraud.com/file/MCRO_27-CR-23-9546_Notice of Remote Hearing with Instructions_2023-06-07_20240430073803.pdf","MCRO_27-CR-23-9546_Notice of Remote Hearing with Instructions_2023-06-07_20240430073803.pdf")</f>
        <v>MCRO_27-CR-23-9546_Notice of Remote Hearing with Instructions_2023-06-07_20240430073803.pdf</v>
      </c>
      <c r="C3599" s="1" t="n">
        <v>4</v>
      </c>
      <c r="D3599" s="1" t="n">
        <v>1</v>
      </c>
      <c r="E3599" s="1" t="n">
        <v>1</v>
      </c>
      <c r="F3599" s="3" t="s">
        <v>20</v>
      </c>
      <c r="G3599" s="3" t="s">
        <v>14474</v>
      </c>
      <c r="H3599" s="1" t="s">
        <v>22</v>
      </c>
      <c r="I3599" s="1" t="n">
        <v>20240430073803</v>
      </c>
      <c r="J3599" s="3" t="s">
        <v>14475</v>
      </c>
      <c r="K3599" s="3" t="s">
        <v>14476</v>
      </c>
      <c r="L3599" s="3" t="s">
        <v>14477</v>
      </c>
      <c r="M3599" s="3" t="n">
        <v>821796</v>
      </c>
      <c r="N3599" s="3" t="s">
        <v>2818</v>
      </c>
      <c r="O3599" s="1" t="n">
        <v>805410</v>
      </c>
      <c r="P3599" s="1" t="n">
        <v>98.01</v>
      </c>
      <c r="Q3599" s="1" t="s">
        <v>20</v>
      </c>
      <c r="R3599" s="1" t="s">
        <v>27</v>
      </c>
      <c r="S3599" s="1" t="s">
        <v>28</v>
      </c>
      <c r="T3599" s="1" t="s">
        <v>29</v>
      </c>
    </row>
    <row r="3600" customFormat="false" ht="18.7" hidden="false" customHeight="true" outlineLevel="0" collapsed="false">
      <c r="A3600" s="1" t="n">
        <v>3599</v>
      </c>
      <c r="B3600" s="6" t="str">
        <f aca="false">HYPERLINK("https://mncourtfraud.com/file/MCRO_27-CR-23-9546_Notice of Remote Hearing with Instructions_2023-08-22_20240430073802.pdf","MCRO_27-CR-23-9546_Notice of Remote Hearing with Instructions_2023-08-22_20240430073802.pdf")</f>
        <v>MCRO_27-CR-23-9546_Notice of Remote Hearing with Instructions_2023-08-22_20240430073802.pdf</v>
      </c>
      <c r="C3600" s="1" t="n">
        <v>5</v>
      </c>
      <c r="D3600" s="1" t="n">
        <v>1</v>
      </c>
      <c r="E3600" s="1" t="n">
        <v>1</v>
      </c>
      <c r="F3600" s="3" t="s">
        <v>20</v>
      </c>
      <c r="G3600" s="3" t="s">
        <v>14478</v>
      </c>
      <c r="H3600" s="1" t="s">
        <v>22</v>
      </c>
      <c r="I3600" s="1" t="n">
        <v>20240430073802</v>
      </c>
      <c r="J3600" s="3" t="s">
        <v>14467</v>
      </c>
      <c r="K3600" s="3" t="s">
        <v>14468</v>
      </c>
      <c r="L3600" s="3" t="s">
        <v>14479</v>
      </c>
      <c r="M3600" s="3" t="n">
        <v>846099</v>
      </c>
      <c r="N3600" s="3" t="s">
        <v>510</v>
      </c>
      <c r="O3600" s="1" t="n">
        <v>829713</v>
      </c>
      <c r="P3600" s="1" t="n">
        <v>98.06</v>
      </c>
      <c r="Q3600" s="1" t="s">
        <v>20</v>
      </c>
      <c r="R3600" s="1" t="s">
        <v>27</v>
      </c>
      <c r="S3600" s="1" t="s">
        <v>28</v>
      </c>
      <c r="T3600" s="1" t="s">
        <v>29</v>
      </c>
    </row>
    <row r="3601" customFormat="false" ht="18.7" hidden="false" customHeight="true" outlineLevel="0" collapsed="false">
      <c r="A3601" s="1" t="n">
        <v>3600</v>
      </c>
      <c r="B3601" s="6" t="str">
        <f aca="false">HYPERLINK("https://mncourtfraud.com/file/MCRO_27-CR-23-9546_Order-Evaluation for Competency to Proceed (Rule 20.01)_2023-06-07_20240430073805.pdf","MCRO_27-CR-23-9546_Order-Evaluation for Competency to Proceed (Rule 20.01)_2023-06-07_20240430073805.pdf")</f>
        <v>MCRO_27-CR-23-9546_Order-Evaluation for Competency to Proceed (Rule 20.01)_2023-06-07_20240430073805.pdf</v>
      </c>
      <c r="C3601" s="1" t="n">
        <v>5</v>
      </c>
      <c r="D3601" s="1" t="n">
        <v>2</v>
      </c>
      <c r="E3601" s="1" t="n">
        <v>2</v>
      </c>
      <c r="F3601" s="3" t="s">
        <v>27</v>
      </c>
      <c r="G3601" s="3" t="s">
        <v>14480</v>
      </c>
      <c r="H3601" s="1" t="s">
        <v>22</v>
      </c>
      <c r="I3601" s="1" t="n">
        <v>20240430073805</v>
      </c>
      <c r="J3601" s="3" t="s">
        <v>14481</v>
      </c>
      <c r="K3601" s="3" t="s">
        <v>14482</v>
      </c>
      <c r="L3601" s="3" t="s">
        <v>14483</v>
      </c>
      <c r="M3601" s="3" t="n">
        <v>987373</v>
      </c>
      <c r="N3601" s="3" t="s">
        <v>6104</v>
      </c>
      <c r="O3601" s="1" t="n">
        <v>970987</v>
      </c>
      <c r="P3601" s="1" t="n">
        <v>98.34</v>
      </c>
      <c r="Q3601" s="1" t="s">
        <v>20</v>
      </c>
      <c r="R3601" s="1" t="s">
        <v>27</v>
      </c>
      <c r="S3601" s="1" t="s">
        <v>28</v>
      </c>
      <c r="T3601" s="1" t="s">
        <v>29</v>
      </c>
    </row>
    <row r="3602" customFormat="false" ht="18.7" hidden="false" customHeight="true" outlineLevel="0" collapsed="false">
      <c r="A3602" s="1" t="n">
        <v>3601</v>
      </c>
      <c r="B3602" s="6" t="str">
        <f aca="false">HYPERLINK("https://mncourtfraud.com/file/MCRO_27-CR-23-9546_Order-Evaluation for Competency to Proceed (Rule 20.01)_2024-01-29_20240430073801.pdf","MCRO_27-CR-23-9546_Order-Evaluation for Competency to Proceed (Rule 20.01)_2024-01-29_20240430073801.pdf")</f>
        <v>MCRO_27-CR-23-9546_Order-Evaluation for Competency to Proceed (Rule 20.01)_2024-01-29_20240430073801.pdf</v>
      </c>
      <c r="C3602" s="1" t="n">
        <v>6</v>
      </c>
      <c r="D3602" s="1" t="n">
        <v>2</v>
      </c>
      <c r="E3602" s="1" t="n">
        <v>2</v>
      </c>
      <c r="F3602" s="3" t="s">
        <v>27</v>
      </c>
      <c r="G3602" s="3" t="s">
        <v>14484</v>
      </c>
      <c r="H3602" s="1" t="s">
        <v>22</v>
      </c>
      <c r="I3602" s="1" t="n">
        <v>20240430073801</v>
      </c>
      <c r="J3602" s="3" t="s">
        <v>14485</v>
      </c>
      <c r="K3602" s="3" t="s">
        <v>14486</v>
      </c>
      <c r="L3602" s="3" t="s">
        <v>14487</v>
      </c>
      <c r="M3602" s="3" t="n">
        <v>916983</v>
      </c>
      <c r="N3602" s="3" t="s">
        <v>764</v>
      </c>
      <c r="O3602" s="1" t="n">
        <v>900597</v>
      </c>
      <c r="P3602" s="1" t="n">
        <v>98.21</v>
      </c>
      <c r="Q3602" s="1" t="s">
        <v>20</v>
      </c>
      <c r="R3602" s="1" t="s">
        <v>27</v>
      </c>
      <c r="S3602" s="1" t="s">
        <v>28</v>
      </c>
      <c r="T3602" s="1" t="s">
        <v>29</v>
      </c>
    </row>
    <row r="3603" customFormat="false" ht="18.7" hidden="false" customHeight="true" outlineLevel="0" collapsed="false"/>
    <row r="3604" customFormat="false" ht="18.7" hidden="false" customHeight="true" outlineLevel="0" collapsed="false"/>
    <row r="3605" customFormat="false" ht="18.7" hidden="false" customHeight="true" outlineLevel="0" collapsed="false"/>
    <row r="3606" customFormat="false" ht="18.7" hidden="false" customHeight="true" outlineLevel="0" collapsed="false"/>
    <row r="3607" customFormat="false" ht="18.7" hidden="false" customHeight="true" outlineLevel="0" collapsed="false"/>
    <row r="3608" customFormat="false" ht="18.7" hidden="false" customHeight="true" outlineLevel="0" collapsed="false"/>
    <row r="3609" customFormat="false" ht="18.7" hidden="false" customHeight="true" outlineLevel="0" collapsed="false"/>
    <row r="3610" customFormat="false" ht="18.7" hidden="false" customHeight="true" outlineLevel="0" collapsed="false"/>
    <row r="3611" customFormat="false" ht="18.7" hidden="false" customHeight="true" outlineLevel="0" collapsed="false"/>
    <row r="3612" customFormat="false" ht="18.7" hidden="false" customHeight="true" outlineLevel="0" collapsed="false"/>
    <row r="3613" customFormat="false" ht="18.7" hidden="false" customHeight="true" outlineLevel="0" collapsed="false"/>
    <row r="3614" customFormat="false" ht="18.7" hidden="false" customHeight="true" outlineLevel="0" collapsed="false"/>
    <row r="3615" customFormat="false" ht="18.7" hidden="false" customHeight="true" outlineLevel="0" collapsed="false"/>
    <row r="3616" customFormat="false" ht="18.7" hidden="false" customHeight="true" outlineLevel="0" collapsed="false"/>
    <row r="3617" customFormat="false" ht="18.7" hidden="false" customHeight="true" outlineLevel="0" collapsed="false"/>
    <row r="3618" customFormat="false" ht="18.7" hidden="false" customHeight="true" outlineLevel="0" collapsed="false"/>
    <row r="3619" customFormat="false" ht="18.7" hidden="false" customHeight="true" outlineLevel="0" collapsed="false"/>
    <row r="3620" customFormat="false" ht="18.7" hidden="false" customHeight="true" outlineLevel="0" collapsed="false"/>
    <row r="3621" customFormat="false" ht="18.7" hidden="false" customHeight="true" outlineLevel="0" collapsed="false"/>
    <row r="3622" customFormat="false" ht="18.7" hidden="false" customHeight="true" outlineLevel="0" collapsed="false"/>
    <row r="3623" customFormat="false" ht="18.7" hidden="false" customHeight="true" outlineLevel="0" collapsed="false"/>
    <row r="3624" customFormat="false" ht="18.7" hidden="false" customHeight="true" outlineLevel="0" collapsed="false"/>
    <row r="3625" customFormat="false" ht="18.7" hidden="false" customHeight="true" outlineLevel="0" collapsed="false"/>
    <row r="3626" customFormat="false" ht="18.7" hidden="false" customHeight="true" outlineLevel="0" collapsed="false"/>
    <row r="3627" customFormat="false" ht="18.7" hidden="false" customHeight="true" outlineLevel="0" collapsed="false"/>
    <row r="3628" customFormat="false" ht="18.7" hidden="false" customHeight="true" outlineLevel="0" collapsed="false"/>
    <row r="3629" customFormat="false" ht="18.7" hidden="false" customHeight="true" outlineLevel="0" collapsed="false"/>
    <row r="3630" customFormat="false" ht="18.7" hidden="false" customHeight="true" outlineLevel="0" collapsed="false"/>
    <row r="3631" customFormat="false" ht="18.7" hidden="false" customHeight="true" outlineLevel="0" collapsed="false"/>
    <row r="3632" customFormat="false" ht="18.7" hidden="false" customHeight="true" outlineLevel="0" collapsed="false"/>
    <row r="3633" customFormat="false" ht="18.7" hidden="false" customHeight="true" outlineLevel="0" collapsed="false"/>
    <row r="3634" customFormat="false" ht="18.7" hidden="false" customHeight="true" outlineLevel="0" collapsed="false"/>
    <row r="3635" customFormat="false" ht="18.7" hidden="false" customHeight="true" outlineLevel="0" collapsed="false"/>
    <row r="3636" customFormat="false" ht="18.7" hidden="false" customHeight="true" outlineLevel="0" collapsed="false"/>
    <row r="3637" customFormat="false" ht="18.7" hidden="false" customHeight="true" outlineLevel="0" collapsed="false"/>
    <row r="3638" customFormat="false" ht="18.7" hidden="false" customHeight="true" outlineLevel="0" collapsed="false"/>
    <row r="3639" customFormat="false" ht="18.7" hidden="false" customHeight="true" outlineLevel="0" collapsed="false"/>
    <row r="3640" customFormat="false" ht="18.7" hidden="false" customHeight="true" outlineLevel="0" collapsed="false"/>
    <row r="3641" customFormat="false" ht="18.7" hidden="false" customHeight="true" outlineLevel="0" collapsed="false"/>
    <row r="3642" customFormat="false" ht="18.7" hidden="false" customHeight="true" outlineLevel="0" collapsed="false"/>
    <row r="3643" customFormat="false" ht="18.7" hidden="false" customHeight="true" outlineLevel="0" collapsed="false"/>
    <row r="3644" customFormat="false" ht="18.7" hidden="false" customHeight="true" outlineLevel="0" collapsed="false"/>
    <row r="3645" customFormat="false" ht="18.7" hidden="false" customHeight="true" outlineLevel="0" collapsed="false"/>
    <row r="3646" customFormat="false" ht="18.7" hidden="false" customHeight="true" outlineLevel="0" collapsed="false"/>
    <row r="3647" customFormat="false" ht="18.7" hidden="false" customHeight="true" outlineLevel="0" collapsed="false"/>
    <row r="3648" customFormat="false" ht="18.7" hidden="false" customHeight="true" outlineLevel="0" collapsed="false"/>
    <row r="3649" customFormat="false" ht="18.7" hidden="false" customHeight="true" outlineLevel="0" collapsed="false"/>
    <row r="3650" customFormat="false" ht="18.7" hidden="false" customHeight="true" outlineLevel="0" collapsed="false"/>
    <row r="3651" customFormat="false" ht="18.7" hidden="false" customHeight="true" outlineLevel="0" collapsed="false"/>
    <row r="3652" customFormat="false" ht="18.7" hidden="false" customHeight="true" outlineLevel="0" collapsed="false"/>
    <row r="3653" customFormat="false" ht="18.7" hidden="false" customHeight="true" outlineLevel="0" collapsed="false"/>
    <row r="3654" customFormat="false" ht="18.7" hidden="false" customHeight="true" outlineLevel="0" collapsed="false"/>
    <row r="3655" customFormat="false" ht="18.7" hidden="false" customHeight="true" outlineLevel="0" collapsed="false"/>
    <row r="3656" customFormat="false" ht="18.7" hidden="false" customHeight="true" outlineLevel="0" collapsed="false"/>
    <row r="3657" customFormat="false" ht="18.7" hidden="false" customHeight="true" outlineLevel="0" collapsed="false"/>
    <row r="3658" customFormat="false" ht="18.7" hidden="false" customHeight="true" outlineLevel="0" collapsed="false"/>
    <row r="3659" customFormat="false" ht="18.7" hidden="false" customHeight="true" outlineLevel="0" collapsed="false"/>
    <row r="3660" customFormat="false" ht="18.7" hidden="false" customHeight="true" outlineLevel="0" collapsed="false"/>
    <row r="3661" customFormat="false" ht="18.7" hidden="false" customHeight="true" outlineLevel="0" collapsed="false"/>
    <row r="3662" customFormat="false" ht="18.7" hidden="false" customHeight="true" outlineLevel="0" collapsed="false"/>
    <row r="3663" customFormat="false" ht="18.7" hidden="false" customHeight="true" outlineLevel="0" collapsed="false"/>
    <row r="3664" customFormat="false" ht="18.7" hidden="false" customHeight="true" outlineLevel="0" collapsed="false"/>
    <row r="3665" customFormat="false" ht="18.7" hidden="false" customHeight="true" outlineLevel="0" collapsed="false"/>
    <row r="3666" customFormat="false" ht="18.7" hidden="false" customHeight="true" outlineLevel="0" collapsed="false"/>
    <row r="3667" customFormat="false" ht="18.7" hidden="false" customHeight="true" outlineLevel="0" collapsed="false"/>
    <row r="3668" customFormat="false" ht="18.7" hidden="false" customHeight="true" outlineLevel="0" collapsed="false"/>
    <row r="3669" customFormat="false" ht="18.7" hidden="false" customHeight="true" outlineLevel="0" collapsed="false"/>
    <row r="3670" customFormat="false" ht="18.7" hidden="false" customHeight="true" outlineLevel="0" collapsed="false"/>
    <row r="3671" customFormat="false" ht="18.7" hidden="false" customHeight="true" outlineLevel="0" collapsed="false"/>
    <row r="3672" customFormat="false" ht="18.7" hidden="false" customHeight="true" outlineLevel="0" collapsed="false"/>
    <row r="3673" customFormat="false" ht="18.7" hidden="false" customHeight="true" outlineLevel="0" collapsed="false"/>
    <row r="3674" customFormat="false" ht="18.7" hidden="false" customHeight="true" outlineLevel="0" collapsed="false"/>
    <row r="3675" customFormat="false" ht="18.7" hidden="false" customHeight="true" outlineLevel="0" collapsed="false"/>
    <row r="3676" customFormat="false" ht="18.7" hidden="false" customHeight="true" outlineLevel="0" collapsed="false"/>
    <row r="3677" customFormat="false" ht="18.7" hidden="false" customHeight="true" outlineLevel="0" collapsed="false"/>
    <row r="3678" customFormat="false" ht="18.7" hidden="false" customHeight="true" outlineLevel="0" collapsed="false"/>
    <row r="3679" customFormat="false" ht="18.7" hidden="false" customHeight="true" outlineLevel="0" collapsed="false"/>
    <row r="3680" customFormat="false" ht="18.7" hidden="false" customHeight="true" outlineLevel="0" collapsed="false"/>
    <row r="3681" customFormat="false" ht="18.7" hidden="false" customHeight="true" outlineLevel="0" collapsed="false"/>
    <row r="3682" customFormat="false" ht="18.7" hidden="false" customHeight="true" outlineLevel="0" collapsed="false"/>
    <row r="3683" customFormat="false" ht="18.7" hidden="false" customHeight="true" outlineLevel="0" collapsed="false"/>
    <row r="3684" customFormat="false" ht="18.7" hidden="false" customHeight="true" outlineLevel="0" collapsed="false"/>
    <row r="3685" customFormat="false" ht="18.7" hidden="false" customHeight="true" outlineLevel="0" collapsed="false"/>
    <row r="3686" customFormat="false" ht="18.7" hidden="false" customHeight="true" outlineLevel="0" collapsed="false"/>
    <row r="3687" customFormat="false" ht="18.7" hidden="false" customHeight="true" outlineLevel="0" collapsed="false"/>
    <row r="3688" customFormat="false" ht="18.7" hidden="false" customHeight="true" outlineLevel="0" collapsed="false"/>
    <row r="3689" customFormat="false" ht="18.7" hidden="false" customHeight="true" outlineLevel="0" collapsed="false"/>
    <row r="3690" customFormat="false" ht="18.7" hidden="false" customHeight="true" outlineLevel="0" collapsed="false"/>
    <row r="3691" customFormat="false" ht="18.7" hidden="false" customHeight="true" outlineLevel="0" collapsed="false"/>
    <row r="3692" customFormat="false" ht="18.7" hidden="false" customHeight="true" outlineLevel="0" collapsed="false"/>
    <row r="3693" customFormat="false" ht="18.7" hidden="false" customHeight="true" outlineLevel="0" collapsed="false"/>
    <row r="3694" customFormat="false" ht="18.7" hidden="false" customHeight="true" outlineLevel="0" collapsed="false"/>
    <row r="3695" customFormat="false" ht="18.7" hidden="false" customHeight="true" outlineLevel="0" collapsed="false"/>
    <row r="3696" customFormat="false" ht="18.7" hidden="false" customHeight="true" outlineLevel="0" collapsed="false"/>
    <row r="3697" customFormat="false" ht="18.7" hidden="false" customHeight="true" outlineLevel="0" collapsed="false"/>
    <row r="3698" customFormat="false" ht="18.7" hidden="false" customHeight="true" outlineLevel="0" collapsed="false"/>
    <row r="3699" customFormat="false" ht="18.7" hidden="false" customHeight="true" outlineLevel="0" collapsed="false"/>
    <row r="3700" customFormat="false" ht="18.7" hidden="false" customHeight="true" outlineLevel="0" collapsed="false"/>
    <row r="3701" customFormat="false" ht="18.7" hidden="false" customHeight="true" outlineLevel="0" collapsed="false"/>
    <row r="3702" customFormat="false" ht="18.7" hidden="false" customHeight="true" outlineLevel="0" collapsed="false"/>
    <row r="3703" customFormat="false" ht="18.7" hidden="false" customHeight="true" outlineLevel="0" collapsed="false"/>
    <row r="3704" customFormat="false" ht="18.7" hidden="false" customHeight="true" outlineLevel="0" collapsed="false"/>
    <row r="3705" customFormat="false" ht="18.7" hidden="false" customHeight="true" outlineLevel="0" collapsed="false"/>
    <row r="3706" customFormat="false" ht="18.7" hidden="false" customHeight="true" outlineLevel="0" collapsed="false"/>
    <row r="3707" customFormat="false" ht="18.7" hidden="false" customHeight="true" outlineLevel="0" collapsed="false"/>
    <row r="3708" customFormat="false" ht="18.7" hidden="false" customHeight="true" outlineLevel="0" collapsed="false"/>
    <row r="3709" customFormat="false" ht="18.7" hidden="false" customHeight="true" outlineLevel="0" collapsed="false"/>
    <row r="3710" customFormat="false" ht="18.7" hidden="false" customHeight="true" outlineLevel="0" collapsed="false"/>
    <row r="3711" customFormat="false" ht="18.7" hidden="false" customHeight="true" outlineLevel="0" collapsed="false"/>
    <row r="3712" customFormat="false" ht="18.7" hidden="false" customHeight="true" outlineLevel="0" collapsed="false"/>
    <row r="3713" customFormat="false" ht="18.7" hidden="false" customHeight="true" outlineLevel="0" collapsed="false"/>
    <row r="3714" customFormat="false" ht="18.7" hidden="false" customHeight="true" outlineLevel="0" collapsed="false"/>
    <row r="3715" customFormat="false" ht="18.7" hidden="false" customHeight="true" outlineLevel="0" collapsed="false"/>
    <row r="3716" customFormat="false" ht="18.7" hidden="false" customHeight="true" outlineLevel="0" collapsed="false"/>
    <row r="3717" customFormat="false" ht="18.7" hidden="false" customHeight="true" outlineLevel="0" collapsed="false"/>
    <row r="3718" customFormat="false" ht="18.7" hidden="false" customHeight="true" outlineLevel="0" collapsed="false"/>
    <row r="3719" customFormat="false" ht="18.7" hidden="false" customHeight="true" outlineLevel="0" collapsed="false"/>
    <row r="3720" customFormat="false" ht="18.7" hidden="false" customHeight="true" outlineLevel="0" collapsed="false"/>
    <row r="3721" customFormat="false" ht="18.7" hidden="false" customHeight="true" outlineLevel="0" collapsed="false"/>
    <row r="3722" customFormat="false" ht="18.7" hidden="false" customHeight="true" outlineLevel="0" collapsed="false"/>
    <row r="3723" customFormat="false" ht="18.7" hidden="false" customHeight="true" outlineLevel="0" collapsed="false"/>
    <row r="3724" customFormat="false" ht="18.7" hidden="false" customHeight="true" outlineLevel="0" collapsed="false"/>
    <row r="3725" customFormat="false" ht="18.7" hidden="false" customHeight="true" outlineLevel="0" collapsed="false"/>
    <row r="3726" customFormat="false" ht="18.7" hidden="false" customHeight="true" outlineLevel="0" collapsed="false"/>
    <row r="3727" customFormat="false" ht="18.7" hidden="false" customHeight="true" outlineLevel="0" collapsed="false"/>
    <row r="3728" customFormat="false" ht="18.7" hidden="false" customHeight="true" outlineLevel="0" collapsed="false"/>
    <row r="3729" customFormat="false" ht="18.7" hidden="false" customHeight="true" outlineLevel="0" collapsed="false"/>
    <row r="3730" customFormat="false" ht="18.7" hidden="false" customHeight="true" outlineLevel="0" collapsed="false"/>
    <row r="3731" customFormat="false" ht="18.7" hidden="false" customHeight="true" outlineLevel="0" collapsed="false"/>
    <row r="3732" customFormat="false" ht="18.7" hidden="false" customHeight="true" outlineLevel="0" collapsed="false"/>
    <row r="3733" customFormat="false" ht="18.7" hidden="false" customHeight="true" outlineLevel="0" collapsed="false"/>
    <row r="3734" customFormat="false" ht="18.7" hidden="false" customHeight="true" outlineLevel="0" collapsed="false"/>
    <row r="3735" customFormat="false" ht="18.7" hidden="false" customHeight="true" outlineLevel="0" collapsed="false"/>
    <row r="3736" customFormat="false" ht="18.7" hidden="false" customHeight="true" outlineLevel="0" collapsed="false"/>
    <row r="3737" customFormat="false" ht="18.7" hidden="false" customHeight="true" outlineLevel="0" collapsed="false"/>
    <row r="3738" customFormat="false" ht="18.7" hidden="false" customHeight="true" outlineLevel="0" collapsed="false"/>
    <row r="3739" customFormat="false" ht="18.7" hidden="false" customHeight="true" outlineLevel="0" collapsed="false"/>
    <row r="3740" customFormat="false" ht="18.7" hidden="false" customHeight="true" outlineLevel="0" collapsed="false"/>
    <row r="3741" customFormat="false" ht="18.7" hidden="false" customHeight="true" outlineLevel="0" collapsed="false"/>
    <row r="3742" customFormat="false" ht="18.7" hidden="false" customHeight="true" outlineLevel="0" collapsed="false"/>
    <row r="3743" customFormat="false" ht="18.7" hidden="false" customHeight="true" outlineLevel="0" collapsed="false"/>
    <row r="3744" customFormat="false" ht="18.7" hidden="false" customHeight="true" outlineLevel="0" collapsed="false"/>
    <row r="3745" customFormat="false" ht="18.7" hidden="false" customHeight="true" outlineLevel="0" collapsed="false"/>
    <row r="3746" customFormat="false" ht="18.7" hidden="false" customHeight="true" outlineLevel="0" collapsed="false"/>
    <row r="3747" customFormat="false" ht="18.7" hidden="false" customHeight="true" outlineLevel="0" collapsed="false"/>
    <row r="3748" customFormat="false" ht="18.7" hidden="false" customHeight="true" outlineLevel="0" collapsed="false"/>
    <row r="3749" customFormat="false" ht="18.7" hidden="false" customHeight="true" outlineLevel="0" collapsed="false"/>
    <row r="3750" customFormat="false" ht="18.7" hidden="false" customHeight="true" outlineLevel="0" collapsed="false"/>
    <row r="3751" customFormat="false" ht="18.7" hidden="false" customHeight="true" outlineLevel="0" collapsed="false"/>
    <row r="3752" customFormat="false" ht="18.7" hidden="false" customHeight="true" outlineLevel="0" collapsed="false"/>
    <row r="3753" customFormat="false" ht="18.7" hidden="false" customHeight="true" outlineLevel="0" collapsed="false"/>
    <row r="3754" customFormat="false" ht="18.7" hidden="false" customHeight="true" outlineLevel="0" collapsed="false"/>
    <row r="3755" customFormat="false" ht="18.7" hidden="false" customHeight="true" outlineLevel="0" collapsed="false"/>
    <row r="3756" customFormat="false" ht="18.7" hidden="false" customHeight="true" outlineLevel="0" collapsed="false"/>
    <row r="3757" customFormat="false" ht="18.7" hidden="false" customHeight="true" outlineLevel="0" collapsed="false"/>
    <row r="3758" customFormat="false" ht="18.7" hidden="false" customHeight="true" outlineLevel="0" collapsed="false"/>
    <row r="3759" customFormat="false" ht="18.7" hidden="false" customHeight="true" outlineLevel="0" collapsed="false"/>
    <row r="3760" customFormat="false" ht="18.7" hidden="false" customHeight="true" outlineLevel="0" collapsed="false"/>
    <row r="3761" customFormat="false" ht="18.7" hidden="false" customHeight="true" outlineLevel="0" collapsed="false"/>
    <row r="3762" customFormat="false" ht="18.7" hidden="false" customHeight="true" outlineLevel="0" collapsed="false"/>
    <row r="3763" customFormat="false" ht="18.7" hidden="false" customHeight="true" outlineLevel="0" collapsed="false"/>
    <row r="3764" customFormat="false" ht="18.7" hidden="false" customHeight="true" outlineLevel="0" collapsed="false"/>
    <row r="3765" customFormat="false" ht="18.7" hidden="false" customHeight="true" outlineLevel="0" collapsed="false"/>
    <row r="3766" customFormat="false" ht="18.7" hidden="false" customHeight="true" outlineLevel="0" collapsed="false"/>
    <row r="3767" customFormat="false" ht="18.7" hidden="false" customHeight="true" outlineLevel="0" collapsed="false"/>
    <row r="3768" customFormat="false" ht="18.7" hidden="false" customHeight="true" outlineLevel="0" collapsed="false"/>
    <row r="3769" customFormat="false" ht="18.7" hidden="false" customHeight="true" outlineLevel="0" collapsed="false"/>
    <row r="3770" customFormat="false" ht="18.7" hidden="false" customHeight="true" outlineLevel="0" collapsed="false"/>
    <row r="3771" customFormat="false" ht="18.7" hidden="false" customHeight="true" outlineLevel="0" collapsed="false"/>
    <row r="3772" customFormat="false" ht="18.7" hidden="false" customHeight="true" outlineLevel="0" collapsed="false"/>
    <row r="3773" customFormat="false" ht="18.7" hidden="false" customHeight="true" outlineLevel="0" collapsed="false"/>
    <row r="3774" customFormat="false" ht="18.7" hidden="false" customHeight="true" outlineLevel="0" collapsed="false"/>
    <row r="3775" customFormat="false" ht="18.7" hidden="false" customHeight="true" outlineLevel="0" collapsed="false"/>
    <row r="3776" customFormat="false" ht="18.7" hidden="false" customHeight="true" outlineLevel="0" collapsed="false"/>
    <row r="3777" customFormat="false" ht="18.7" hidden="false" customHeight="true" outlineLevel="0" collapsed="false"/>
    <row r="3778" customFormat="false" ht="18.7" hidden="false" customHeight="true" outlineLevel="0" collapsed="false"/>
    <row r="3779" customFormat="false" ht="18.7" hidden="false" customHeight="true" outlineLevel="0" collapsed="false"/>
    <row r="3780" customFormat="false" ht="18.7" hidden="false" customHeight="true" outlineLevel="0" collapsed="false"/>
    <row r="3781" customFormat="false" ht="18.7" hidden="false" customHeight="true" outlineLevel="0" collapsed="false"/>
    <row r="3782" customFormat="false" ht="18.7" hidden="false" customHeight="true" outlineLevel="0" collapsed="false"/>
    <row r="3783" customFormat="false" ht="18.7" hidden="false" customHeight="true" outlineLevel="0" collapsed="false"/>
    <row r="3784" customFormat="false" ht="18.7" hidden="false" customHeight="true" outlineLevel="0" collapsed="false"/>
    <row r="3785" customFormat="false" ht="18.7" hidden="false" customHeight="true" outlineLevel="0" collapsed="false"/>
    <row r="3786" customFormat="false" ht="18.7" hidden="false" customHeight="true" outlineLevel="0" collapsed="false"/>
    <row r="3787" customFormat="false" ht="18.7" hidden="false" customHeight="true" outlineLevel="0" collapsed="false"/>
    <row r="3788" customFormat="false" ht="18.7" hidden="false" customHeight="true" outlineLevel="0" collapsed="false"/>
    <row r="3789" customFormat="false" ht="18.7" hidden="false" customHeight="true" outlineLevel="0" collapsed="false"/>
    <row r="3790" customFormat="false" ht="18.7" hidden="false" customHeight="true" outlineLevel="0" collapsed="false"/>
    <row r="3791" customFormat="false" ht="18.7" hidden="false" customHeight="true" outlineLevel="0" collapsed="false"/>
    <row r="3792" customFormat="false" ht="18.7" hidden="false" customHeight="true" outlineLevel="0" collapsed="false"/>
    <row r="3793" customFormat="false" ht="18.7" hidden="false" customHeight="true" outlineLevel="0" collapsed="false"/>
    <row r="3794" customFormat="false" ht="18.7" hidden="false" customHeight="true" outlineLevel="0" collapsed="false"/>
    <row r="3795" customFormat="false" ht="18.7" hidden="false" customHeight="true" outlineLevel="0" collapsed="false"/>
    <row r="3796" customFormat="false" ht="18.7" hidden="false" customHeight="true" outlineLevel="0" collapsed="false"/>
    <row r="3797" customFormat="false" ht="18.7" hidden="false" customHeight="true" outlineLevel="0" collapsed="false"/>
    <row r="3798" customFormat="false" ht="18.7" hidden="false" customHeight="true" outlineLevel="0" collapsed="false"/>
    <row r="3799" customFormat="false" ht="18.7" hidden="false" customHeight="true" outlineLevel="0" collapsed="false"/>
    <row r="3800" customFormat="false" ht="18.7" hidden="false" customHeight="true" outlineLevel="0" collapsed="false"/>
    <row r="3801" customFormat="false" ht="18.7" hidden="false" customHeight="true" outlineLevel="0" collapsed="false"/>
    <row r="3802" customFormat="false" ht="18.7" hidden="false" customHeight="true" outlineLevel="0" collapsed="false"/>
    <row r="3803" customFormat="false" ht="18.7" hidden="false" customHeight="true" outlineLevel="0" collapsed="false"/>
    <row r="3804" customFormat="false" ht="18.7" hidden="false" customHeight="true" outlineLevel="0" collapsed="false"/>
    <row r="3805" customFormat="false" ht="18.7" hidden="false" customHeight="true" outlineLevel="0" collapsed="false"/>
    <row r="3806" customFormat="false" ht="18.7" hidden="false" customHeight="true" outlineLevel="0" collapsed="false"/>
    <row r="3807" customFormat="false" ht="18.7" hidden="false" customHeight="true" outlineLevel="0" collapsed="false"/>
    <row r="3808" customFormat="false" ht="18.7" hidden="false" customHeight="true" outlineLevel="0" collapsed="false"/>
    <row r="3809" customFormat="false" ht="18.7" hidden="false" customHeight="true" outlineLevel="0" collapsed="false"/>
    <row r="3810" customFormat="false" ht="18.7" hidden="false" customHeight="true" outlineLevel="0" collapsed="false"/>
    <row r="3811" customFormat="false" ht="18.7" hidden="false" customHeight="true" outlineLevel="0" collapsed="false"/>
    <row r="3812" customFormat="false" ht="18.7" hidden="false" customHeight="true" outlineLevel="0" collapsed="false"/>
    <row r="3813" customFormat="false" ht="18.7" hidden="false" customHeight="true" outlineLevel="0" collapsed="false"/>
    <row r="3814" customFormat="false" ht="18.7" hidden="false" customHeight="true" outlineLevel="0" collapsed="false"/>
    <row r="3815" customFormat="false" ht="18.7" hidden="false" customHeight="true" outlineLevel="0" collapsed="false"/>
    <row r="3816" customFormat="false" ht="18.7" hidden="false" customHeight="true" outlineLevel="0" collapsed="false"/>
    <row r="3817" customFormat="false" ht="18.7" hidden="false" customHeight="true" outlineLevel="0" collapsed="false"/>
    <row r="3818" customFormat="false" ht="18.7" hidden="false" customHeight="true" outlineLevel="0" collapsed="false"/>
    <row r="3819" customFormat="false" ht="18.7" hidden="false" customHeight="true" outlineLevel="0" collapsed="false"/>
    <row r="3820" customFormat="false" ht="18.7" hidden="false" customHeight="true" outlineLevel="0" collapsed="false"/>
    <row r="3821" customFormat="false" ht="18.7" hidden="false" customHeight="true" outlineLevel="0" collapsed="false"/>
    <row r="3822" customFormat="false" ht="18.7" hidden="false" customHeight="true" outlineLevel="0" collapsed="false"/>
    <row r="3823" customFormat="false" ht="18.7" hidden="false" customHeight="true" outlineLevel="0" collapsed="false"/>
    <row r="3824" customFormat="false" ht="18.7" hidden="false" customHeight="true" outlineLevel="0" collapsed="false"/>
    <row r="3825" customFormat="false" ht="18.7" hidden="false" customHeight="true" outlineLevel="0" collapsed="false"/>
    <row r="3826" customFormat="false" ht="18.7" hidden="false" customHeight="true" outlineLevel="0" collapsed="false"/>
    <row r="3827" customFormat="false" ht="18.7" hidden="false" customHeight="true" outlineLevel="0" collapsed="false"/>
    <row r="3828" customFormat="false" ht="18.7" hidden="false" customHeight="true" outlineLevel="0" collapsed="false"/>
    <row r="3829" customFormat="false" ht="18.7" hidden="false" customHeight="true" outlineLevel="0" collapsed="false"/>
    <row r="3830" customFormat="false" ht="18.7" hidden="false" customHeight="true" outlineLevel="0" collapsed="false"/>
    <row r="3831" customFormat="false" ht="18.7" hidden="false" customHeight="true" outlineLevel="0" collapsed="false"/>
    <row r="3832" customFormat="false" ht="18.7" hidden="false" customHeight="true" outlineLevel="0" collapsed="false"/>
    <row r="3833" customFormat="false" ht="18.7" hidden="false" customHeight="true" outlineLevel="0" collapsed="false"/>
    <row r="3834" customFormat="false" ht="18.7" hidden="false" customHeight="true" outlineLevel="0" collapsed="false"/>
    <row r="3835" customFormat="false" ht="18.7" hidden="false" customHeight="true" outlineLevel="0" collapsed="false"/>
    <row r="3836" customFormat="false" ht="18.7" hidden="false" customHeight="true" outlineLevel="0" collapsed="false"/>
    <row r="3837" customFormat="false" ht="18.7" hidden="false" customHeight="true" outlineLevel="0" collapsed="false"/>
    <row r="3838" customFormat="false" ht="18.7" hidden="false" customHeight="true" outlineLevel="0" collapsed="false"/>
    <row r="3839" customFormat="false" ht="18.7" hidden="false" customHeight="true" outlineLevel="0" collapsed="false"/>
    <row r="3840" customFormat="false" ht="18.7" hidden="false" customHeight="true" outlineLevel="0" collapsed="false"/>
    <row r="3841" customFormat="false" ht="18.7" hidden="false" customHeight="true" outlineLevel="0" collapsed="false"/>
    <row r="3842" customFormat="false" ht="18.7" hidden="false" customHeight="true" outlineLevel="0" collapsed="false"/>
    <row r="3843" customFormat="false" ht="18.7" hidden="false" customHeight="true" outlineLevel="0" collapsed="false"/>
    <row r="3844" customFormat="false" ht="18.7" hidden="false" customHeight="true" outlineLevel="0" collapsed="false"/>
    <row r="3845" customFormat="false" ht="18.7" hidden="false" customHeight="true" outlineLevel="0" collapsed="false"/>
    <row r="3846" customFormat="false" ht="18.7" hidden="false" customHeight="true" outlineLevel="0" collapsed="false"/>
    <row r="3847" customFormat="false" ht="18.7" hidden="false" customHeight="true" outlineLevel="0" collapsed="false"/>
    <row r="3848" customFormat="false" ht="18.7" hidden="false" customHeight="true" outlineLevel="0" collapsed="false"/>
    <row r="3849" customFormat="false" ht="18.7" hidden="false" customHeight="true" outlineLevel="0" collapsed="false"/>
    <row r="3850" customFormat="false" ht="18.7" hidden="false" customHeight="true" outlineLevel="0" collapsed="false"/>
    <row r="3851" customFormat="false" ht="18.7" hidden="false" customHeight="true" outlineLevel="0" collapsed="false"/>
    <row r="3852" customFormat="false" ht="18.7" hidden="false" customHeight="true" outlineLevel="0" collapsed="false"/>
    <row r="3853" customFormat="false" ht="18.7" hidden="false" customHeight="true" outlineLevel="0" collapsed="false"/>
    <row r="3854" customFormat="false" ht="18.7" hidden="false" customHeight="true" outlineLevel="0" collapsed="false"/>
    <row r="3855" customFormat="false" ht="18.7" hidden="false" customHeight="true" outlineLevel="0" collapsed="false"/>
    <row r="3856" customFormat="false" ht="18.7" hidden="false" customHeight="true" outlineLevel="0" collapsed="false"/>
    <row r="3857" customFormat="false" ht="18.7" hidden="false" customHeight="true" outlineLevel="0" collapsed="false"/>
    <row r="3858" customFormat="false" ht="18.7" hidden="false" customHeight="true" outlineLevel="0" collapsed="false"/>
    <row r="3859" customFormat="false" ht="18.7" hidden="false" customHeight="true" outlineLevel="0" collapsed="false"/>
    <row r="3860" customFormat="false" ht="18.7" hidden="false" customHeight="true" outlineLevel="0" collapsed="false"/>
    <row r="3861" customFormat="false" ht="18.7" hidden="false" customHeight="true" outlineLevel="0" collapsed="false"/>
    <row r="3862" customFormat="false" ht="18.7" hidden="false" customHeight="true" outlineLevel="0" collapsed="false"/>
    <row r="3863" customFormat="false" ht="18.7" hidden="false" customHeight="true" outlineLevel="0" collapsed="false"/>
    <row r="3864" customFormat="false" ht="18.7" hidden="false" customHeight="true" outlineLevel="0" collapsed="false"/>
    <row r="3865" customFormat="false" ht="18.7" hidden="false" customHeight="true" outlineLevel="0" collapsed="false"/>
    <row r="3866" customFormat="false" ht="18.7" hidden="false" customHeight="true" outlineLevel="0" collapsed="false"/>
    <row r="3867" customFormat="false" ht="18.7" hidden="false" customHeight="true" outlineLevel="0" collapsed="false"/>
    <row r="3868" customFormat="false" ht="18.7" hidden="false" customHeight="true" outlineLevel="0" collapsed="false"/>
    <row r="3869" customFormat="false" ht="18.7" hidden="false" customHeight="true" outlineLevel="0" collapsed="false"/>
    <row r="3870" customFormat="false" ht="18.7" hidden="false" customHeight="true" outlineLevel="0" collapsed="false"/>
    <row r="3871" customFormat="false" ht="18.7" hidden="false" customHeight="true" outlineLevel="0" collapsed="false"/>
    <row r="3872" customFormat="false" ht="18.7" hidden="false" customHeight="true" outlineLevel="0" collapsed="false"/>
    <row r="3873" customFormat="false" ht="18.7" hidden="false" customHeight="true" outlineLevel="0" collapsed="false"/>
    <row r="3874" customFormat="false" ht="18.7" hidden="false" customHeight="true" outlineLevel="0" collapsed="false"/>
    <row r="3875" customFormat="false" ht="18.7" hidden="false" customHeight="true" outlineLevel="0" collapsed="false"/>
    <row r="3876" customFormat="false" ht="18.7" hidden="false" customHeight="true" outlineLevel="0" collapsed="false"/>
    <row r="3877" customFormat="false" ht="18.7" hidden="false" customHeight="true" outlineLevel="0" collapsed="false"/>
    <row r="3878" customFormat="false" ht="18.7" hidden="false" customHeight="true" outlineLevel="0" collapsed="false"/>
    <row r="3879" customFormat="false" ht="18.7" hidden="false" customHeight="true" outlineLevel="0" collapsed="false"/>
    <row r="3880" customFormat="false" ht="18.7" hidden="false" customHeight="true" outlineLevel="0" collapsed="false"/>
    <row r="3881" customFormat="false" ht="18.7" hidden="false" customHeight="true" outlineLevel="0" collapsed="false"/>
    <row r="3882" customFormat="false" ht="18.7" hidden="false" customHeight="true" outlineLevel="0" collapsed="false"/>
    <row r="3883" customFormat="false" ht="18.7" hidden="false" customHeight="true" outlineLevel="0" collapsed="false"/>
    <row r="3884" customFormat="false" ht="18.7" hidden="false" customHeight="true" outlineLevel="0" collapsed="false"/>
    <row r="3885" customFormat="false" ht="18.7" hidden="false" customHeight="true" outlineLevel="0" collapsed="false"/>
    <row r="3886" customFormat="false" ht="18.7" hidden="false" customHeight="true" outlineLevel="0" collapsed="false"/>
    <row r="3887" customFormat="false" ht="18.7" hidden="false" customHeight="true" outlineLevel="0" collapsed="false"/>
    <row r="3888" customFormat="false" ht="18.7" hidden="false" customHeight="true" outlineLevel="0" collapsed="false"/>
    <row r="3889" customFormat="false" ht="18.7" hidden="false" customHeight="true" outlineLevel="0" collapsed="false"/>
    <row r="3890" customFormat="false" ht="18.7" hidden="false" customHeight="true" outlineLevel="0" collapsed="false"/>
    <row r="3891" customFormat="false" ht="18.7" hidden="false" customHeight="true" outlineLevel="0" collapsed="false"/>
    <row r="3892" customFormat="false" ht="18.7" hidden="false" customHeight="true" outlineLevel="0" collapsed="false"/>
    <row r="3893" customFormat="false" ht="18.7" hidden="false" customHeight="true" outlineLevel="0" collapsed="false"/>
    <row r="3894" customFormat="false" ht="18.7" hidden="false" customHeight="true" outlineLevel="0" collapsed="false"/>
    <row r="3895" customFormat="false" ht="18.7" hidden="false" customHeight="true" outlineLevel="0" collapsed="false"/>
    <row r="3896" customFormat="false" ht="18.7" hidden="false" customHeight="true" outlineLevel="0" collapsed="false"/>
    <row r="3897" customFormat="false" ht="18.7" hidden="false" customHeight="true" outlineLevel="0" collapsed="false"/>
    <row r="3898" customFormat="false" ht="18.7" hidden="false" customHeight="true" outlineLevel="0" collapsed="false"/>
    <row r="3899" customFormat="false" ht="18.7" hidden="false" customHeight="true" outlineLevel="0" collapsed="false"/>
    <row r="3900" customFormat="false" ht="18.7" hidden="false" customHeight="true" outlineLevel="0" collapsed="false"/>
    <row r="3901" customFormat="false" ht="18.7" hidden="false" customHeight="true" outlineLevel="0" collapsed="false"/>
    <row r="3902" customFormat="false" ht="18.7" hidden="false" customHeight="true" outlineLevel="0" collapsed="false"/>
    <row r="3903" customFormat="false" ht="18.7" hidden="false" customHeight="true" outlineLevel="0" collapsed="false"/>
    <row r="3904" customFormat="false" ht="18.7" hidden="false" customHeight="true" outlineLevel="0" collapsed="false"/>
    <row r="3905" customFormat="false" ht="18.7" hidden="false" customHeight="true" outlineLevel="0" collapsed="false"/>
    <row r="3906" customFormat="false" ht="18.7" hidden="false" customHeight="true" outlineLevel="0" collapsed="false"/>
    <row r="3907" customFormat="false" ht="18.7" hidden="false" customHeight="true" outlineLevel="0" collapsed="false"/>
    <row r="3908" customFormat="false" ht="18.7" hidden="false" customHeight="true" outlineLevel="0" collapsed="false"/>
    <row r="3909" customFormat="false" ht="18.7" hidden="false" customHeight="true" outlineLevel="0" collapsed="false"/>
    <row r="3910" customFormat="false" ht="18.7" hidden="false" customHeight="true" outlineLevel="0" collapsed="false"/>
    <row r="3911" customFormat="false" ht="18.7" hidden="false" customHeight="true" outlineLevel="0" collapsed="false"/>
    <row r="3912" customFormat="false" ht="18.7" hidden="false" customHeight="true" outlineLevel="0" collapsed="false"/>
    <row r="3913" customFormat="false" ht="18.7" hidden="false" customHeight="true" outlineLevel="0" collapsed="false"/>
    <row r="3914" customFormat="false" ht="18.7" hidden="false" customHeight="true" outlineLevel="0" collapsed="false"/>
    <row r="3915" customFormat="false" ht="18.7" hidden="false" customHeight="true" outlineLevel="0" collapsed="false"/>
    <row r="3916" customFormat="false" ht="18.7" hidden="false" customHeight="true" outlineLevel="0" collapsed="false"/>
    <row r="3917" customFormat="false" ht="18.7" hidden="false" customHeight="true" outlineLevel="0" collapsed="false"/>
    <row r="3918" customFormat="false" ht="18.7" hidden="false" customHeight="true" outlineLevel="0" collapsed="false"/>
    <row r="3919" customFormat="false" ht="18.7" hidden="false" customHeight="true" outlineLevel="0" collapsed="false"/>
    <row r="3920" customFormat="false" ht="18.7" hidden="false" customHeight="true" outlineLevel="0" collapsed="false"/>
    <row r="3921" customFormat="false" ht="18.7" hidden="false" customHeight="true" outlineLevel="0" collapsed="false"/>
    <row r="3922" customFormat="false" ht="18.7" hidden="false" customHeight="true" outlineLevel="0" collapsed="false"/>
    <row r="3923" customFormat="false" ht="18.7" hidden="false" customHeight="true" outlineLevel="0" collapsed="false"/>
    <row r="3924" customFormat="false" ht="18.7" hidden="false" customHeight="true" outlineLevel="0" collapsed="false"/>
    <row r="3925" customFormat="false" ht="18.7" hidden="false" customHeight="true" outlineLevel="0" collapsed="false"/>
    <row r="3926" customFormat="false" ht="18.7" hidden="false" customHeight="true" outlineLevel="0" collapsed="false"/>
    <row r="3927" customFormat="false" ht="18.7" hidden="false" customHeight="true" outlineLevel="0" collapsed="false"/>
    <row r="3928" customFormat="false" ht="18.7" hidden="false" customHeight="true" outlineLevel="0" collapsed="false"/>
    <row r="3929" customFormat="false" ht="18.7" hidden="false" customHeight="true" outlineLevel="0" collapsed="false"/>
    <row r="3930" customFormat="false" ht="18.7" hidden="false" customHeight="true" outlineLevel="0" collapsed="false"/>
    <row r="3931" customFormat="false" ht="18.7" hidden="false" customHeight="true" outlineLevel="0" collapsed="false"/>
    <row r="3932" customFormat="false" ht="18.7" hidden="false" customHeight="true" outlineLevel="0" collapsed="false"/>
    <row r="3933" customFormat="false" ht="18.7" hidden="false" customHeight="true" outlineLevel="0" collapsed="false"/>
    <row r="3934" customFormat="false" ht="18.7" hidden="false" customHeight="true" outlineLevel="0" collapsed="false"/>
    <row r="3935" customFormat="false" ht="18.7" hidden="false" customHeight="true" outlineLevel="0" collapsed="false"/>
    <row r="3936" customFormat="false" ht="18.7" hidden="false" customHeight="true" outlineLevel="0" collapsed="false"/>
    <row r="3937" customFormat="false" ht="18.7" hidden="false" customHeight="true" outlineLevel="0" collapsed="false"/>
    <row r="3938" customFormat="false" ht="18.7" hidden="false" customHeight="true" outlineLevel="0" collapsed="false"/>
    <row r="3939" customFormat="false" ht="18.7" hidden="false" customHeight="true" outlineLevel="0" collapsed="false"/>
    <row r="3940" customFormat="false" ht="18.7" hidden="false" customHeight="true" outlineLevel="0" collapsed="false"/>
    <row r="3941" customFormat="false" ht="18.7" hidden="false" customHeight="true" outlineLevel="0" collapsed="false"/>
    <row r="3942" customFormat="false" ht="18.7" hidden="false" customHeight="true" outlineLevel="0" collapsed="false"/>
    <row r="3943" customFormat="false" ht="18.7" hidden="false" customHeight="true" outlineLevel="0" collapsed="false"/>
    <row r="3944" customFormat="false" ht="18.7" hidden="false" customHeight="true" outlineLevel="0" collapsed="false"/>
    <row r="3945" customFormat="false" ht="18.7" hidden="false" customHeight="true" outlineLevel="0" collapsed="false"/>
    <row r="3946" customFormat="false" ht="18.7" hidden="false" customHeight="true" outlineLevel="0" collapsed="false"/>
    <row r="3947" customFormat="false" ht="18.7" hidden="false" customHeight="true" outlineLevel="0" collapsed="false"/>
    <row r="3948" customFormat="false" ht="18.7" hidden="false" customHeight="true" outlineLevel="0" collapsed="false"/>
    <row r="3949" customFormat="false" ht="18.7" hidden="false" customHeight="true" outlineLevel="0" collapsed="false"/>
    <row r="3950" customFormat="false" ht="18.7" hidden="false" customHeight="true" outlineLevel="0" collapsed="false"/>
    <row r="3951" customFormat="false" ht="18.7" hidden="false" customHeight="true" outlineLevel="0" collapsed="false"/>
    <row r="3952" customFormat="false" ht="18.7" hidden="false" customHeight="true" outlineLevel="0" collapsed="false"/>
    <row r="3953" customFormat="false" ht="18.7" hidden="false" customHeight="true" outlineLevel="0" collapsed="false"/>
    <row r="3954" customFormat="false" ht="18.7" hidden="false" customHeight="true" outlineLevel="0" collapsed="false"/>
    <row r="3955" customFormat="false" ht="18.7" hidden="false" customHeight="true" outlineLevel="0" collapsed="false"/>
    <row r="3956" customFormat="false" ht="18.7" hidden="false" customHeight="true" outlineLevel="0" collapsed="false"/>
    <row r="3957" customFormat="false" ht="18.7" hidden="false" customHeight="true" outlineLevel="0" collapsed="false"/>
    <row r="3958" customFormat="false" ht="18.7" hidden="false" customHeight="true" outlineLevel="0" collapsed="false"/>
    <row r="3959" customFormat="false" ht="18.7" hidden="false" customHeight="true" outlineLevel="0" collapsed="false"/>
    <row r="3960" customFormat="false" ht="18.7" hidden="false" customHeight="true" outlineLevel="0" collapsed="false"/>
    <row r="3961" customFormat="false" ht="18.7" hidden="false" customHeight="true" outlineLevel="0" collapsed="false"/>
    <row r="3962" customFormat="false" ht="18.7" hidden="false" customHeight="true" outlineLevel="0" collapsed="false"/>
    <row r="3963" customFormat="false" ht="18.7" hidden="false" customHeight="true" outlineLevel="0" collapsed="false"/>
    <row r="3964" customFormat="false" ht="18.7" hidden="false" customHeight="true" outlineLevel="0" collapsed="false"/>
    <row r="3965" customFormat="false" ht="18.7" hidden="false" customHeight="true" outlineLevel="0" collapsed="false"/>
    <row r="3966" customFormat="false" ht="18.7" hidden="false" customHeight="true" outlineLevel="0" collapsed="false"/>
    <row r="3967" customFormat="false" ht="18.7" hidden="false" customHeight="true" outlineLevel="0" collapsed="false"/>
    <row r="3968" customFormat="false" ht="18.7" hidden="false" customHeight="true" outlineLevel="0" collapsed="false"/>
    <row r="3969" customFormat="false" ht="18.7" hidden="false" customHeight="true" outlineLevel="0" collapsed="false"/>
    <row r="3970" customFormat="false" ht="18.7" hidden="false" customHeight="true" outlineLevel="0" collapsed="false"/>
    <row r="3971" customFormat="false" ht="18.7" hidden="false" customHeight="true" outlineLevel="0" collapsed="false"/>
    <row r="3972" customFormat="false" ht="18.7" hidden="false" customHeight="true" outlineLevel="0" collapsed="false"/>
    <row r="3973" customFormat="false" ht="18.7" hidden="false" customHeight="true" outlineLevel="0" collapsed="false"/>
    <row r="3974" customFormat="false" ht="18.7" hidden="false" customHeight="true" outlineLevel="0" collapsed="false"/>
    <row r="3975" customFormat="false" ht="18.7" hidden="false" customHeight="true" outlineLevel="0" collapsed="false"/>
    <row r="3976" customFormat="false" ht="18.7" hidden="false" customHeight="true" outlineLevel="0" collapsed="false"/>
    <row r="3977" customFormat="false" ht="18.7" hidden="false" customHeight="true" outlineLevel="0" collapsed="false"/>
    <row r="3978" customFormat="false" ht="18.7" hidden="false" customHeight="true" outlineLevel="0" collapsed="false"/>
    <row r="3979" customFormat="false" ht="18.7" hidden="false" customHeight="true" outlineLevel="0" collapsed="false"/>
    <row r="3980" customFormat="false" ht="18.7" hidden="false" customHeight="true" outlineLevel="0" collapsed="false"/>
    <row r="3981" customFormat="false" ht="18.7" hidden="false" customHeight="true" outlineLevel="0" collapsed="false"/>
    <row r="3982" customFormat="false" ht="18.7" hidden="false" customHeight="true" outlineLevel="0" collapsed="false"/>
    <row r="3983" customFormat="false" ht="18.7" hidden="false" customHeight="true" outlineLevel="0" collapsed="false"/>
    <row r="3984" customFormat="false" ht="18.7" hidden="false" customHeight="true" outlineLevel="0" collapsed="false"/>
    <row r="3985" customFormat="false" ht="18.7" hidden="false" customHeight="true" outlineLevel="0" collapsed="false"/>
    <row r="3986" customFormat="false" ht="18.7" hidden="false" customHeight="true" outlineLevel="0" collapsed="false"/>
    <row r="3987" customFormat="false" ht="18.7" hidden="false" customHeight="true" outlineLevel="0" collapsed="false"/>
    <row r="3988" customFormat="false" ht="18.7" hidden="false" customHeight="true" outlineLevel="0" collapsed="false"/>
    <row r="3989" customFormat="false" ht="18.7" hidden="false" customHeight="true" outlineLevel="0" collapsed="false"/>
    <row r="3990" customFormat="false" ht="18.7" hidden="false" customHeight="true" outlineLevel="0" collapsed="false"/>
    <row r="3991" customFormat="false" ht="18.7" hidden="false" customHeight="true" outlineLevel="0" collapsed="false"/>
    <row r="3992" customFormat="false" ht="18.7" hidden="false" customHeight="true" outlineLevel="0" collapsed="false"/>
    <row r="3993" customFormat="false" ht="18.7" hidden="false" customHeight="true" outlineLevel="0" collapsed="false"/>
    <row r="3994" customFormat="false" ht="18.7" hidden="false" customHeight="true" outlineLevel="0" collapsed="false"/>
    <row r="3995" customFormat="false" ht="18.7" hidden="false" customHeight="true" outlineLevel="0" collapsed="false"/>
    <row r="3996" customFormat="false" ht="18.7" hidden="false" customHeight="true" outlineLevel="0" collapsed="false"/>
    <row r="3997" customFormat="false" ht="18.7" hidden="false" customHeight="true" outlineLevel="0" collapsed="false"/>
    <row r="3998" customFormat="false" ht="18.7" hidden="false" customHeight="true" outlineLevel="0" collapsed="false"/>
    <row r="3999" customFormat="false" ht="18.7" hidden="false" customHeight="true" outlineLevel="0" collapsed="false"/>
    <row r="4000" customFormat="false" ht="18.7" hidden="false" customHeight="true" outlineLevel="0" collapsed="false"/>
    <row r="4001" customFormat="false" ht="18.7" hidden="false" customHeight="true" outlineLevel="0" collapsed="false"/>
    <row r="4002" customFormat="false" ht="18.7" hidden="false" customHeight="true" outlineLevel="0" collapsed="false"/>
    <row r="4003" customFormat="false" ht="18.7" hidden="false" customHeight="true" outlineLevel="0" collapsed="false"/>
    <row r="4004" customFormat="false" ht="18.7" hidden="false" customHeight="true" outlineLevel="0" collapsed="false"/>
    <row r="4005" customFormat="false" ht="18.7" hidden="false" customHeight="true" outlineLevel="0" collapsed="false"/>
    <row r="4006" customFormat="false" ht="18.7" hidden="false" customHeight="true" outlineLevel="0" collapsed="false"/>
    <row r="4007" customFormat="false" ht="18.7" hidden="false" customHeight="true" outlineLevel="0" collapsed="false"/>
    <row r="4008" customFormat="false" ht="18.7" hidden="false" customHeight="true" outlineLevel="0" collapsed="false"/>
    <row r="4009" customFormat="false" ht="18.7" hidden="false" customHeight="true" outlineLevel="0" collapsed="false"/>
    <row r="4010" customFormat="false" ht="18.7" hidden="false" customHeight="true" outlineLevel="0" collapsed="false"/>
    <row r="4011" customFormat="false" ht="18.7" hidden="false" customHeight="true" outlineLevel="0" collapsed="false"/>
    <row r="4012" customFormat="false" ht="18.7" hidden="false" customHeight="true" outlineLevel="0" collapsed="false"/>
    <row r="4013" customFormat="false" ht="18.7" hidden="false" customHeight="true" outlineLevel="0" collapsed="false"/>
    <row r="4014" customFormat="false" ht="18.7" hidden="false" customHeight="true" outlineLevel="0" collapsed="false"/>
    <row r="4015" customFormat="false" ht="18.7" hidden="false" customHeight="true" outlineLevel="0" collapsed="false"/>
    <row r="4016" customFormat="false" ht="18.7" hidden="false" customHeight="true" outlineLevel="0" collapsed="false"/>
    <row r="4017" customFormat="false" ht="18.7" hidden="false" customHeight="true" outlineLevel="0" collapsed="false"/>
    <row r="4018" customFormat="false" ht="18.7" hidden="false" customHeight="true" outlineLevel="0" collapsed="false"/>
    <row r="4019" customFormat="false" ht="18.7" hidden="false" customHeight="true" outlineLevel="0" collapsed="false"/>
    <row r="4020" customFormat="false" ht="18.7" hidden="false" customHeight="true" outlineLevel="0" collapsed="false"/>
    <row r="4021" customFormat="false" ht="18.7" hidden="false" customHeight="true" outlineLevel="0" collapsed="false"/>
    <row r="4022" customFormat="false" ht="18.7" hidden="false" customHeight="true" outlineLevel="0" collapsed="false"/>
    <row r="4023" customFormat="false" ht="18.7" hidden="false" customHeight="true" outlineLevel="0" collapsed="false"/>
    <row r="4024" customFormat="false" ht="18.7" hidden="false" customHeight="true" outlineLevel="0" collapsed="false"/>
    <row r="4025" customFormat="false" ht="18.7" hidden="false" customHeight="true" outlineLevel="0" collapsed="false"/>
    <row r="4026" customFormat="false" ht="18.7" hidden="false" customHeight="true" outlineLevel="0" collapsed="false"/>
    <row r="4027" customFormat="false" ht="18.7" hidden="false" customHeight="true" outlineLevel="0" collapsed="false"/>
    <row r="4028" customFormat="false" ht="18.7" hidden="false" customHeight="true" outlineLevel="0" collapsed="false"/>
    <row r="4029" customFormat="false" ht="18.7" hidden="false" customHeight="true" outlineLevel="0" collapsed="false"/>
    <row r="4030" customFormat="false" ht="18.7" hidden="false" customHeight="true" outlineLevel="0" collapsed="false"/>
    <row r="4031" customFormat="false" ht="18.7" hidden="false" customHeight="true" outlineLevel="0" collapsed="false"/>
    <row r="4032" customFormat="false" ht="18.7" hidden="false" customHeight="true" outlineLevel="0" collapsed="false"/>
    <row r="4033" customFormat="false" ht="18.7" hidden="false" customHeight="true" outlineLevel="0" collapsed="false"/>
    <row r="4034" customFormat="false" ht="18.7" hidden="false" customHeight="true" outlineLevel="0" collapsed="false"/>
    <row r="4035" customFormat="false" ht="18.7" hidden="false" customHeight="true" outlineLevel="0" collapsed="false"/>
    <row r="4036" customFormat="false" ht="18.7" hidden="false" customHeight="true" outlineLevel="0" collapsed="false"/>
    <row r="4037" customFormat="false" ht="18.7" hidden="false" customHeight="true" outlineLevel="0" collapsed="false"/>
    <row r="4038" customFormat="false" ht="18.7" hidden="false" customHeight="true" outlineLevel="0" collapsed="false"/>
    <row r="4039" customFormat="false" ht="18.7" hidden="false" customHeight="true" outlineLevel="0" collapsed="false"/>
    <row r="4040" customFormat="false" ht="18.7" hidden="false" customHeight="true" outlineLevel="0" collapsed="false"/>
    <row r="4041" customFormat="false" ht="18.7" hidden="false" customHeight="true" outlineLevel="0" collapsed="false"/>
    <row r="4042" customFormat="false" ht="18.7" hidden="false" customHeight="true" outlineLevel="0" collapsed="false"/>
    <row r="4043" customFormat="false" ht="18.7" hidden="false" customHeight="true" outlineLevel="0" collapsed="false"/>
    <row r="4044" customFormat="false" ht="18.7" hidden="false" customHeight="true" outlineLevel="0" collapsed="false"/>
    <row r="4045" customFormat="false" ht="18.7" hidden="false" customHeight="true" outlineLevel="0" collapsed="false"/>
    <row r="4046" customFormat="false" ht="18.7" hidden="false" customHeight="true" outlineLevel="0" collapsed="false"/>
    <row r="4047" customFormat="false" ht="18.7" hidden="false" customHeight="true" outlineLevel="0" collapsed="false"/>
    <row r="4048" customFormat="false" ht="18.7" hidden="false" customHeight="true" outlineLevel="0" collapsed="false"/>
    <row r="4049" customFormat="false" ht="18.7" hidden="false" customHeight="true" outlineLevel="0" collapsed="false"/>
    <row r="4050" customFormat="false" ht="18.7" hidden="false" customHeight="true" outlineLevel="0" collapsed="false"/>
    <row r="4051" customFormat="false" ht="18.7" hidden="false" customHeight="true" outlineLevel="0" collapsed="false"/>
    <row r="4052" customFormat="false" ht="18.7" hidden="false" customHeight="true" outlineLevel="0" collapsed="false"/>
    <row r="4053" customFormat="false" ht="18.7" hidden="false" customHeight="true" outlineLevel="0" collapsed="false"/>
    <row r="4054" customFormat="false" ht="18.7" hidden="false" customHeight="true" outlineLevel="0" collapsed="false"/>
    <row r="4055" customFormat="false" ht="18.7" hidden="false" customHeight="true" outlineLevel="0" collapsed="false"/>
    <row r="4056" customFormat="false" ht="18.7" hidden="false" customHeight="true" outlineLevel="0" collapsed="false"/>
    <row r="4057" customFormat="false" ht="18.7" hidden="false" customHeight="true" outlineLevel="0" collapsed="false"/>
    <row r="4058" customFormat="false" ht="18.7" hidden="false" customHeight="true" outlineLevel="0" collapsed="false"/>
    <row r="4059" customFormat="false" ht="18.7" hidden="false" customHeight="true" outlineLevel="0" collapsed="false"/>
    <row r="4060" customFormat="false" ht="18.7" hidden="false" customHeight="true" outlineLevel="0" collapsed="false"/>
    <row r="4061" customFormat="false" ht="18.7" hidden="false" customHeight="true" outlineLevel="0" collapsed="false"/>
    <row r="4062" customFormat="false" ht="18.7" hidden="false" customHeight="true" outlineLevel="0" collapsed="false"/>
    <row r="4063" customFormat="false" ht="18.7" hidden="false" customHeight="true" outlineLevel="0" collapsed="false"/>
    <row r="4064" customFormat="false" ht="18.7" hidden="false" customHeight="true" outlineLevel="0" collapsed="false"/>
    <row r="4065" customFormat="false" ht="18.7" hidden="false" customHeight="true" outlineLevel="0" collapsed="false"/>
    <row r="4066" customFormat="false" ht="18.7" hidden="false" customHeight="true" outlineLevel="0" collapsed="false"/>
    <row r="4067" customFormat="false" ht="18.7" hidden="false" customHeight="true" outlineLevel="0" collapsed="false"/>
    <row r="4068" customFormat="false" ht="18.7" hidden="false" customHeight="true" outlineLevel="0" collapsed="false"/>
    <row r="4069" customFormat="false" ht="18.7" hidden="false" customHeight="true" outlineLevel="0" collapsed="false"/>
    <row r="4070" customFormat="false" ht="18.7" hidden="false" customHeight="true" outlineLevel="0" collapsed="false"/>
    <row r="4071" customFormat="false" ht="18.7" hidden="false" customHeight="true" outlineLevel="0" collapsed="false"/>
    <row r="4072" customFormat="false" ht="18.7" hidden="false" customHeight="true" outlineLevel="0" collapsed="false"/>
    <row r="4073" customFormat="false" ht="18.7" hidden="false" customHeight="true" outlineLevel="0" collapsed="false"/>
    <row r="4074" customFormat="false" ht="18.7" hidden="false" customHeight="true" outlineLevel="0" collapsed="false"/>
    <row r="4075" customFormat="false" ht="18.7" hidden="false" customHeight="true" outlineLevel="0" collapsed="false"/>
    <row r="4076" customFormat="false" ht="18.7" hidden="false" customHeight="true" outlineLevel="0" collapsed="false"/>
    <row r="4077" customFormat="false" ht="18.7" hidden="false" customHeight="true" outlineLevel="0" collapsed="false"/>
    <row r="4078" customFormat="false" ht="18.7" hidden="false" customHeight="true" outlineLevel="0" collapsed="false"/>
    <row r="4079" customFormat="false" ht="18.7" hidden="false" customHeight="true" outlineLevel="0" collapsed="false"/>
    <row r="4080" customFormat="false" ht="18.7" hidden="false" customHeight="true" outlineLevel="0" collapsed="false"/>
    <row r="4081" customFormat="false" ht="18.7" hidden="false" customHeight="true" outlineLevel="0" collapsed="false"/>
    <row r="4082" customFormat="false" ht="18.7" hidden="false" customHeight="true" outlineLevel="0" collapsed="false"/>
    <row r="4083" customFormat="false" ht="18.7" hidden="false" customHeight="true" outlineLevel="0" collapsed="false"/>
    <row r="4084" customFormat="false" ht="18.7" hidden="false" customHeight="true" outlineLevel="0" collapsed="false"/>
    <row r="4085" customFormat="false" ht="18.7" hidden="false" customHeight="true" outlineLevel="0" collapsed="false"/>
    <row r="4086" customFormat="false" ht="18.7" hidden="false" customHeight="true" outlineLevel="0" collapsed="false"/>
    <row r="4087" customFormat="false" ht="18.7" hidden="false" customHeight="true" outlineLevel="0" collapsed="false"/>
    <row r="4088" customFormat="false" ht="18.7" hidden="false" customHeight="true" outlineLevel="0" collapsed="false"/>
    <row r="4089" customFormat="false" ht="18.7" hidden="false" customHeight="true" outlineLevel="0" collapsed="false"/>
    <row r="4090" customFormat="false" ht="18.7" hidden="false" customHeight="true" outlineLevel="0" collapsed="false"/>
    <row r="4091" customFormat="false" ht="18.7" hidden="false" customHeight="true" outlineLevel="0" collapsed="false"/>
    <row r="4092" customFormat="false" ht="18.7" hidden="false" customHeight="true" outlineLevel="0" collapsed="false"/>
    <row r="4093" customFormat="false" ht="18.7" hidden="false" customHeight="true" outlineLevel="0" collapsed="false"/>
    <row r="4094" customFormat="false" ht="18.7" hidden="false" customHeight="true" outlineLevel="0" collapsed="false"/>
    <row r="4095" customFormat="false" ht="18.7" hidden="false" customHeight="true" outlineLevel="0" collapsed="false"/>
    <row r="4096" customFormat="false" ht="18.7" hidden="false" customHeight="true" outlineLevel="0" collapsed="false"/>
    <row r="4097" customFormat="false" ht="18.7" hidden="false" customHeight="true" outlineLevel="0" collapsed="false"/>
    <row r="4098" customFormat="false" ht="18.7" hidden="false" customHeight="true" outlineLevel="0" collapsed="false"/>
    <row r="4099" customFormat="false" ht="18.7" hidden="false" customHeight="true" outlineLevel="0" collapsed="false"/>
    <row r="4100" customFormat="false" ht="18.7" hidden="false" customHeight="true" outlineLevel="0" collapsed="false"/>
    <row r="4101" customFormat="false" ht="18.7" hidden="false" customHeight="true" outlineLevel="0" collapsed="false"/>
    <row r="4102" customFormat="false" ht="18.7" hidden="false" customHeight="true" outlineLevel="0" collapsed="false"/>
    <row r="4103" customFormat="false" ht="18.7" hidden="false" customHeight="true" outlineLevel="0" collapsed="false"/>
    <row r="4104" customFormat="false" ht="18.7" hidden="false" customHeight="true" outlineLevel="0" collapsed="false"/>
    <row r="4105" customFormat="false" ht="18.7" hidden="false" customHeight="true" outlineLevel="0" collapsed="false"/>
    <row r="4106" customFormat="false" ht="18.7" hidden="false" customHeight="true" outlineLevel="0" collapsed="false"/>
    <row r="4107" customFormat="false" ht="18.7" hidden="false" customHeight="true" outlineLevel="0" collapsed="false"/>
    <row r="4108" customFormat="false" ht="18.7" hidden="false" customHeight="true" outlineLevel="0" collapsed="false"/>
    <row r="4109" customFormat="false" ht="18.7" hidden="false" customHeight="true" outlineLevel="0" collapsed="false"/>
    <row r="4110" customFormat="false" ht="18.7" hidden="false" customHeight="true" outlineLevel="0" collapsed="false"/>
    <row r="4111" customFormat="false" ht="18.7" hidden="false" customHeight="true" outlineLevel="0" collapsed="false"/>
    <row r="4112" customFormat="false" ht="18.7" hidden="false" customHeight="true" outlineLevel="0" collapsed="false"/>
    <row r="4113" customFormat="false" ht="18.7" hidden="false" customHeight="true" outlineLevel="0" collapsed="false"/>
    <row r="4114" customFormat="false" ht="18.7" hidden="false" customHeight="true" outlineLevel="0" collapsed="false"/>
    <row r="4115" customFormat="false" ht="18.7" hidden="false" customHeight="true" outlineLevel="0" collapsed="false"/>
    <row r="4116" customFormat="false" ht="18.7" hidden="false" customHeight="true" outlineLevel="0" collapsed="false"/>
    <row r="4117" customFormat="false" ht="18.7" hidden="false" customHeight="true" outlineLevel="0" collapsed="false"/>
    <row r="4118" customFormat="false" ht="18.7" hidden="false" customHeight="true" outlineLevel="0" collapsed="false"/>
    <row r="4119" customFormat="false" ht="18.7" hidden="false" customHeight="true" outlineLevel="0" collapsed="false"/>
    <row r="4120" customFormat="false" ht="18.7" hidden="false" customHeight="true" outlineLevel="0" collapsed="false"/>
    <row r="4121" customFormat="false" ht="18.7" hidden="false" customHeight="true" outlineLevel="0" collapsed="false"/>
    <row r="4122" customFormat="false" ht="18.7" hidden="false" customHeight="true" outlineLevel="0" collapsed="false"/>
    <row r="4123" customFormat="false" ht="18.7" hidden="false" customHeight="true" outlineLevel="0" collapsed="false"/>
    <row r="4124" customFormat="false" ht="18.7" hidden="false" customHeight="true" outlineLevel="0" collapsed="false"/>
    <row r="4125" customFormat="false" ht="18.7" hidden="false" customHeight="true" outlineLevel="0" collapsed="false"/>
    <row r="4126" customFormat="false" ht="18.7" hidden="false" customHeight="true" outlineLevel="0" collapsed="false"/>
    <row r="4127" customFormat="false" ht="18.7" hidden="false" customHeight="true" outlineLevel="0" collapsed="false"/>
    <row r="4128" customFormat="false" ht="18.7" hidden="false" customHeight="true" outlineLevel="0" collapsed="false"/>
    <row r="4129" customFormat="false" ht="18.7" hidden="false" customHeight="true" outlineLevel="0" collapsed="false"/>
    <row r="4130" customFormat="false" ht="18.7" hidden="false" customHeight="true" outlineLevel="0" collapsed="false"/>
    <row r="4131" customFormat="false" ht="18.7" hidden="false" customHeight="true" outlineLevel="0" collapsed="false"/>
    <row r="4132" customFormat="false" ht="18.7" hidden="false" customHeight="true" outlineLevel="0" collapsed="false"/>
    <row r="4133" customFormat="false" ht="18.7" hidden="false" customHeight="true" outlineLevel="0" collapsed="false"/>
    <row r="4134" customFormat="false" ht="18.7" hidden="false" customHeight="true" outlineLevel="0" collapsed="false"/>
    <row r="4135" customFormat="false" ht="18.7" hidden="false" customHeight="true" outlineLevel="0" collapsed="false"/>
    <row r="4136" customFormat="false" ht="18.7" hidden="false" customHeight="true" outlineLevel="0" collapsed="false"/>
    <row r="4137" customFormat="false" ht="18.7" hidden="false" customHeight="true" outlineLevel="0" collapsed="false"/>
    <row r="4138" customFormat="false" ht="18.7" hidden="false" customHeight="true" outlineLevel="0" collapsed="false"/>
    <row r="4139" customFormat="false" ht="18.7" hidden="false" customHeight="true" outlineLevel="0" collapsed="false"/>
    <row r="4140" customFormat="false" ht="18.7" hidden="false" customHeight="true" outlineLevel="0" collapsed="false"/>
    <row r="4141" customFormat="false" ht="18.7" hidden="false" customHeight="true" outlineLevel="0" collapsed="false"/>
    <row r="4142" customFormat="false" ht="18.7" hidden="false" customHeight="true" outlineLevel="0" collapsed="false"/>
    <row r="4143" customFormat="false" ht="18.7" hidden="false" customHeight="true" outlineLevel="0" collapsed="false"/>
    <row r="4144" customFormat="false" ht="18.7" hidden="false" customHeight="true" outlineLevel="0" collapsed="false"/>
    <row r="4145" customFormat="false" ht="18.7" hidden="false" customHeight="true" outlineLevel="0" collapsed="false"/>
    <row r="4146" customFormat="false" ht="18.7" hidden="false" customHeight="true" outlineLevel="0" collapsed="false"/>
    <row r="4147" customFormat="false" ht="18.7" hidden="false" customHeight="true" outlineLevel="0" collapsed="false"/>
    <row r="4148" customFormat="false" ht="18.7" hidden="false" customHeight="true" outlineLevel="0" collapsed="false"/>
    <row r="4149" customFormat="false" ht="18.7" hidden="false" customHeight="true" outlineLevel="0" collapsed="false"/>
    <row r="4150" customFormat="false" ht="18.7" hidden="false" customHeight="true" outlineLevel="0" collapsed="false"/>
    <row r="4151" customFormat="false" ht="18.7" hidden="false" customHeight="true" outlineLevel="0" collapsed="false"/>
    <row r="4152" customFormat="false" ht="18.7" hidden="false" customHeight="true" outlineLevel="0" collapsed="false"/>
    <row r="4153" customFormat="false" ht="18.7" hidden="false" customHeight="true" outlineLevel="0" collapsed="false"/>
    <row r="4154" customFormat="false" ht="18.7" hidden="false" customHeight="true" outlineLevel="0" collapsed="false"/>
    <row r="4155" customFormat="false" ht="18.7" hidden="false" customHeight="true" outlineLevel="0" collapsed="false"/>
    <row r="4156" customFormat="false" ht="18.7" hidden="false" customHeight="true" outlineLevel="0" collapsed="false"/>
    <row r="4157" customFormat="false" ht="18.7" hidden="false" customHeight="true" outlineLevel="0" collapsed="false"/>
    <row r="4158" customFormat="false" ht="18.7" hidden="false" customHeight="true" outlineLevel="0" collapsed="false"/>
    <row r="4159" customFormat="false" ht="18.7" hidden="false" customHeight="true" outlineLevel="0" collapsed="false"/>
    <row r="4160" customFormat="false" ht="18.7" hidden="false" customHeight="true" outlineLevel="0" collapsed="false"/>
    <row r="4161" customFormat="false" ht="18.7" hidden="false" customHeight="true" outlineLevel="0" collapsed="false"/>
    <row r="4162" customFormat="false" ht="18.7" hidden="false" customHeight="true" outlineLevel="0" collapsed="false"/>
    <row r="4163" customFormat="false" ht="18.7" hidden="false" customHeight="true" outlineLevel="0" collapsed="false"/>
    <row r="4164" customFormat="false" ht="18.7" hidden="false" customHeight="true" outlineLevel="0" collapsed="false"/>
    <row r="4165" customFormat="false" ht="18.7" hidden="false" customHeight="true" outlineLevel="0" collapsed="false"/>
    <row r="4166" customFormat="false" ht="18.7" hidden="false" customHeight="true" outlineLevel="0" collapsed="false"/>
    <row r="4167" customFormat="false" ht="18.7" hidden="false" customHeight="true" outlineLevel="0" collapsed="false"/>
    <row r="4168" customFormat="false" ht="18.7" hidden="false" customHeight="true" outlineLevel="0" collapsed="false"/>
    <row r="4169" customFormat="false" ht="18.7" hidden="false" customHeight="true" outlineLevel="0" collapsed="false"/>
    <row r="4170" customFormat="false" ht="18.7" hidden="false" customHeight="true" outlineLevel="0" collapsed="false"/>
    <row r="4171" customFormat="false" ht="18.7" hidden="false" customHeight="true" outlineLevel="0" collapsed="false"/>
    <row r="4172" customFormat="false" ht="18.7" hidden="false" customHeight="true" outlineLevel="0" collapsed="false"/>
    <row r="4173" customFormat="false" ht="18.7" hidden="false" customHeight="true" outlineLevel="0" collapsed="false"/>
    <row r="4174" customFormat="false" ht="18.7" hidden="false" customHeight="true" outlineLevel="0" collapsed="false"/>
    <row r="4175" customFormat="false" ht="18.7" hidden="false" customHeight="true" outlineLevel="0" collapsed="false"/>
    <row r="4176" customFormat="false" ht="18.7" hidden="false" customHeight="true" outlineLevel="0" collapsed="false"/>
    <row r="4177" customFormat="false" ht="18.7" hidden="false" customHeight="true" outlineLevel="0" collapsed="false"/>
    <row r="4178" customFormat="false" ht="18.7" hidden="false" customHeight="true" outlineLevel="0" collapsed="false"/>
    <row r="4179" customFormat="false" ht="18.7" hidden="false" customHeight="true" outlineLevel="0" collapsed="false"/>
    <row r="4180" customFormat="false" ht="18.7" hidden="false" customHeight="true" outlineLevel="0" collapsed="false"/>
    <row r="4181" customFormat="false" ht="18.7" hidden="false" customHeight="true" outlineLevel="0" collapsed="false"/>
    <row r="4182" customFormat="false" ht="18.7" hidden="false" customHeight="true" outlineLevel="0" collapsed="false"/>
    <row r="4183" customFormat="false" ht="18.7" hidden="false" customHeight="true" outlineLevel="0" collapsed="false"/>
    <row r="4184" customFormat="false" ht="18.7" hidden="false" customHeight="true" outlineLevel="0" collapsed="false"/>
    <row r="4185" customFormat="false" ht="18.7" hidden="false" customHeight="true" outlineLevel="0" collapsed="false"/>
    <row r="4186" customFormat="false" ht="18.7" hidden="false" customHeight="true" outlineLevel="0" collapsed="false"/>
    <row r="4187" customFormat="false" ht="18.7" hidden="false" customHeight="true" outlineLevel="0" collapsed="false"/>
    <row r="4188" customFormat="false" ht="18.7" hidden="false" customHeight="true" outlineLevel="0" collapsed="false"/>
    <row r="4189" customFormat="false" ht="18.7" hidden="false" customHeight="true" outlineLevel="0" collapsed="false"/>
    <row r="4190" customFormat="false" ht="18.7" hidden="false" customHeight="true" outlineLevel="0" collapsed="false"/>
    <row r="4191" customFormat="false" ht="18.7" hidden="false" customHeight="true" outlineLevel="0" collapsed="false"/>
    <row r="4192" customFormat="false" ht="18.7" hidden="false" customHeight="true" outlineLevel="0" collapsed="false"/>
    <row r="4193" customFormat="false" ht="18.7" hidden="false" customHeight="true" outlineLevel="0" collapsed="false"/>
    <row r="4194" customFormat="false" ht="18.7" hidden="false" customHeight="true" outlineLevel="0" collapsed="false"/>
    <row r="4195" customFormat="false" ht="18.7" hidden="false" customHeight="true" outlineLevel="0" collapsed="false"/>
    <row r="4196" customFormat="false" ht="18.7" hidden="false" customHeight="true" outlineLevel="0" collapsed="false"/>
    <row r="4197" customFormat="false" ht="18.7" hidden="false" customHeight="true" outlineLevel="0" collapsed="false"/>
    <row r="4198" customFormat="false" ht="18.7" hidden="false" customHeight="true" outlineLevel="0" collapsed="false"/>
    <row r="4199" customFormat="false" ht="18.7" hidden="false" customHeight="true" outlineLevel="0" collapsed="false"/>
    <row r="4200" customFormat="false" ht="18.7" hidden="false" customHeight="true" outlineLevel="0" collapsed="false"/>
    <row r="4201" customFormat="false" ht="18.7" hidden="false" customHeight="true" outlineLevel="0" collapsed="false"/>
    <row r="4202" customFormat="false" ht="18.7" hidden="false" customHeight="true" outlineLevel="0" collapsed="false"/>
    <row r="4203" customFormat="false" ht="18.7" hidden="false" customHeight="true" outlineLevel="0" collapsed="false"/>
    <row r="4204" customFormat="false" ht="18.7" hidden="false" customHeight="true" outlineLevel="0" collapsed="false"/>
    <row r="4205" customFormat="false" ht="18.7" hidden="false" customHeight="true" outlineLevel="0" collapsed="false"/>
    <row r="4206" customFormat="false" ht="18.7" hidden="false" customHeight="true" outlineLevel="0" collapsed="false"/>
    <row r="4207" customFormat="false" ht="18.7" hidden="false" customHeight="true" outlineLevel="0" collapsed="false"/>
    <row r="4208" customFormat="false" ht="18.7" hidden="false" customHeight="true" outlineLevel="0" collapsed="false"/>
    <row r="4209" customFormat="false" ht="18.7" hidden="false" customHeight="true" outlineLevel="0" collapsed="false"/>
    <row r="4210" customFormat="false" ht="18.7" hidden="false" customHeight="true" outlineLevel="0" collapsed="false"/>
    <row r="4211" customFormat="false" ht="18.7" hidden="false" customHeight="true" outlineLevel="0" collapsed="false"/>
    <row r="4212" customFormat="false" ht="18.7" hidden="false" customHeight="true" outlineLevel="0" collapsed="false"/>
    <row r="4213" customFormat="false" ht="18.7" hidden="false" customHeight="true" outlineLevel="0" collapsed="false"/>
    <row r="4214" customFormat="false" ht="18.7" hidden="false" customHeight="true" outlineLevel="0" collapsed="false"/>
    <row r="4215" customFormat="false" ht="18.7" hidden="false" customHeight="true" outlineLevel="0" collapsed="false"/>
    <row r="4216" customFormat="false" ht="18.7" hidden="false" customHeight="true" outlineLevel="0" collapsed="false"/>
    <row r="4217" customFormat="false" ht="18.7" hidden="false" customHeight="true" outlineLevel="0" collapsed="false"/>
    <row r="4218" customFormat="false" ht="18.7" hidden="false" customHeight="true" outlineLevel="0" collapsed="false"/>
    <row r="4219" customFormat="false" ht="18.7" hidden="false" customHeight="true" outlineLevel="0" collapsed="false"/>
    <row r="4220" customFormat="false" ht="18.7" hidden="false" customHeight="true" outlineLevel="0" collapsed="false"/>
    <row r="4221" customFormat="false" ht="18.7" hidden="false" customHeight="true" outlineLevel="0" collapsed="false"/>
    <row r="4222" customFormat="false" ht="18.7" hidden="false" customHeight="true" outlineLevel="0" collapsed="false"/>
    <row r="4223" customFormat="false" ht="18.7" hidden="false" customHeight="true" outlineLevel="0" collapsed="false"/>
    <row r="4224" customFormat="false" ht="18.7" hidden="false" customHeight="true" outlineLevel="0" collapsed="false"/>
    <row r="4225" customFormat="false" ht="18.7" hidden="false" customHeight="true" outlineLevel="0" collapsed="false"/>
    <row r="4226" customFormat="false" ht="18.7" hidden="false" customHeight="true" outlineLevel="0" collapsed="false"/>
    <row r="4227" customFormat="false" ht="18.7" hidden="false" customHeight="true" outlineLevel="0" collapsed="false"/>
    <row r="4228" customFormat="false" ht="18.7" hidden="false" customHeight="true" outlineLevel="0" collapsed="false"/>
    <row r="4229" customFormat="false" ht="18.7" hidden="false" customHeight="true" outlineLevel="0" collapsed="false"/>
    <row r="4230" customFormat="false" ht="18.7" hidden="false" customHeight="true" outlineLevel="0" collapsed="false"/>
    <row r="4231" customFormat="false" ht="18.7" hidden="false" customHeight="true" outlineLevel="0" collapsed="false"/>
    <row r="4232" customFormat="false" ht="18.7" hidden="false" customHeight="true" outlineLevel="0" collapsed="false"/>
    <row r="4233" customFormat="false" ht="18.7" hidden="false" customHeight="true" outlineLevel="0" collapsed="false"/>
    <row r="4234" customFormat="false" ht="18.7" hidden="false" customHeight="true" outlineLevel="0" collapsed="false"/>
    <row r="4235" customFormat="false" ht="18.7" hidden="false" customHeight="true" outlineLevel="0" collapsed="false"/>
    <row r="4236" customFormat="false" ht="18.7" hidden="false" customHeight="true" outlineLevel="0" collapsed="false"/>
    <row r="4237" customFormat="false" ht="18.7" hidden="false" customHeight="true" outlineLevel="0" collapsed="false"/>
    <row r="4238" customFormat="false" ht="18.7" hidden="false" customHeight="true" outlineLevel="0" collapsed="false"/>
    <row r="4239" customFormat="false" ht="18.7" hidden="false" customHeight="true" outlineLevel="0" collapsed="false"/>
    <row r="4240" customFormat="false" ht="18.7" hidden="false" customHeight="true" outlineLevel="0" collapsed="false"/>
    <row r="4241" customFormat="false" ht="18.7" hidden="false" customHeight="true" outlineLevel="0" collapsed="false"/>
    <row r="4242" customFormat="false" ht="18.7" hidden="false" customHeight="true" outlineLevel="0" collapsed="false"/>
    <row r="4243" customFormat="false" ht="18.7" hidden="false" customHeight="true" outlineLevel="0" collapsed="false"/>
    <row r="4244" customFormat="false" ht="18.7" hidden="false" customHeight="true" outlineLevel="0" collapsed="false"/>
    <row r="4245" customFormat="false" ht="18.7" hidden="false" customHeight="true" outlineLevel="0" collapsed="false"/>
    <row r="4246" customFormat="false" ht="18.7" hidden="false" customHeight="true" outlineLevel="0" collapsed="false"/>
    <row r="4247" customFormat="false" ht="18.7" hidden="false" customHeight="true" outlineLevel="0" collapsed="false"/>
    <row r="4248" customFormat="false" ht="18.7" hidden="false" customHeight="true" outlineLevel="0" collapsed="false"/>
    <row r="4249" customFormat="false" ht="18.7" hidden="false" customHeight="true" outlineLevel="0" collapsed="false"/>
    <row r="4250" customFormat="false" ht="18.7" hidden="false" customHeight="true" outlineLevel="0" collapsed="false"/>
    <row r="4251" customFormat="false" ht="18.7" hidden="false" customHeight="true" outlineLevel="0" collapsed="false"/>
    <row r="4252" customFormat="false" ht="18.7" hidden="false" customHeight="true" outlineLevel="0" collapsed="false"/>
    <row r="4253" customFormat="false" ht="18.7" hidden="false" customHeight="true" outlineLevel="0" collapsed="false"/>
    <row r="4254" customFormat="false" ht="18.7" hidden="false" customHeight="true" outlineLevel="0" collapsed="false"/>
    <row r="4255" customFormat="false" ht="18.7" hidden="false" customHeight="true" outlineLevel="0" collapsed="false"/>
    <row r="4256" customFormat="false" ht="18.7" hidden="false" customHeight="true" outlineLevel="0" collapsed="false"/>
    <row r="4257" customFormat="false" ht="18.7" hidden="false" customHeight="true" outlineLevel="0" collapsed="false"/>
    <row r="4258" customFormat="false" ht="18.7" hidden="false" customHeight="true" outlineLevel="0" collapsed="false"/>
    <row r="4259" customFormat="false" ht="18.7" hidden="false" customHeight="true" outlineLevel="0" collapsed="false"/>
    <row r="4260" customFormat="false" ht="18.7" hidden="false" customHeight="true" outlineLevel="0" collapsed="false"/>
    <row r="4261" customFormat="false" ht="18.7" hidden="false" customHeight="true" outlineLevel="0" collapsed="false"/>
    <row r="4262" customFormat="false" ht="18.7" hidden="false" customHeight="true" outlineLevel="0" collapsed="false"/>
    <row r="4263" customFormat="false" ht="18.7" hidden="false" customHeight="true" outlineLevel="0" collapsed="false"/>
    <row r="4264" customFormat="false" ht="18.7" hidden="false" customHeight="true" outlineLevel="0" collapsed="false"/>
    <row r="4265" customFormat="false" ht="18.7" hidden="false" customHeight="true" outlineLevel="0" collapsed="false"/>
    <row r="4266" customFormat="false" ht="18.7" hidden="false" customHeight="true" outlineLevel="0" collapsed="false"/>
    <row r="4267" customFormat="false" ht="18.7" hidden="false" customHeight="true" outlineLevel="0" collapsed="false"/>
    <row r="4268" customFormat="false" ht="18.7" hidden="false" customHeight="true" outlineLevel="0" collapsed="false"/>
    <row r="4269" customFormat="false" ht="18.7" hidden="false" customHeight="true" outlineLevel="0" collapsed="false"/>
    <row r="4270" customFormat="false" ht="18.7" hidden="false" customHeight="true" outlineLevel="0" collapsed="false"/>
    <row r="4271" customFormat="false" ht="18.7" hidden="false" customHeight="true" outlineLevel="0" collapsed="false"/>
    <row r="4272" customFormat="false" ht="18.7" hidden="false" customHeight="true" outlineLevel="0" collapsed="false"/>
    <row r="4273" customFormat="false" ht="18.7" hidden="false" customHeight="true" outlineLevel="0" collapsed="false"/>
    <row r="4274" customFormat="false" ht="18.7" hidden="false" customHeight="true" outlineLevel="0" collapsed="false"/>
    <row r="4275" customFormat="false" ht="18.7" hidden="false" customHeight="true" outlineLevel="0" collapsed="false"/>
    <row r="4276" customFormat="false" ht="18.7" hidden="false" customHeight="true" outlineLevel="0" collapsed="false"/>
    <row r="4277" customFormat="false" ht="18.7" hidden="false" customHeight="true" outlineLevel="0" collapsed="false"/>
    <row r="4278" customFormat="false" ht="18.7" hidden="false" customHeight="true" outlineLevel="0" collapsed="false"/>
    <row r="4279" customFormat="false" ht="18.7" hidden="false" customHeight="true" outlineLevel="0" collapsed="false"/>
    <row r="4280" customFormat="false" ht="18.7" hidden="false" customHeight="true" outlineLevel="0" collapsed="false"/>
    <row r="4281" customFormat="false" ht="18.7" hidden="false" customHeight="true" outlineLevel="0" collapsed="false"/>
    <row r="4282" customFormat="false" ht="18.7" hidden="false" customHeight="true" outlineLevel="0" collapsed="false"/>
    <row r="4283" customFormat="false" ht="18.7" hidden="false" customHeight="true" outlineLevel="0" collapsed="false"/>
    <row r="4284" customFormat="false" ht="18.7" hidden="false" customHeight="true" outlineLevel="0" collapsed="false"/>
    <row r="4285" customFormat="false" ht="18.7" hidden="false" customHeight="true" outlineLevel="0" collapsed="false"/>
    <row r="4286" customFormat="false" ht="18.7" hidden="false" customHeight="true" outlineLevel="0" collapsed="false"/>
    <row r="4287" customFormat="false" ht="18.7" hidden="false" customHeight="true" outlineLevel="0" collapsed="false"/>
    <row r="4288" customFormat="false" ht="18.7" hidden="false" customHeight="true" outlineLevel="0" collapsed="false"/>
    <row r="4289" customFormat="false" ht="18.7" hidden="false" customHeight="true" outlineLevel="0" collapsed="false"/>
    <row r="4290" customFormat="false" ht="18.7" hidden="false" customHeight="true" outlineLevel="0" collapsed="false"/>
    <row r="4291" customFormat="false" ht="18.7" hidden="false" customHeight="true" outlineLevel="0" collapsed="false"/>
    <row r="4292" customFormat="false" ht="18.7" hidden="false" customHeight="true" outlineLevel="0" collapsed="false"/>
    <row r="4293" customFormat="false" ht="18.7" hidden="false" customHeight="true" outlineLevel="0" collapsed="false"/>
    <row r="4294" customFormat="false" ht="18.7" hidden="false" customHeight="true" outlineLevel="0" collapsed="false"/>
    <row r="4295" customFormat="false" ht="18.7" hidden="false" customHeight="true" outlineLevel="0" collapsed="false"/>
    <row r="4296" customFormat="false" ht="18.7" hidden="false" customHeight="true" outlineLevel="0" collapsed="false"/>
    <row r="4297" customFormat="false" ht="18.7" hidden="false" customHeight="true" outlineLevel="0" collapsed="false"/>
    <row r="4298" customFormat="false" ht="18.7" hidden="false" customHeight="true" outlineLevel="0" collapsed="false"/>
    <row r="4299" customFormat="false" ht="18.7" hidden="false" customHeight="true" outlineLevel="0" collapsed="false"/>
    <row r="4300" customFormat="false" ht="18.7" hidden="false" customHeight="true" outlineLevel="0" collapsed="false"/>
    <row r="4301" customFormat="false" ht="18.7" hidden="false" customHeight="true" outlineLevel="0" collapsed="false"/>
    <row r="4302" customFormat="false" ht="18.7" hidden="false" customHeight="true" outlineLevel="0" collapsed="false"/>
    <row r="4303" customFormat="false" ht="18.7" hidden="false" customHeight="true" outlineLevel="0" collapsed="false"/>
    <row r="4304" customFormat="false" ht="18.7" hidden="false" customHeight="true" outlineLevel="0" collapsed="false"/>
    <row r="4305" customFormat="false" ht="18.7" hidden="false" customHeight="true" outlineLevel="0" collapsed="false"/>
    <row r="4306" customFormat="false" ht="18.7" hidden="false" customHeight="true" outlineLevel="0" collapsed="false"/>
    <row r="4307" customFormat="false" ht="18.7" hidden="false" customHeight="true" outlineLevel="0" collapsed="false"/>
    <row r="4308" customFormat="false" ht="18.7" hidden="false" customHeight="true" outlineLevel="0" collapsed="false"/>
    <row r="4309" customFormat="false" ht="18.7" hidden="false" customHeight="true" outlineLevel="0" collapsed="false"/>
    <row r="4310" customFormat="false" ht="18.7" hidden="false" customHeight="true" outlineLevel="0" collapsed="false"/>
    <row r="4311" customFormat="false" ht="18.7" hidden="false" customHeight="true" outlineLevel="0" collapsed="false"/>
    <row r="4312" customFormat="false" ht="18.7" hidden="false" customHeight="true" outlineLevel="0" collapsed="false"/>
    <row r="4313" customFormat="false" ht="18.7" hidden="false" customHeight="true" outlineLevel="0" collapsed="false"/>
    <row r="4314" customFormat="false" ht="18.7" hidden="false" customHeight="true" outlineLevel="0" collapsed="false"/>
    <row r="4315" customFormat="false" ht="18.7" hidden="false" customHeight="true" outlineLevel="0" collapsed="false"/>
    <row r="4316" customFormat="false" ht="18.7" hidden="false" customHeight="true" outlineLevel="0" collapsed="false"/>
    <row r="4317" customFormat="false" ht="18.7" hidden="false" customHeight="true" outlineLevel="0" collapsed="false"/>
    <row r="4318" customFormat="false" ht="18.7" hidden="false" customHeight="true" outlineLevel="0" collapsed="false"/>
    <row r="4319" customFormat="false" ht="18.7" hidden="false" customHeight="true" outlineLevel="0" collapsed="false"/>
    <row r="4320" customFormat="false" ht="18.7" hidden="false" customHeight="true" outlineLevel="0" collapsed="false"/>
    <row r="4321" customFormat="false" ht="18.7" hidden="false" customHeight="true" outlineLevel="0" collapsed="false"/>
    <row r="4322" customFormat="false" ht="18.7" hidden="false" customHeight="true" outlineLevel="0" collapsed="false"/>
    <row r="4323" customFormat="false" ht="18.7" hidden="false" customHeight="true" outlineLevel="0" collapsed="false"/>
    <row r="4324" customFormat="false" ht="18.7" hidden="false" customHeight="true" outlineLevel="0" collapsed="false"/>
    <row r="4325" customFormat="false" ht="18.7" hidden="false" customHeight="true" outlineLevel="0" collapsed="false"/>
    <row r="4326" customFormat="false" ht="18.7" hidden="false" customHeight="true" outlineLevel="0" collapsed="false"/>
    <row r="4327" customFormat="false" ht="18.7" hidden="false" customHeight="true" outlineLevel="0" collapsed="false"/>
    <row r="4328" customFormat="false" ht="18.7" hidden="false" customHeight="true" outlineLevel="0" collapsed="false"/>
    <row r="4329" customFormat="false" ht="18.7" hidden="false" customHeight="true" outlineLevel="0" collapsed="false"/>
    <row r="4330" customFormat="false" ht="18.7" hidden="false" customHeight="true" outlineLevel="0" collapsed="false"/>
    <row r="4331" customFormat="false" ht="18.7" hidden="false" customHeight="true" outlineLevel="0" collapsed="false"/>
    <row r="4332" customFormat="false" ht="18.7" hidden="false" customHeight="true" outlineLevel="0" collapsed="false"/>
    <row r="4333" customFormat="false" ht="18.7" hidden="false" customHeight="true" outlineLevel="0" collapsed="false"/>
    <row r="4334" customFormat="false" ht="18.7" hidden="false" customHeight="true" outlineLevel="0" collapsed="false"/>
    <row r="4335" customFormat="false" ht="18.7" hidden="false" customHeight="true" outlineLevel="0" collapsed="false"/>
    <row r="4336" customFormat="false" ht="18.7" hidden="false" customHeight="true" outlineLevel="0" collapsed="false"/>
    <row r="4337" customFormat="false" ht="18.7" hidden="false" customHeight="true" outlineLevel="0" collapsed="false"/>
    <row r="4338" customFormat="false" ht="18.7" hidden="false" customHeight="true" outlineLevel="0" collapsed="false"/>
    <row r="4339" customFormat="false" ht="18.7" hidden="false" customHeight="true" outlineLevel="0" collapsed="false"/>
    <row r="4340" customFormat="false" ht="18.7" hidden="false" customHeight="true" outlineLevel="0" collapsed="false"/>
    <row r="4341" customFormat="false" ht="18.7" hidden="false" customHeight="true" outlineLevel="0" collapsed="false"/>
    <row r="4342" customFormat="false" ht="18.7" hidden="false" customHeight="true" outlineLevel="0" collapsed="false"/>
    <row r="4343" customFormat="false" ht="18.7" hidden="false" customHeight="true" outlineLevel="0" collapsed="false"/>
    <row r="4344" customFormat="false" ht="18.7" hidden="false" customHeight="true" outlineLevel="0" collapsed="false"/>
    <row r="4345" customFormat="false" ht="18.7" hidden="false" customHeight="true" outlineLevel="0" collapsed="false"/>
    <row r="4346" customFormat="false" ht="18.7" hidden="false" customHeight="true" outlineLevel="0" collapsed="false"/>
    <row r="4347" customFormat="false" ht="18.7" hidden="false" customHeight="true" outlineLevel="0" collapsed="false"/>
    <row r="4348" customFormat="false" ht="18.7" hidden="false" customHeight="true" outlineLevel="0" collapsed="false"/>
    <row r="4349" customFormat="false" ht="18.7" hidden="false" customHeight="true" outlineLevel="0" collapsed="false"/>
    <row r="4350" customFormat="false" ht="18.7" hidden="false" customHeight="true" outlineLevel="0" collapsed="false"/>
    <row r="4351" customFormat="false" ht="18.7" hidden="false" customHeight="true" outlineLevel="0" collapsed="false"/>
    <row r="4352" customFormat="false" ht="18.7" hidden="false" customHeight="true" outlineLevel="0" collapsed="false"/>
    <row r="4353" customFormat="false" ht="18.7" hidden="false" customHeight="true" outlineLevel="0" collapsed="false"/>
    <row r="4354" customFormat="false" ht="18.7" hidden="false" customHeight="true" outlineLevel="0" collapsed="false"/>
    <row r="4355" customFormat="false" ht="18.7" hidden="false" customHeight="true" outlineLevel="0" collapsed="false"/>
    <row r="4356" customFormat="false" ht="18.7" hidden="false" customHeight="true" outlineLevel="0" collapsed="false"/>
    <row r="4357" customFormat="false" ht="18.7" hidden="false" customHeight="true" outlineLevel="0" collapsed="false"/>
    <row r="4358" customFormat="false" ht="18.7" hidden="false" customHeight="true" outlineLevel="0" collapsed="false"/>
    <row r="4359" customFormat="false" ht="18.7" hidden="false" customHeight="true" outlineLevel="0" collapsed="false"/>
    <row r="4360" customFormat="false" ht="18.7" hidden="false" customHeight="true" outlineLevel="0" collapsed="false"/>
    <row r="4361" customFormat="false" ht="18.7" hidden="false" customHeight="true" outlineLevel="0" collapsed="false"/>
    <row r="4362" customFormat="false" ht="18.7" hidden="false" customHeight="true" outlineLevel="0" collapsed="false"/>
    <row r="4363" customFormat="false" ht="18.7" hidden="false" customHeight="true" outlineLevel="0" collapsed="false"/>
    <row r="4364" customFormat="false" ht="18.7" hidden="false" customHeight="true" outlineLevel="0" collapsed="false"/>
    <row r="4365" customFormat="false" ht="18.7" hidden="false" customHeight="true" outlineLevel="0" collapsed="false"/>
    <row r="4366" customFormat="false" ht="18.7" hidden="false" customHeight="true" outlineLevel="0" collapsed="false"/>
    <row r="4367" customFormat="false" ht="18.7" hidden="false" customHeight="true" outlineLevel="0" collapsed="false"/>
    <row r="4368" customFormat="false" ht="18.7" hidden="false" customHeight="true" outlineLevel="0" collapsed="false"/>
    <row r="4369" customFormat="false" ht="18.7" hidden="false" customHeight="true" outlineLevel="0" collapsed="false"/>
    <row r="4370" customFormat="false" ht="18.7" hidden="false" customHeight="true" outlineLevel="0" collapsed="false"/>
    <row r="4371" customFormat="false" ht="18.7" hidden="false" customHeight="true" outlineLevel="0" collapsed="false"/>
    <row r="4372" customFormat="false" ht="18.7" hidden="false" customHeight="true" outlineLevel="0" collapsed="false"/>
    <row r="4373" customFormat="false" ht="18.7" hidden="false" customHeight="true" outlineLevel="0" collapsed="false"/>
    <row r="4374" customFormat="false" ht="18.7" hidden="false" customHeight="true" outlineLevel="0" collapsed="false"/>
    <row r="4375" customFormat="false" ht="18.7" hidden="false" customHeight="true" outlineLevel="0" collapsed="false"/>
    <row r="4376" customFormat="false" ht="18.7" hidden="false" customHeight="true" outlineLevel="0" collapsed="false"/>
    <row r="4377" customFormat="false" ht="18.7" hidden="false" customHeight="true" outlineLevel="0" collapsed="false"/>
    <row r="4378" customFormat="false" ht="18.7" hidden="false" customHeight="true" outlineLevel="0" collapsed="false"/>
    <row r="4379" customFormat="false" ht="18.7" hidden="false" customHeight="true" outlineLevel="0" collapsed="false"/>
    <row r="4380" customFormat="false" ht="18.7" hidden="false" customHeight="true" outlineLevel="0" collapsed="false"/>
    <row r="4381" customFormat="false" ht="18.7" hidden="false" customHeight="true" outlineLevel="0" collapsed="false"/>
    <row r="4382" customFormat="false" ht="18.7" hidden="false" customHeight="true" outlineLevel="0" collapsed="false"/>
    <row r="4383" customFormat="false" ht="18.7" hidden="false" customHeight="true" outlineLevel="0" collapsed="false"/>
    <row r="4384" customFormat="false" ht="18.7" hidden="false" customHeight="true" outlineLevel="0" collapsed="false"/>
    <row r="4385" customFormat="false" ht="18.7" hidden="false" customHeight="true" outlineLevel="0" collapsed="false"/>
    <row r="4386" customFormat="false" ht="18.7" hidden="false" customHeight="true" outlineLevel="0" collapsed="false"/>
    <row r="4387" customFormat="false" ht="18.7" hidden="false" customHeight="true" outlineLevel="0" collapsed="false"/>
    <row r="4388" customFormat="false" ht="18.7" hidden="false" customHeight="true" outlineLevel="0" collapsed="false"/>
    <row r="4389" customFormat="false" ht="18.7" hidden="false" customHeight="true" outlineLevel="0" collapsed="false"/>
    <row r="4390" customFormat="false" ht="18.7" hidden="false" customHeight="true" outlineLevel="0" collapsed="false"/>
    <row r="4391" customFormat="false" ht="18.7" hidden="false" customHeight="true" outlineLevel="0" collapsed="false"/>
    <row r="4392" customFormat="false" ht="18.7" hidden="false" customHeight="true" outlineLevel="0" collapsed="false"/>
    <row r="4393" customFormat="false" ht="18.7" hidden="false" customHeight="true" outlineLevel="0" collapsed="false"/>
    <row r="4394" customFormat="false" ht="18.7" hidden="false" customHeight="true" outlineLevel="0" collapsed="false"/>
    <row r="4395" customFormat="false" ht="18.7" hidden="false" customHeight="true" outlineLevel="0" collapsed="false"/>
    <row r="4396" customFormat="false" ht="18.7" hidden="false" customHeight="true" outlineLevel="0" collapsed="false"/>
    <row r="4397" customFormat="false" ht="18.7" hidden="false" customHeight="true" outlineLevel="0" collapsed="false"/>
    <row r="4398" customFormat="false" ht="18.7" hidden="false" customHeight="true" outlineLevel="0" collapsed="false"/>
    <row r="4399" customFormat="false" ht="18.7" hidden="false" customHeight="true" outlineLevel="0" collapsed="false"/>
    <row r="4400" customFormat="false" ht="18.7" hidden="false" customHeight="true" outlineLevel="0" collapsed="false"/>
    <row r="4401" customFormat="false" ht="18.7" hidden="false" customHeight="true" outlineLevel="0" collapsed="false"/>
    <row r="4402" customFormat="false" ht="18.7" hidden="false" customHeight="true" outlineLevel="0" collapsed="false"/>
    <row r="4403" customFormat="false" ht="18.7" hidden="false" customHeight="true" outlineLevel="0" collapsed="false"/>
    <row r="4404" customFormat="false" ht="18.7" hidden="false" customHeight="true" outlineLevel="0" collapsed="false"/>
    <row r="4405" customFormat="false" ht="18.7" hidden="false" customHeight="true" outlineLevel="0" collapsed="false"/>
    <row r="4406" customFormat="false" ht="18.7" hidden="false" customHeight="true" outlineLevel="0" collapsed="false"/>
    <row r="4407" customFormat="false" ht="18.7" hidden="false" customHeight="true" outlineLevel="0" collapsed="false"/>
    <row r="4408" customFormat="false" ht="18.7" hidden="false" customHeight="true" outlineLevel="0" collapsed="false"/>
    <row r="4409" customFormat="false" ht="18.7" hidden="false" customHeight="true" outlineLevel="0" collapsed="false"/>
    <row r="4410" customFormat="false" ht="18.7" hidden="false" customHeight="true" outlineLevel="0" collapsed="false"/>
    <row r="4411" customFormat="false" ht="18.7" hidden="false" customHeight="true" outlineLevel="0" collapsed="false"/>
    <row r="4412" customFormat="false" ht="18.7" hidden="false" customHeight="true" outlineLevel="0" collapsed="false"/>
    <row r="4413" customFormat="false" ht="18.7" hidden="false" customHeight="true" outlineLevel="0" collapsed="false"/>
    <row r="4414" customFormat="false" ht="18.7" hidden="false" customHeight="true" outlineLevel="0" collapsed="false"/>
    <row r="4415" customFormat="false" ht="18.7" hidden="false" customHeight="true" outlineLevel="0" collapsed="false"/>
    <row r="4416" customFormat="false" ht="18.7" hidden="false" customHeight="true" outlineLevel="0" collapsed="false"/>
    <row r="4417" customFormat="false" ht="18.7" hidden="false" customHeight="true" outlineLevel="0" collapsed="false"/>
    <row r="4418" customFormat="false" ht="18.7" hidden="false" customHeight="true" outlineLevel="0" collapsed="false"/>
    <row r="4419" customFormat="false" ht="18.7" hidden="false" customHeight="true" outlineLevel="0" collapsed="false"/>
    <row r="4420" customFormat="false" ht="18.7" hidden="false" customHeight="true" outlineLevel="0" collapsed="false"/>
    <row r="4421" customFormat="false" ht="18.7" hidden="false" customHeight="true" outlineLevel="0" collapsed="false"/>
    <row r="4422" customFormat="false" ht="18.7" hidden="false" customHeight="true" outlineLevel="0" collapsed="false"/>
    <row r="4423" customFormat="false" ht="18.7" hidden="false" customHeight="true" outlineLevel="0" collapsed="false"/>
    <row r="4424" customFormat="false" ht="18.7" hidden="false" customHeight="true" outlineLevel="0" collapsed="false"/>
    <row r="4425" customFormat="false" ht="18.7" hidden="false" customHeight="true" outlineLevel="0" collapsed="false"/>
    <row r="4426" customFormat="false" ht="18.7" hidden="false" customHeight="true" outlineLevel="0" collapsed="false"/>
    <row r="4427" customFormat="false" ht="18.7" hidden="false" customHeight="true" outlineLevel="0" collapsed="false"/>
    <row r="4428" customFormat="false" ht="18.7" hidden="false" customHeight="true" outlineLevel="0" collapsed="false"/>
    <row r="4429" customFormat="false" ht="18.7" hidden="false" customHeight="true" outlineLevel="0" collapsed="false"/>
    <row r="4430" customFormat="false" ht="18.7" hidden="false" customHeight="true" outlineLevel="0" collapsed="false"/>
    <row r="4431" customFormat="false" ht="18.7" hidden="false" customHeight="true" outlineLevel="0" collapsed="false"/>
    <row r="4432" customFormat="false" ht="18.7" hidden="false" customHeight="true" outlineLevel="0" collapsed="false"/>
    <row r="4433" customFormat="false" ht="18.7" hidden="false" customHeight="true" outlineLevel="0" collapsed="false"/>
    <row r="4434" customFormat="false" ht="18.7" hidden="false" customHeight="true" outlineLevel="0" collapsed="false"/>
    <row r="4435" customFormat="false" ht="18.7" hidden="false" customHeight="true" outlineLevel="0" collapsed="false"/>
    <row r="4436" customFormat="false" ht="18.7" hidden="false" customHeight="true" outlineLevel="0" collapsed="false"/>
    <row r="4437" customFormat="false" ht="18.7" hidden="false" customHeight="true" outlineLevel="0" collapsed="false"/>
    <row r="4438" customFormat="false" ht="18.7" hidden="false" customHeight="true" outlineLevel="0" collapsed="false"/>
    <row r="4439" customFormat="false" ht="18.7" hidden="false" customHeight="true" outlineLevel="0" collapsed="false"/>
    <row r="4440" customFormat="false" ht="18.7" hidden="false" customHeight="true" outlineLevel="0" collapsed="false"/>
    <row r="4441" customFormat="false" ht="18.7" hidden="false" customHeight="true" outlineLevel="0" collapsed="false"/>
    <row r="4442" customFormat="false" ht="18.7" hidden="false" customHeight="true" outlineLevel="0" collapsed="false"/>
    <row r="4443" customFormat="false" ht="18.7" hidden="false" customHeight="true" outlineLevel="0" collapsed="false"/>
    <row r="4444" customFormat="false" ht="18.7" hidden="false" customHeight="true" outlineLevel="0" collapsed="false"/>
    <row r="4445" customFormat="false" ht="18.7" hidden="false" customHeight="true" outlineLevel="0" collapsed="false"/>
    <row r="4446" customFormat="false" ht="18.7" hidden="false" customHeight="true" outlineLevel="0" collapsed="false"/>
    <row r="4447" customFormat="false" ht="18.7" hidden="false" customHeight="true" outlineLevel="0" collapsed="false"/>
    <row r="4448" customFormat="false" ht="18.7" hidden="false" customHeight="true" outlineLevel="0" collapsed="false"/>
    <row r="4449" customFormat="false" ht="18.7" hidden="false" customHeight="true" outlineLevel="0" collapsed="false"/>
    <row r="4450" customFormat="false" ht="18.7" hidden="false" customHeight="true" outlineLevel="0" collapsed="false"/>
    <row r="4451" customFormat="false" ht="18.7" hidden="false" customHeight="true" outlineLevel="0" collapsed="false"/>
    <row r="4452" customFormat="false" ht="18.7" hidden="false" customHeight="true" outlineLevel="0" collapsed="false"/>
    <row r="4453" customFormat="false" ht="18.7" hidden="false" customHeight="true" outlineLevel="0" collapsed="false"/>
    <row r="4454" customFormat="false" ht="18.7" hidden="false" customHeight="true" outlineLevel="0" collapsed="false"/>
    <row r="4455" customFormat="false" ht="18.7" hidden="false" customHeight="true" outlineLevel="0" collapsed="false"/>
    <row r="4456" customFormat="false" ht="18.7" hidden="false" customHeight="true" outlineLevel="0" collapsed="false"/>
    <row r="4457" customFormat="false" ht="18.7" hidden="false" customHeight="true" outlineLevel="0" collapsed="false"/>
    <row r="4458" customFormat="false" ht="18.7" hidden="false" customHeight="true" outlineLevel="0" collapsed="false"/>
    <row r="4459" customFormat="false" ht="18.7" hidden="false" customHeight="true" outlineLevel="0" collapsed="false"/>
    <row r="4460" customFormat="false" ht="18.7" hidden="false" customHeight="true" outlineLevel="0" collapsed="false"/>
    <row r="4461" customFormat="false" ht="18.7" hidden="false" customHeight="true" outlineLevel="0" collapsed="false"/>
    <row r="4462" customFormat="false" ht="18.7" hidden="false" customHeight="true" outlineLevel="0" collapsed="false"/>
    <row r="4463" customFormat="false" ht="18.7" hidden="false" customHeight="true" outlineLevel="0" collapsed="false"/>
    <row r="4464" customFormat="false" ht="18.7" hidden="false" customHeight="true" outlineLevel="0" collapsed="false"/>
    <row r="4465" customFormat="false" ht="18.7" hidden="false" customHeight="true" outlineLevel="0" collapsed="false"/>
    <row r="4466" customFormat="false" ht="18.7" hidden="false" customHeight="true" outlineLevel="0" collapsed="false"/>
    <row r="4467" customFormat="false" ht="18.7" hidden="false" customHeight="true" outlineLevel="0" collapsed="false"/>
    <row r="4468" customFormat="false" ht="18.7" hidden="false" customHeight="true" outlineLevel="0" collapsed="false"/>
    <row r="4469" customFormat="false" ht="18.7" hidden="false" customHeight="true" outlineLevel="0" collapsed="false"/>
    <row r="4470" customFormat="false" ht="18.7" hidden="false" customHeight="true" outlineLevel="0" collapsed="false"/>
    <row r="4471" customFormat="false" ht="18.7" hidden="false" customHeight="true" outlineLevel="0" collapsed="false"/>
    <row r="4472" customFormat="false" ht="18.7" hidden="false" customHeight="true" outlineLevel="0" collapsed="false"/>
    <row r="4473" customFormat="false" ht="18.7" hidden="false" customHeight="true" outlineLevel="0" collapsed="false"/>
    <row r="4474" customFormat="false" ht="18.7" hidden="false" customHeight="true" outlineLevel="0" collapsed="false"/>
    <row r="4475" customFormat="false" ht="18.7" hidden="false" customHeight="true" outlineLevel="0" collapsed="false"/>
    <row r="4476" customFormat="false" ht="18.7" hidden="false" customHeight="true" outlineLevel="0" collapsed="false"/>
    <row r="4477" customFormat="false" ht="18.7" hidden="false" customHeight="true" outlineLevel="0" collapsed="false"/>
    <row r="4478" customFormat="false" ht="18.7" hidden="false" customHeight="true" outlineLevel="0" collapsed="false"/>
    <row r="4479" customFormat="false" ht="18.7" hidden="false" customHeight="true" outlineLevel="0" collapsed="false"/>
    <row r="4480" customFormat="false" ht="18.7" hidden="false" customHeight="true" outlineLevel="0" collapsed="false"/>
    <row r="4481" customFormat="false" ht="18.7" hidden="false" customHeight="true" outlineLevel="0" collapsed="false"/>
    <row r="4482" customFormat="false" ht="18.7" hidden="false" customHeight="true" outlineLevel="0" collapsed="false"/>
    <row r="4483" customFormat="false" ht="18.7" hidden="false" customHeight="true" outlineLevel="0" collapsed="false"/>
    <row r="4484" customFormat="false" ht="18.7" hidden="false" customHeight="true" outlineLevel="0" collapsed="false"/>
    <row r="4485" customFormat="false" ht="18.7" hidden="false" customHeight="true" outlineLevel="0" collapsed="false"/>
    <row r="4486" customFormat="false" ht="18.7" hidden="false" customHeight="true" outlineLevel="0" collapsed="false"/>
    <row r="4487" customFormat="false" ht="18.7" hidden="false" customHeight="true" outlineLevel="0" collapsed="false"/>
    <row r="4488" customFormat="false" ht="18.7" hidden="false" customHeight="true" outlineLevel="0" collapsed="false"/>
    <row r="4489" customFormat="false" ht="18.7" hidden="false" customHeight="true" outlineLevel="0" collapsed="false"/>
    <row r="4490" customFormat="false" ht="18.7" hidden="false" customHeight="true" outlineLevel="0" collapsed="false"/>
    <row r="4491" customFormat="false" ht="18.7" hidden="false" customHeight="true" outlineLevel="0" collapsed="false"/>
    <row r="4492" customFormat="false" ht="18.7" hidden="false" customHeight="true" outlineLevel="0" collapsed="false"/>
    <row r="4493" customFormat="false" ht="18.7" hidden="false" customHeight="true" outlineLevel="0" collapsed="false"/>
    <row r="4494" customFormat="false" ht="18.7" hidden="false" customHeight="true" outlineLevel="0" collapsed="false"/>
    <row r="4495" customFormat="false" ht="18.7" hidden="false" customHeight="true" outlineLevel="0" collapsed="false"/>
    <row r="4496" customFormat="false" ht="18.7" hidden="false" customHeight="true" outlineLevel="0" collapsed="false"/>
    <row r="4497" customFormat="false" ht="18.7" hidden="false" customHeight="true" outlineLevel="0" collapsed="false"/>
    <row r="4498" customFormat="false" ht="18.7" hidden="false" customHeight="true" outlineLevel="0" collapsed="false"/>
    <row r="4499" customFormat="false" ht="18.7" hidden="false" customHeight="true" outlineLevel="0" collapsed="false"/>
    <row r="4500" customFormat="false" ht="18.7" hidden="false" customHeight="true" outlineLevel="0" collapsed="false"/>
    <row r="4501" customFormat="false" ht="18.7" hidden="false" customHeight="true" outlineLevel="0" collapsed="false"/>
    <row r="4502" customFormat="false" ht="18.7" hidden="false" customHeight="true" outlineLevel="0" collapsed="false"/>
    <row r="4503" customFormat="false" ht="18.7" hidden="false" customHeight="true" outlineLevel="0" collapsed="false"/>
    <row r="4504" customFormat="false" ht="18.7" hidden="false" customHeight="true" outlineLevel="0" collapsed="false"/>
    <row r="4505" customFormat="false" ht="18.7" hidden="false" customHeight="true" outlineLevel="0" collapsed="false"/>
    <row r="4506" customFormat="false" ht="18.7" hidden="false" customHeight="true" outlineLevel="0" collapsed="false"/>
    <row r="4507" customFormat="false" ht="18.7" hidden="false" customHeight="true" outlineLevel="0" collapsed="false"/>
    <row r="4508" customFormat="false" ht="18.7" hidden="false" customHeight="true" outlineLevel="0" collapsed="false"/>
    <row r="4509" customFormat="false" ht="18.7" hidden="false" customHeight="true" outlineLevel="0" collapsed="false"/>
    <row r="4510" customFormat="false" ht="18.7" hidden="false" customHeight="true" outlineLevel="0" collapsed="false"/>
    <row r="4511" customFormat="false" ht="18.7" hidden="false" customHeight="true" outlineLevel="0" collapsed="false"/>
    <row r="4512" customFormat="false" ht="18.7" hidden="false" customHeight="true" outlineLevel="0" collapsed="false"/>
    <row r="4513" customFormat="false" ht="18.7" hidden="false" customHeight="true" outlineLevel="0" collapsed="false"/>
    <row r="4514" customFormat="false" ht="18.7" hidden="false" customHeight="true" outlineLevel="0" collapsed="false"/>
    <row r="4515" customFormat="false" ht="18.7" hidden="false" customHeight="true" outlineLevel="0" collapsed="false"/>
    <row r="4516" customFormat="false" ht="18.7" hidden="false" customHeight="true" outlineLevel="0" collapsed="false"/>
    <row r="4517" customFormat="false" ht="18.7" hidden="false" customHeight="true" outlineLevel="0" collapsed="false"/>
    <row r="4518" customFormat="false" ht="18.7" hidden="false" customHeight="true" outlineLevel="0" collapsed="false"/>
    <row r="4519" customFormat="false" ht="18.7" hidden="false" customHeight="true" outlineLevel="0" collapsed="false"/>
    <row r="4520" customFormat="false" ht="18.7" hidden="false" customHeight="true" outlineLevel="0" collapsed="false"/>
    <row r="4521" customFormat="false" ht="18.7" hidden="false" customHeight="true" outlineLevel="0" collapsed="false"/>
    <row r="4522" customFormat="false" ht="18.7" hidden="false" customHeight="true" outlineLevel="0" collapsed="false"/>
    <row r="4523" customFormat="false" ht="18.7" hidden="false" customHeight="true" outlineLevel="0" collapsed="false"/>
    <row r="4524" customFormat="false" ht="18.7" hidden="false" customHeight="true" outlineLevel="0" collapsed="false"/>
    <row r="4525" customFormat="false" ht="18.7" hidden="false" customHeight="true" outlineLevel="0" collapsed="false"/>
    <row r="4526" customFormat="false" ht="18.7" hidden="false" customHeight="true" outlineLevel="0" collapsed="false"/>
    <row r="4527" customFormat="false" ht="18.7" hidden="false" customHeight="true" outlineLevel="0" collapsed="false"/>
    <row r="4528" customFormat="false" ht="18.7" hidden="false" customHeight="true" outlineLevel="0" collapsed="false"/>
    <row r="4529" customFormat="false" ht="18.7" hidden="false" customHeight="true" outlineLevel="0" collapsed="false"/>
    <row r="4530" customFormat="false" ht="18.7" hidden="false" customHeight="true" outlineLevel="0" collapsed="false"/>
    <row r="4531" customFormat="false" ht="18.7" hidden="false" customHeight="true" outlineLevel="0" collapsed="false"/>
    <row r="4532" customFormat="false" ht="18.7" hidden="false" customHeight="true" outlineLevel="0" collapsed="false"/>
    <row r="4533" customFormat="false" ht="18.7" hidden="false" customHeight="true" outlineLevel="0" collapsed="false"/>
    <row r="4534" customFormat="false" ht="18.7" hidden="false" customHeight="true" outlineLevel="0" collapsed="false"/>
    <row r="4535" customFormat="false" ht="18.7" hidden="false" customHeight="true" outlineLevel="0" collapsed="false"/>
    <row r="4536" customFormat="false" ht="18.7" hidden="false" customHeight="true" outlineLevel="0" collapsed="false"/>
    <row r="4537" customFormat="false" ht="18.7" hidden="false" customHeight="true" outlineLevel="0" collapsed="false"/>
    <row r="4538" customFormat="false" ht="18.7" hidden="false" customHeight="true" outlineLevel="0" collapsed="false"/>
    <row r="4539" customFormat="false" ht="18.7" hidden="false" customHeight="true" outlineLevel="0" collapsed="false"/>
    <row r="4540" customFormat="false" ht="18.7" hidden="false" customHeight="true" outlineLevel="0" collapsed="false"/>
    <row r="4541" customFormat="false" ht="18.7" hidden="false" customHeight="true" outlineLevel="0" collapsed="false"/>
    <row r="4542" customFormat="false" ht="18.7" hidden="false" customHeight="true" outlineLevel="0" collapsed="false"/>
    <row r="4543" customFormat="false" ht="18.7" hidden="false" customHeight="true" outlineLevel="0" collapsed="false"/>
    <row r="4544" customFormat="false" ht="18.7" hidden="false" customHeight="true" outlineLevel="0" collapsed="false"/>
    <row r="4545" customFormat="false" ht="18.7" hidden="false" customHeight="true" outlineLevel="0" collapsed="false"/>
    <row r="4546" customFormat="false" ht="18.7" hidden="false" customHeight="true" outlineLevel="0" collapsed="false"/>
    <row r="4547" customFormat="false" ht="18.7" hidden="false" customHeight="true" outlineLevel="0" collapsed="false"/>
    <row r="4548" customFormat="false" ht="18.7" hidden="false" customHeight="true" outlineLevel="0" collapsed="false"/>
    <row r="4549" customFormat="false" ht="18.7" hidden="false" customHeight="true" outlineLevel="0" collapsed="false"/>
    <row r="4550" customFormat="false" ht="18.7" hidden="false" customHeight="true" outlineLevel="0" collapsed="false"/>
    <row r="4551" customFormat="false" ht="18.7" hidden="false" customHeight="true" outlineLevel="0" collapsed="false"/>
    <row r="4552" customFormat="false" ht="18.7" hidden="false" customHeight="true" outlineLevel="0" collapsed="false"/>
    <row r="4553" customFormat="false" ht="18.7" hidden="false" customHeight="true" outlineLevel="0" collapsed="false"/>
    <row r="4554" customFormat="false" ht="18.7" hidden="false" customHeight="true" outlineLevel="0" collapsed="false"/>
    <row r="4555" customFormat="false" ht="18.7" hidden="false" customHeight="true" outlineLevel="0" collapsed="false"/>
    <row r="4556" customFormat="false" ht="18.7" hidden="false" customHeight="true" outlineLevel="0" collapsed="false"/>
    <row r="4557" customFormat="false" ht="18.7" hidden="false" customHeight="true" outlineLevel="0" collapsed="false"/>
    <row r="4558" customFormat="false" ht="18.7" hidden="false" customHeight="true" outlineLevel="0" collapsed="false"/>
    <row r="4559" customFormat="false" ht="18.7" hidden="false" customHeight="true" outlineLevel="0" collapsed="false"/>
    <row r="4560" customFormat="false" ht="18.7" hidden="false" customHeight="true" outlineLevel="0" collapsed="false"/>
    <row r="4561" customFormat="false" ht="18.7" hidden="false" customHeight="true" outlineLevel="0" collapsed="false"/>
    <row r="4562" customFormat="false" ht="18.7" hidden="false" customHeight="true" outlineLevel="0" collapsed="false"/>
    <row r="4563" customFormat="false" ht="18.7" hidden="false" customHeight="true" outlineLevel="0" collapsed="false"/>
    <row r="4564" customFormat="false" ht="18.7" hidden="false" customHeight="true" outlineLevel="0" collapsed="false"/>
    <row r="4565" customFormat="false" ht="18.7" hidden="false" customHeight="true" outlineLevel="0" collapsed="false"/>
    <row r="4566" customFormat="false" ht="18.7" hidden="false" customHeight="true" outlineLevel="0" collapsed="false"/>
    <row r="4567" customFormat="false" ht="18.7" hidden="false" customHeight="true" outlineLevel="0" collapsed="false"/>
    <row r="4568" customFormat="false" ht="18.7" hidden="false" customHeight="true" outlineLevel="0" collapsed="false"/>
    <row r="4569" customFormat="false" ht="18.7" hidden="false" customHeight="true" outlineLevel="0" collapsed="false"/>
    <row r="4570" customFormat="false" ht="18.7" hidden="false" customHeight="true" outlineLevel="0" collapsed="false"/>
    <row r="4571" customFormat="false" ht="18.7" hidden="false" customHeight="true" outlineLevel="0" collapsed="false"/>
    <row r="4572" customFormat="false" ht="18.7" hidden="false" customHeight="true" outlineLevel="0" collapsed="false"/>
    <row r="4573" customFormat="false" ht="18.7" hidden="false" customHeight="true" outlineLevel="0" collapsed="false"/>
    <row r="4574" customFormat="false" ht="18.7" hidden="false" customHeight="true" outlineLevel="0" collapsed="false"/>
    <row r="4575" customFormat="false" ht="18.7" hidden="false" customHeight="true" outlineLevel="0" collapsed="false"/>
    <row r="4576" customFormat="false" ht="18.7" hidden="false" customHeight="true" outlineLevel="0" collapsed="false"/>
    <row r="4577" customFormat="false" ht="18.7" hidden="false" customHeight="true" outlineLevel="0" collapsed="false"/>
    <row r="4578" customFormat="false" ht="18.7" hidden="false" customHeight="true" outlineLevel="0" collapsed="false"/>
    <row r="4579" customFormat="false" ht="18.7" hidden="false" customHeight="true" outlineLevel="0" collapsed="false"/>
    <row r="4580" customFormat="false" ht="18.7" hidden="false" customHeight="true" outlineLevel="0" collapsed="false"/>
    <row r="4581" customFormat="false" ht="18.7" hidden="false" customHeight="true" outlineLevel="0" collapsed="false"/>
    <row r="4582" customFormat="false" ht="18.7" hidden="false" customHeight="true" outlineLevel="0" collapsed="false"/>
    <row r="4583" customFormat="false" ht="18.7" hidden="false" customHeight="true" outlineLevel="0" collapsed="false"/>
    <row r="4584" customFormat="false" ht="18.7" hidden="false" customHeight="true" outlineLevel="0" collapsed="false"/>
    <row r="4585" customFormat="false" ht="18.7" hidden="false" customHeight="true" outlineLevel="0" collapsed="false"/>
    <row r="4586" customFormat="false" ht="18.7" hidden="false" customHeight="true" outlineLevel="0" collapsed="false"/>
    <row r="4587" customFormat="false" ht="18.7" hidden="false" customHeight="true" outlineLevel="0" collapsed="false"/>
    <row r="4588" customFormat="false" ht="18.7" hidden="false" customHeight="true" outlineLevel="0" collapsed="false"/>
    <row r="4589" customFormat="false" ht="18.7" hidden="false" customHeight="true" outlineLevel="0" collapsed="false"/>
    <row r="4590" customFormat="false" ht="18.7" hidden="false" customHeight="true" outlineLevel="0" collapsed="false"/>
    <row r="4591" customFormat="false" ht="18.7" hidden="false" customHeight="true" outlineLevel="0" collapsed="false"/>
    <row r="4592" customFormat="false" ht="18.7" hidden="false" customHeight="true" outlineLevel="0" collapsed="false"/>
    <row r="4593" customFormat="false" ht="18.7" hidden="false" customHeight="true" outlineLevel="0" collapsed="false"/>
    <row r="4594" customFormat="false" ht="18.7" hidden="false" customHeight="true" outlineLevel="0" collapsed="false"/>
    <row r="4595" customFormat="false" ht="18.7" hidden="false" customHeight="true" outlineLevel="0" collapsed="false"/>
    <row r="4596" customFormat="false" ht="18.7" hidden="false" customHeight="true" outlineLevel="0" collapsed="false"/>
    <row r="4597" customFormat="false" ht="18.7" hidden="false" customHeight="true" outlineLevel="0" collapsed="false"/>
    <row r="4598" customFormat="false" ht="18.7" hidden="false" customHeight="true" outlineLevel="0" collapsed="false"/>
    <row r="4599" customFormat="false" ht="18.7" hidden="false" customHeight="true" outlineLevel="0" collapsed="false"/>
    <row r="4600" customFormat="false" ht="18.7" hidden="false" customHeight="true" outlineLevel="0" collapsed="false"/>
    <row r="4601" customFormat="false" ht="18.7" hidden="false" customHeight="true" outlineLevel="0" collapsed="false"/>
    <row r="4602" customFormat="false" ht="18.7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2025-11-16T09:51:49Z</dcterms:created>
  <dc:creator/>
  <dc:description/>
  <dc:language>en-US</dc:language>
  <cp:lastModifiedBy/>
  <dcterms:modified xsi:type="dcterms:W3CDTF">2025-11-16T09:54:44Z</dcterms:modified>
  <cp:revision>1</cp:revision>
  <dc:subject/>
  <dc:title/>
</cp:coreProperties>
</file>